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0" windowWidth="7560" windowHeight="9075" activeTab="0"/>
  </bookViews>
  <sheets>
    <sheet name="Title" sheetId="1" r:id="rId1"/>
    <sheet name="Sensing time" sheetId="2" r:id="rId2"/>
    <sheet name="Probability budget" sheetId="3" r:id="rId3"/>
    <sheet name="DTV Sensing thresholds" sheetId="4" r:id="rId4"/>
    <sheet name="NTSC Sensing thresholds" sheetId="5" r:id="rId5"/>
    <sheet name="References" sheetId="6" r:id="rId6"/>
  </sheets>
  <definedNames>
    <definedName name="Doc_title" localSheetId="5">'References'!$C$3</definedName>
    <definedName name="_xlnm.Print_Area" localSheetId="2">'Probability budget'!$A$36:$E$41</definedName>
    <definedName name="_xlnm.Print_Area" localSheetId="5">'References'!$A$1:$B$1</definedName>
    <definedName name="_xlnm.Print_Area" localSheetId="1">'Sensing time'!$A$5:$E$10</definedName>
    <definedName name="_xlnm.Print_Area" localSheetId="0">'Title'!$A$1:$I$6</definedName>
  </definedNames>
  <calcPr fullCalcOnLoad="1"/>
</workbook>
</file>

<file path=xl/comments2.xml><?xml version="1.0" encoding="utf-8"?>
<comments xmlns="http://schemas.openxmlformats.org/spreadsheetml/2006/main">
  <authors>
    <author>G. Chouinard</author>
    <author>danijela</author>
  </authors>
  <commentList>
    <comment ref="A5" authorId="0">
      <text>
        <r>
          <rPr>
            <sz val="8"/>
            <rFont val="Tahoma"/>
            <family val="0"/>
          </rPr>
          <t>Re: 18-04-0056-00-0000_Comments_ to_TV_Band_NPRM.doc</t>
        </r>
      </text>
    </comment>
    <comment ref="A7" authorId="0">
      <text>
        <r>
          <rPr>
            <sz val="8"/>
            <rFont val="Tahoma"/>
            <family val="0"/>
          </rPr>
          <t>All losses between the antenna and the input to the receiver are included.</t>
        </r>
      </text>
    </comment>
    <comment ref="G86" authorId="0">
      <text>
        <r>
          <rPr>
            <sz val="8"/>
            <rFont val="Tahoma"/>
            <family val="0"/>
          </rPr>
          <t>This represents the total integration time during the PN511 periods rounded up to the nearest number of PN511 periods that are needed to achieve the sensing performance at the given signal level.</t>
        </r>
      </text>
    </comment>
    <comment ref="G87" authorId="0">
      <text>
        <r>
          <rPr>
            <sz val="8"/>
            <rFont val="Tahoma"/>
            <family val="0"/>
          </rPr>
          <t>This represents the total integration time during the PN63 periods rounded up to the nearest number of PN63 periods that are needed to achieve the sensing performance at the given signal level.</t>
        </r>
      </text>
    </comment>
    <comment ref="G85" authorId="0">
      <text>
        <r>
          <rPr>
            <sz val="8"/>
            <rFont val="Tahoma"/>
            <family val="0"/>
          </rPr>
          <t>This represents the total integration time during the horizontal sync periods rounded up to the nearest number of horizontal sync intervals that are needed to achieve the sensing performance at the given signal level.</t>
        </r>
      </text>
    </comment>
    <comment ref="D69" authorId="0">
      <text>
        <r>
          <rPr>
            <sz val="8"/>
            <rFont val="Tahoma"/>
            <family val="0"/>
          </rPr>
          <t>C/N required to meet the detection performance with only one horizontal sync interval.</t>
        </r>
      </text>
    </comment>
    <comment ref="D70" authorId="0">
      <text>
        <r>
          <rPr>
            <sz val="8"/>
            <rFont val="Tahoma"/>
            <family val="0"/>
          </rPr>
          <t>C/N required to meet the detection performance with only one PN511 sequence.</t>
        </r>
      </text>
    </comment>
    <comment ref="D71" authorId="0">
      <text>
        <r>
          <rPr>
            <sz val="8"/>
            <rFont val="Tahoma"/>
            <family val="0"/>
          </rPr>
          <t>C/N required to meet the detection performance with three PN63 sequences.</t>
        </r>
      </text>
    </comment>
    <comment ref="D77" authorId="0">
      <text>
        <r>
          <rPr>
            <sz val="8"/>
            <rFont val="Tahoma"/>
            <family val="0"/>
          </rPr>
          <t>In 200 kHz bandwidth and integrated over 5 usec.</t>
        </r>
      </text>
    </comment>
    <comment ref="D78" authorId="0">
      <text>
        <r>
          <rPr>
            <sz val="8"/>
            <rFont val="Tahoma"/>
            <family val="0"/>
          </rPr>
          <t>In 10 kHz bandwidth and integrated over 100 usec.</t>
        </r>
      </text>
    </comment>
    <comment ref="D79" authorId="0">
      <text>
        <r>
          <rPr>
            <sz val="8"/>
            <rFont val="Tahoma"/>
            <family val="0"/>
          </rPr>
          <t>In 10 kHz bandwidth and integrated over 100 usec.</t>
        </r>
      </text>
    </comment>
    <comment ref="D67" authorId="0">
      <text>
        <r>
          <rPr>
            <sz val="8"/>
            <rFont val="Tahoma"/>
            <family val="0"/>
          </rPr>
          <t>In 10 kHz bandwidth and integrated over 100 usec.</t>
        </r>
      </text>
    </comment>
    <comment ref="D66" authorId="0">
      <text>
        <r>
          <rPr>
            <sz val="8"/>
            <rFont val="Tahoma"/>
            <family val="0"/>
          </rPr>
          <t>In 6 MHz bandwidth and integrated over 0.1667 usec.</t>
        </r>
      </text>
    </comment>
    <comment ref="D75" authorId="0">
      <text>
        <r>
          <rPr>
            <sz val="8"/>
            <rFont val="Tahoma"/>
            <family val="0"/>
          </rPr>
          <t>In 20 kHz bandwidth and integrated over 50 usec.</t>
        </r>
      </text>
    </comment>
    <comment ref="D76" authorId="0">
      <text>
        <r>
          <rPr>
            <sz val="8"/>
            <rFont val="Tahoma"/>
            <family val="0"/>
          </rPr>
          <t>In 20 kHz bandwidth and integrated over 50 usec.</t>
        </r>
      </text>
    </comment>
    <comment ref="D12" authorId="0">
      <text>
        <r>
          <rPr>
            <sz val="8"/>
            <rFont val="Tahoma"/>
            <family val="0"/>
          </rPr>
          <t>Equal to the differential between the EIRP of the faded Part 74 microphone and the maximum EIRP of the CPE plus the maximum level of interfering power flux density at the microphone receiver, that is the minimum field strength that can still be received by the microphone receiver minus the protection ratio.</t>
        </r>
      </text>
    </comment>
    <comment ref="E12" authorId="0">
      <text>
        <r>
          <rPr>
            <sz val="8"/>
            <rFont val="Tahoma"/>
            <family val="0"/>
          </rPr>
          <t>Equal to the differential between the EIRP of the microphone beacon and the maximum EIRP of the CPE plus the maximum level of interfering power flux density at the microphone receiver, that is the minimum field strength that can still be received by the microphone receiver minus the protection ratio.
The power assumed for the beacon represents the case when the power transmitted by the CPE is spread over the entire 6 MHz channel to reduce the amount of interfering power in 200 kHz bandwidth.</t>
        </r>
      </text>
    </comment>
    <comment ref="J82" authorId="0">
      <text>
        <r>
          <rPr>
            <sz val="8"/>
            <rFont val="Tahoma"/>
            <family val="0"/>
          </rPr>
          <t>ATSC-DTV symbol frequency, tolerance is +/- 30 Hz.</t>
        </r>
      </text>
    </comment>
    <comment ref="F35" authorId="1">
      <text>
        <r>
          <rPr>
            <b/>
            <sz val="8"/>
            <rFont val="Tahoma"/>
            <family val="0"/>
          </rPr>
          <t>danijela:</t>
        </r>
        <r>
          <rPr>
            <sz val="8"/>
            <rFont val="Tahoma"/>
            <family val="0"/>
          </rPr>
          <t xml:space="preserve">
</t>
        </r>
        <r>
          <rPr>
            <b/>
            <sz val="8"/>
            <rFont val="Tahoma"/>
            <family val="2"/>
          </rPr>
          <t>Formula for energy detection (1)</t>
        </r>
      </text>
    </comment>
    <comment ref="F41" authorId="1">
      <text>
        <r>
          <rPr>
            <b/>
            <sz val="8"/>
            <rFont val="Tahoma"/>
            <family val="0"/>
          </rPr>
          <t>danijela:</t>
        </r>
        <r>
          <rPr>
            <sz val="8"/>
            <rFont val="Tahoma"/>
            <family val="0"/>
          </rPr>
          <t xml:space="preserve">
</t>
        </r>
        <r>
          <rPr>
            <b/>
            <sz val="8"/>
            <rFont val="Tahoma"/>
            <family val="2"/>
          </rPr>
          <t>Formula for coherent detection (2)</t>
        </r>
      </text>
    </comment>
    <comment ref="B20" authorId="0">
      <text>
        <r>
          <rPr>
            <sz val="8"/>
            <rFont val="Tahoma"/>
            <family val="0"/>
          </rPr>
          <t>If local interference is generated by other LE systems in the neighborhood, this will need to be added to the sensor noise budget as apparent increase in RF noise and will result in lower SNR at the output of the sensing RF front-end.</t>
        </r>
      </text>
    </comment>
    <comment ref="B19" authorId="0">
      <text>
        <r>
          <rPr>
            <sz val="8"/>
            <rFont val="Tahoma"/>
            <family val="0"/>
          </rPr>
          <t xml:space="preserve">One third of the omni antenna pattern is assumed to capture the sky noise (90˚K) and the other two third captures the ground noise (290˚K).
</t>
        </r>
      </text>
    </comment>
    <comment ref="A33" authorId="0">
      <text>
        <r>
          <rPr>
            <sz val="8"/>
            <rFont val="Tahoma"/>
            <family val="0"/>
          </rPr>
          <t>Table 15.1.2 of the FRD.</t>
        </r>
      </text>
    </comment>
    <comment ref="A34" authorId="0">
      <text>
        <r>
          <rPr>
            <sz val="8"/>
            <rFont val="Tahoma"/>
            <family val="0"/>
          </rPr>
          <t>Table 15.1.2 of the FRD.</t>
        </r>
      </text>
    </comment>
    <comment ref="C46"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C48" authorId="0">
      <text>
        <r>
          <rPr>
            <sz val="8"/>
            <rFont val="Tahoma"/>
            <family val="0"/>
          </rPr>
          <t>The standard deviation of the signal in 10 kHz bandwidth caused by multipath in rural environment as used in the formula is extrapolated from Table X.2 of the ITU-R DSB Handbook, 2002.</t>
        </r>
      </text>
    </comment>
    <comment ref="C81"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B48" authorId="0">
      <text>
        <r>
          <rPr>
            <sz val="8"/>
            <rFont val="Tahoma"/>
            <family val="0"/>
          </rPr>
          <t>The ATSC pilot is assumed to be 11.2 dB below the power of the total DTV signal and it is measured over a bandwidth of 10 kHz rather than the full 6 MHz.</t>
        </r>
      </text>
    </comment>
    <comment ref="D65" authorId="0">
      <text>
        <r>
          <rPr>
            <sz val="8"/>
            <rFont val="Tahoma"/>
            <family val="0"/>
          </rPr>
          <t xml:space="preserve">Measurements are assumed to be made either using simulated signals or actual signals recorded in the field.  Detection measurements are done at various levels of injected AWGN and the SNR retained is the one resulting in the stated probabilities of detetion and false alarm as given in rows 41 and 42.  The integration time for the detection is initially set to the inverse of the measurement bandwidth but could be set at any appropriate value as long as the proper re-scaling is done in the next table.  </t>
        </r>
      </text>
    </comment>
    <comment ref="B83" authorId="0">
      <text>
        <r>
          <rPr>
            <sz val="8"/>
            <rFont val="Tahoma"/>
            <family val="0"/>
          </rPr>
          <t>The ATSC pilot is assumed to be 11.2 dB below the power of the total DTV signal and it is measured over a bandwidth of 10 kHz rather than the full 6 MHz.</t>
        </r>
      </text>
    </comment>
    <comment ref="G81" authorId="0">
      <text>
        <r>
          <rPr>
            <sz val="8"/>
            <rFont val="Tahoma"/>
            <family val="0"/>
          </rPr>
          <t>The assumption is that the integration time for sensing with needed probabilities (rows 41 and 42) can be scaled according to the available SNR.  As an example, if the actual SNR avaiable from the sensor RF front-end is 3 dB less than the needed SNR indicated in the previous table, the integration time will need to be quadrupled in the case of energy sensing and doubled in the case of correlated detection.   &lt;&lt;&lt;Still needs to be validated!&gt;&gt;&gt;</t>
        </r>
      </text>
    </comment>
    <comment ref="C58" authorId="0">
      <text>
        <r>
          <rPr>
            <sz val="8"/>
            <rFont val="Tahoma"/>
            <family val="0"/>
          </rPr>
          <t>The standard deviation of the signal in 200 kHz bandwidth caused by multipath in rural environment as used in the formula is extrapolated from Table X.2 of the ITU-R DSB Handbook, 2002.</t>
        </r>
      </text>
    </comment>
    <comment ref="C59"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B56" authorId="0">
      <text>
        <r>
          <rPr>
            <sz val="8"/>
            <rFont val="Tahoma"/>
            <family val="0"/>
          </rPr>
          <t>The power of the NTSC visual carrier represents about 30% of the total NTSC power.</t>
        </r>
      </text>
    </comment>
    <comment ref="B57" authorId="0">
      <text>
        <r>
          <rPr>
            <sz val="8"/>
            <rFont val="Tahoma"/>
            <family val="0"/>
          </rPr>
          <t>The power of the NTSC sound carrier represents about 10% of the total NTSC power.</t>
        </r>
      </text>
    </comment>
    <comment ref="E46" authorId="0">
      <text>
        <r>
          <rPr>
            <sz val="8"/>
            <rFont val="Tahoma"/>
            <family val="0"/>
          </rPr>
          <t>Ratio between the beacon signal power and the total signal power.</t>
        </r>
      </text>
    </comment>
    <comment ref="H50"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51"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52"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B29" authorId="0">
      <text>
        <r>
          <rPr>
            <sz val="8"/>
            <rFont val="Tahoma"/>
            <family val="0"/>
          </rPr>
          <t>Assuming a noise level uncertainty of 1 dB due to the nearby LE systems, antenna noise and input amplifier noise figure, the noise wall for the energy detector is at -4 dB.  The minimum SNR that can be accommodated is therefore -4 dB.  The -116 dBm sensing threshold is therefore ecessively demanding for a sensor using energy detection given the performance of the RF sensor front-end performance.</t>
        </r>
      </text>
    </comment>
    <comment ref="B91" authorId="0">
      <text>
        <r>
          <rPr>
            <sz val="8"/>
            <rFont val="Tahoma"/>
            <family val="0"/>
          </rPr>
          <t>The power of the NTSC visual carrier represents about 30% of the total NTSC power.</t>
        </r>
      </text>
    </comment>
    <comment ref="B92" authorId="0">
      <text>
        <r>
          <rPr>
            <sz val="8"/>
            <rFont val="Tahoma"/>
            <family val="0"/>
          </rPr>
          <t>The power of the NTSC sound carrier represents about 10% of the total NTSC power.</t>
        </r>
      </text>
    </comment>
    <comment ref="C56" authorId="0">
      <text>
        <r>
          <rPr>
            <sz val="8"/>
            <rFont val="Tahoma"/>
            <family val="0"/>
          </rPr>
          <t>The standard deviation of the signal in 20 kHz bandwidth caused by multipath in rural environment as used in the formula is extrapolated from Table X.2 of the ITU-R DSB Handbook, 2002.</t>
        </r>
      </text>
    </comment>
    <comment ref="C57" authorId="0">
      <text>
        <r>
          <rPr>
            <sz val="8"/>
            <rFont val="Tahoma"/>
            <family val="0"/>
          </rPr>
          <t>The standard deviation of the signal in 20 kHz bandwidth caused by multipath in rural environment as used in the formula is extrapolated from Table X.2 of the ITU-R DSB Handbook, 2002.</t>
        </r>
      </text>
    </comment>
    <comment ref="B61"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B96"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E50" authorId="0">
      <text>
        <r>
          <rPr>
            <sz val="8"/>
            <rFont val="Tahoma"/>
            <family val="0"/>
          </rPr>
          <t xml:space="preserve">In case of a TDM, the total signal power carried in the channel is used for the correlated sensing detection during the sync period.  Theta is therefore equal to 100%. </t>
        </r>
      </text>
    </comment>
    <comment ref="E51" authorId="0">
      <text>
        <r>
          <rPr>
            <sz val="8"/>
            <rFont val="Tahoma"/>
            <family val="0"/>
          </rPr>
          <t xml:space="preserve">In case of a TDM, the total signal power carried in the channel is used for the correlated sensing detection during the field PN511 sequence.  Theta is therefore equal to 100%. </t>
        </r>
      </text>
    </comment>
    <comment ref="E52" authorId="0">
      <text>
        <r>
          <rPr>
            <sz val="8"/>
            <rFont val="Tahoma"/>
            <family val="0"/>
          </rPr>
          <t xml:space="preserve">In case of a TDM, the total signal power carried in the channel is used for the correlated sensing detection during the 3 field PN63 sequences.  Theta is therefore equal to 100%. </t>
        </r>
      </text>
    </comment>
    <comment ref="F50" authorId="0">
      <text>
        <r>
          <rPr>
            <sz val="8"/>
            <rFont val="Tahoma"/>
            <family val="0"/>
          </rPr>
          <t>Number of sync periods needed, that is 1/4 the number of channel samples needed.</t>
        </r>
      </text>
    </comment>
    <comment ref="F51" authorId="0">
      <text>
        <r>
          <rPr>
            <sz val="8"/>
            <rFont val="Tahoma"/>
            <family val="0"/>
          </rPr>
          <t>Number of PN511 periods needed, that is 1/511 the number of channel samples needed.</t>
        </r>
      </text>
    </comment>
    <comment ref="F52" authorId="0">
      <text>
        <r>
          <rPr>
            <sz val="8"/>
            <rFont val="Tahoma"/>
            <family val="2"/>
          </rPr>
          <t>Number of 3*PN63 periods needed, that is 1/(3*63) the number of channel samples needed.</t>
        </r>
      </text>
    </comment>
    <comment ref="C49" authorId="0">
      <text>
        <r>
          <rPr>
            <sz val="8"/>
            <rFont val="Tahoma"/>
            <family val="0"/>
          </rPr>
          <t>The standard deviation of the signal in 10 kHz bandwidth caused by multipath in rural environment as used in the formula is extrapolated from Table X.2 of the ITU-R DSB Handbook, 2002.</t>
        </r>
      </text>
    </comment>
    <comment ref="E49" authorId="0">
      <text>
        <r>
          <rPr>
            <sz val="8"/>
            <rFont val="Tahoma"/>
            <family val="0"/>
          </rPr>
          <t>The ATSC pilot is assumed to be 11.2 dB below the power of the total DTV signal.</t>
        </r>
      </text>
    </comment>
    <comment ref="C47" authorId="0">
      <text>
        <r>
          <rPr>
            <sz val="8"/>
            <rFont val="Tahoma"/>
            <family val="0"/>
          </rPr>
          <t>It is assumed that the ITU-R P.1546-1 signal propagation model includes flat fading due to blockage and frequency selective fading due to multipath for 6 MHz channels.  The 5.5 dB standard deviation that was agreed upon corresponds to new digitally modulated signals occupying the entire TV channel.</t>
        </r>
      </text>
    </comment>
    <comment ref="C60"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C82" authorId="0">
      <text>
        <r>
          <rPr>
            <sz val="8"/>
            <rFont val="Tahoma"/>
            <family val="0"/>
          </rPr>
          <t>It is assumed that the ITU-R P.1546-1 signal propagation model includes flat fading due to blockage and frequency selective fading due to multipath for 6 MHz channels.  The 5.5 dB standard deviation that was agreed upon corresponds to new digitally modulated signals occupying the entire TV channel.</t>
        </r>
      </text>
    </comment>
    <comment ref="C83" authorId="0">
      <text>
        <r>
          <rPr>
            <sz val="8"/>
            <rFont val="Tahoma"/>
            <family val="0"/>
          </rPr>
          <t>The standard deviation of the signal in 10 kHz bandwidth caused by multipath in rural environment as used in the formula is extrapolated from Table X.2 of the ITU-R DSB Handbook, 2002.</t>
        </r>
      </text>
    </comment>
    <comment ref="C84" authorId="0">
      <text>
        <r>
          <rPr>
            <sz val="8"/>
            <rFont val="Tahoma"/>
            <family val="0"/>
          </rPr>
          <t>The standard deviation of the signal in 10 kHz bandwidth caused by multipath in rural environment as used in the formula is extrapolated from Table X.2 of the ITU-R DSB Handbook, 2002.</t>
        </r>
      </text>
    </comment>
    <comment ref="C91" authorId="0">
      <text>
        <r>
          <rPr>
            <sz val="8"/>
            <rFont val="Tahoma"/>
            <family val="0"/>
          </rPr>
          <t>The standard deviation of the signal in 20 kHz bandwidth caused by multipath in rural environment as used in the formula is extrapolated from Table X.2 of the ITU-R DSB Handbook, 2002.</t>
        </r>
      </text>
    </comment>
    <comment ref="C92" authorId="0">
      <text>
        <r>
          <rPr>
            <sz val="8"/>
            <rFont val="Tahoma"/>
            <family val="0"/>
          </rPr>
          <t>The standard deviation of the signal in 20 kHz bandwidth caused by multipath in rural environment as used in the formula is extrapolated from Table X.2 of the ITU-R DSB Handbook, 2002.</t>
        </r>
      </text>
    </comment>
    <comment ref="C93" authorId="0">
      <text>
        <r>
          <rPr>
            <sz val="8"/>
            <rFont val="Tahoma"/>
            <family val="0"/>
          </rPr>
          <t>The standard deviation of the signal in 200 kHz bandwidth caused by multipath in rural environment as used in the formula is extrapolated from Table X.2 of the ITU-R DSB Handbook, 2002.</t>
        </r>
      </text>
    </comment>
    <comment ref="C94"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C95"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A41" authorId="0">
      <text>
        <r>
          <rPr>
            <sz val="8"/>
            <rFont val="Tahoma"/>
            <family val="0"/>
          </rPr>
          <t>Table 15.1.2 of the FRD.</t>
        </r>
      </text>
    </comment>
    <comment ref="A42" authorId="0">
      <text>
        <r>
          <rPr>
            <sz val="8"/>
            <rFont val="Tahoma"/>
            <family val="0"/>
          </rPr>
          <t>Table 15.1.2 of the FRD.</t>
        </r>
      </text>
    </comment>
    <comment ref="A37" authorId="0">
      <text>
        <r>
          <rPr>
            <sz val="8"/>
            <rFont val="Tahoma"/>
            <family val="0"/>
          </rPr>
          <t>Table 15.1.2 of the FRD.</t>
        </r>
      </text>
    </comment>
    <comment ref="A38" authorId="0">
      <text>
        <r>
          <rPr>
            <sz val="8"/>
            <rFont val="Tahoma"/>
            <family val="0"/>
          </rPr>
          <t>Table 15.1.2 of the FRD.</t>
        </r>
      </text>
    </comment>
    <comment ref="B36" authorId="0">
      <text>
        <r>
          <rPr>
            <sz val="8"/>
            <rFont val="Tahoma"/>
            <family val="0"/>
          </rPr>
          <t>Number of WRAN systems expected to use the same channel in the area immediate to DTV receivers.</t>
        </r>
      </text>
    </comment>
    <comment ref="B40" authorId="0">
      <text>
        <r>
          <rPr>
            <sz val="8"/>
            <rFont val="Tahoma"/>
            <family val="0"/>
          </rPr>
          <t>Number of CPEs for each WRAN system located in the immediate area of potential interference that would be relied upon to sense the presence of incumbent operation.</t>
        </r>
      </text>
    </comment>
    <comment ref="D68" authorId="0">
      <text>
        <r>
          <rPr>
            <sz val="8"/>
            <rFont val="Tahoma"/>
            <family val="0"/>
          </rPr>
          <t>Measurement is done over the full 6 MHz bandwidth but integrated over 100 usec.</t>
        </r>
      </text>
    </comment>
    <comment ref="E75" authorId="0">
      <text>
        <r>
          <rPr>
            <sz val="8"/>
            <rFont val="Tahoma"/>
            <family val="0"/>
          </rPr>
          <t>The power of the NTSC visual carrier represents about 30% of the total NTSC power.</t>
        </r>
      </text>
    </comment>
    <comment ref="E76" authorId="0">
      <text>
        <r>
          <rPr>
            <sz val="8"/>
            <rFont val="Tahoma"/>
            <family val="0"/>
          </rPr>
          <t>The power of the NTSC sound carrier represents about 10% of the total NTSC power.</t>
        </r>
      </text>
    </comment>
    <comment ref="E67" authorId="0">
      <text>
        <r>
          <rPr>
            <sz val="8"/>
            <rFont val="Tahoma"/>
            <family val="0"/>
          </rPr>
          <t>The ATSC pilot is assumed to be 11.2 dB below the power of the total DTV signal.</t>
        </r>
      </text>
    </comment>
    <comment ref="E68" authorId="0">
      <text>
        <r>
          <rPr>
            <sz val="8"/>
            <rFont val="Tahoma"/>
            <family val="0"/>
          </rPr>
          <t>The ATSC pilot is assumed to be 11.2 dB below the power of the total DTV signal.</t>
        </r>
      </text>
    </comment>
    <comment ref="H85"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86"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87"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F46" authorId="0">
      <text>
        <r>
          <rPr>
            <b/>
            <sz val="8"/>
            <rFont val="Tahoma"/>
            <family val="0"/>
          </rPr>
          <t>Danijela:</t>
        </r>
        <r>
          <rPr>
            <sz val="8"/>
            <rFont val="Tahoma"/>
            <family val="0"/>
          </rPr>
          <t xml:space="preserve">
If the number of averages is smaller than 10 the sensing time estimate could be crude as the central limit theorem does not apply.</t>
        </r>
      </text>
    </comment>
    <comment ref="A48" authorId="0">
      <text>
        <r>
          <rPr>
            <sz val="8"/>
            <rFont val="Tahoma"/>
            <family val="0"/>
          </rPr>
          <t>A 10 kHz analog filter is assumed around the pilot.</t>
        </r>
      </text>
    </comment>
  </commentList>
</comments>
</file>

<file path=xl/comments3.xml><?xml version="1.0" encoding="utf-8"?>
<comments xmlns="http://schemas.openxmlformats.org/spreadsheetml/2006/main">
  <authors>
    <author>G. Chouinard</author>
  </authors>
  <commentList>
    <comment ref="A36" authorId="0">
      <text>
        <r>
          <rPr>
            <sz val="8"/>
            <rFont val="Tahoma"/>
            <family val="0"/>
          </rPr>
          <t>Re: 18-04-0056-00-0000_Comments_ to_TV_Band_NPRM.doc</t>
        </r>
      </text>
    </comment>
    <comment ref="A38" authorId="0">
      <text>
        <r>
          <rPr>
            <sz val="8"/>
            <rFont val="Tahoma"/>
            <family val="0"/>
          </rPr>
          <t>All losses between the antenna and the input to the receiver are included.</t>
        </r>
      </text>
    </comment>
    <comment ref="K79" authorId="0">
      <text>
        <r>
          <rPr>
            <sz val="8"/>
            <rFont val="Tahoma"/>
            <family val="0"/>
          </rPr>
          <t>ATSC-DTV symbol frequency, tolerance is +/- 30 Hz.</t>
        </r>
      </text>
    </comment>
    <comment ref="E52" authorId="0">
      <text>
        <r>
          <rPr>
            <sz val="8"/>
            <rFont val="Tahoma"/>
            <family val="0"/>
          </rPr>
          <t>If local interference is generated by other LE systems in the neighborhood, this will need to be added to the sensor noise budget as apparent increase in RF noise and will result in lower SNR at the output of the sensing RF front-end.</t>
        </r>
      </text>
    </comment>
    <comment ref="E51" authorId="0">
      <text>
        <r>
          <rPr>
            <sz val="8"/>
            <rFont val="Tahoma"/>
            <family val="0"/>
          </rPr>
          <t xml:space="preserve">One third of the omni antenna pattern is assumed to capture the sky noise (90˚K) and the other two third captures the ground noise (290˚K).
</t>
        </r>
      </text>
    </comment>
    <comment ref="A65" authorId="0">
      <text>
        <r>
          <rPr>
            <sz val="8"/>
            <rFont val="Tahoma"/>
            <family val="0"/>
          </rPr>
          <t>Table 15.1.2 of the FRD.</t>
        </r>
      </text>
    </comment>
    <comment ref="A66" authorId="0">
      <text>
        <r>
          <rPr>
            <sz val="8"/>
            <rFont val="Tahoma"/>
            <family val="0"/>
          </rPr>
          <t>Table 15.1.2 of the FRD.</t>
        </r>
      </text>
    </comment>
    <comment ref="C78"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C80" authorId="0">
      <text>
        <r>
          <rPr>
            <sz val="8"/>
            <rFont val="Tahoma"/>
            <family val="0"/>
          </rPr>
          <t>The standard deviation of the signal in 10 kHz bandwidth caused by multipath in rural environment as used in the formula is extrapolated from Table X.2 of the ITU-R DSB Handbook, 2002.</t>
        </r>
      </text>
    </comment>
    <comment ref="B80" authorId="0">
      <text>
        <r>
          <rPr>
            <sz val="8"/>
            <rFont val="Tahoma"/>
            <family val="0"/>
          </rPr>
          <t>The ATSC pilot is assumed to be 11.2 dB below the power of the total DTV signal and it is measured over a bandwidth of 10 kHz rather than the full 6 MHz.</t>
        </r>
      </text>
    </comment>
    <comment ref="E78" authorId="0">
      <text>
        <r>
          <rPr>
            <sz val="8"/>
            <rFont val="Tahoma"/>
            <family val="0"/>
          </rPr>
          <t>Ratio between the beacon signal power and the total signal power.</t>
        </r>
      </text>
    </comment>
    <comment ref="H82"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83"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84"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B61" authorId="0">
      <text>
        <r>
          <rPr>
            <sz val="8"/>
            <rFont val="Tahoma"/>
            <family val="0"/>
          </rPr>
          <t>Assuming a noise level uncertainty of 1 dB due to the nearby LE systems, antenna noise and input amplifier noise figure, the noise wall for the energy detector is at -4 dB.  The minimum SNR that can be accommodated is therefore -4 dB.  The -116 dBm sensing threshold is therefore ecessively demanding for a sensor using energy detection given the performance of the RF sensor front-end performance.</t>
        </r>
      </text>
    </comment>
    <comment ref="B85"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E82" authorId="0">
      <text>
        <r>
          <rPr>
            <sz val="8"/>
            <rFont val="Tahoma"/>
            <family val="0"/>
          </rPr>
          <t xml:space="preserve">In case of a TDM, the total signal power carried in the channel is used for the correlated sensing detection during the sync period.  Theta is therefore equal to 100%. </t>
        </r>
      </text>
    </comment>
    <comment ref="E83" authorId="0">
      <text>
        <r>
          <rPr>
            <sz val="8"/>
            <rFont val="Tahoma"/>
            <family val="0"/>
          </rPr>
          <t xml:space="preserve">In case of a TDM, the total signal power carried in the channel is used for the correlated sensing detection during the field PN511 sequence.  Theta is therefore equal to 100%. </t>
        </r>
      </text>
    </comment>
    <comment ref="E84" authorId="0">
      <text>
        <r>
          <rPr>
            <sz val="8"/>
            <rFont val="Tahoma"/>
            <family val="0"/>
          </rPr>
          <t xml:space="preserve">In case of a TDM, the total signal power carried in the channel is used for the correlated sensing detection during the 3 field PN63 sequences.  Theta is therefore equal to 100%. </t>
        </r>
      </text>
    </comment>
    <comment ref="F82" authorId="0">
      <text>
        <r>
          <rPr>
            <sz val="8"/>
            <rFont val="Tahoma"/>
            <family val="0"/>
          </rPr>
          <t>Number of sync periods needed, that is 1/4 the number of channel samples needed.</t>
        </r>
      </text>
    </comment>
    <comment ref="F83" authorId="0">
      <text>
        <r>
          <rPr>
            <sz val="8"/>
            <rFont val="Tahoma"/>
            <family val="0"/>
          </rPr>
          <t>Number of PN511 periods needed, that is 1/511 the number of channel samples needed.</t>
        </r>
      </text>
    </comment>
    <comment ref="F84" authorId="0">
      <text>
        <r>
          <rPr>
            <sz val="8"/>
            <rFont val="Tahoma"/>
            <family val="2"/>
          </rPr>
          <t>Number of 3*PN63 periods needed, that is 1/(3*63) the number of channel samples needed.</t>
        </r>
      </text>
    </comment>
    <comment ref="C81" authorId="0">
      <text>
        <r>
          <rPr>
            <sz val="8"/>
            <rFont val="Tahoma"/>
            <family val="0"/>
          </rPr>
          <t>The standard deviation of the signal in 10 kHz bandwidth caused by multipath in rural environment as used in the formula is extrapolated from Table X.2 of the ITU-R DSB Handbook, 2002.</t>
        </r>
      </text>
    </comment>
    <comment ref="E81" authorId="0">
      <text>
        <r>
          <rPr>
            <sz val="8"/>
            <rFont val="Tahoma"/>
            <family val="0"/>
          </rPr>
          <t>The ATSC pilot is assumed to be 11.2 dB below the power of the total DTV signal.</t>
        </r>
      </text>
    </comment>
    <comment ref="C79" authorId="0">
      <text>
        <r>
          <rPr>
            <sz val="8"/>
            <rFont val="Tahoma"/>
            <family val="0"/>
          </rPr>
          <t>It is assumed that the ITU-R P.1546-1 signal propagation model includes flat fading due to blockage and frequency selective fading due to multipath for 6 MHz channels.  The 5.5 dB standard deviation that was agreed upon corresponds to new digitally modulated signals occupying the entire TV channel.</t>
        </r>
      </text>
    </comment>
    <comment ref="A73" authorId="0">
      <text>
        <r>
          <rPr>
            <sz val="8"/>
            <rFont val="Tahoma"/>
            <family val="0"/>
          </rPr>
          <t>Table 15.1.2 of the FRD.</t>
        </r>
      </text>
    </comment>
    <comment ref="A74" authorId="0">
      <text>
        <r>
          <rPr>
            <sz val="8"/>
            <rFont val="Tahoma"/>
            <family val="0"/>
          </rPr>
          <t>Table 15.1.2 of the FRD.</t>
        </r>
      </text>
    </comment>
    <comment ref="A69" authorId="0">
      <text>
        <r>
          <rPr>
            <sz val="8"/>
            <rFont val="Tahoma"/>
            <family val="0"/>
          </rPr>
          <t>Table 15.1.2 of the FRD.</t>
        </r>
      </text>
    </comment>
    <comment ref="A70" authorId="0">
      <text>
        <r>
          <rPr>
            <sz val="8"/>
            <rFont val="Tahoma"/>
            <family val="0"/>
          </rPr>
          <t>Table 15.1.2 of the FRD.</t>
        </r>
      </text>
    </comment>
    <comment ref="B68" authorId="0">
      <text>
        <r>
          <rPr>
            <sz val="8"/>
            <rFont val="Tahoma"/>
            <family val="0"/>
          </rPr>
          <t>Number of WRAN systems expected to use the same channel in the area immediate to DTV receivers.</t>
        </r>
      </text>
    </comment>
    <comment ref="B72" authorId="0">
      <text>
        <r>
          <rPr>
            <sz val="8"/>
            <rFont val="Tahoma"/>
            <family val="0"/>
          </rPr>
          <t>Number of CPEs for each WRAN system located in the immediate area of potential interference that would be relied upon to sense the presence of incumbent operation.</t>
        </r>
      </text>
    </comment>
    <comment ref="F78" authorId="0">
      <text>
        <r>
          <rPr>
            <b/>
            <sz val="8"/>
            <rFont val="Tahoma"/>
            <family val="0"/>
          </rPr>
          <t>Danijela:</t>
        </r>
        <r>
          <rPr>
            <sz val="8"/>
            <rFont val="Tahoma"/>
            <family val="0"/>
          </rPr>
          <t xml:space="preserve">
If the number of averages is smaller than 10 the sensing time estimate could be crude as the central limit theorem does not apply.</t>
        </r>
      </text>
    </comment>
    <comment ref="A80" authorId="0">
      <text>
        <r>
          <rPr>
            <sz val="8"/>
            <rFont val="Tahoma"/>
            <family val="0"/>
          </rPr>
          <t>A 10 kHz analog filter is assumed around the pilot.</t>
        </r>
      </text>
    </comment>
  </commentList>
</comments>
</file>

<file path=xl/comments4.xml><?xml version="1.0" encoding="utf-8"?>
<comments xmlns="http://schemas.openxmlformats.org/spreadsheetml/2006/main">
  <authors>
    <author>G. Chouinard</author>
  </authors>
  <commentList>
    <comment ref="A12"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26"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40"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54"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List>
</comments>
</file>

<file path=xl/comments5.xml><?xml version="1.0" encoding="utf-8"?>
<comments xmlns="http://schemas.openxmlformats.org/spreadsheetml/2006/main">
  <authors>
    <author>G. Chouinard</author>
  </authors>
  <commentList>
    <comment ref="A12"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26"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40"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54"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List>
</comments>
</file>

<file path=xl/sharedStrings.xml><?xml version="1.0" encoding="utf-8"?>
<sst xmlns="http://schemas.openxmlformats.org/spreadsheetml/2006/main" count="487" uniqueCount="135">
  <si>
    <t>IEEE P802.22 Wireless RANs</t>
  </si>
  <si>
    <t>Submission</t>
  </si>
  <si>
    <t>Designator:</t>
  </si>
  <si>
    <t>Venue Date:</t>
  </si>
  <si>
    <t>First Author:</t>
  </si>
  <si>
    <t>Subject:</t>
  </si>
  <si>
    <t>Full Date:</t>
  </si>
  <si>
    <t>Author(s):</t>
  </si>
  <si>
    <t>Name(s)</t>
  </si>
  <si>
    <t>Gerald Chouinard</t>
  </si>
  <si>
    <t>Company</t>
  </si>
  <si>
    <t>Address</t>
  </si>
  <si>
    <t>3701 Carling Avenue, Ottawa, Canada K2H-8S2</t>
  </si>
  <si>
    <t xml:space="preserve">Phone: </t>
  </si>
  <si>
    <t>613-998-2500</t>
  </si>
  <si>
    <t xml:space="preserve">Fax: </t>
  </si>
  <si>
    <t>613-990-6339</t>
  </si>
  <si>
    <t xml:space="preserve">email: </t>
  </si>
  <si>
    <t>gerald.chouinard@crc.ca</t>
  </si>
  <si>
    <t>Abstract:</t>
  </si>
  <si>
    <t>dB</t>
  </si>
  <si>
    <t>Gerald Chouinard, Communications Research Centre, Canada (CRC)</t>
  </si>
  <si>
    <t>Sensing Thresholds</t>
  </si>
  <si>
    <t>Danijela Cabric</t>
  </si>
  <si>
    <t>Communications Research Center</t>
  </si>
  <si>
    <t>UC Berkeley</t>
  </si>
  <si>
    <t>Danijela Cabric &lt;danijela@EECS.Berkeley.EDU&gt;</t>
  </si>
  <si>
    <t>Frequency (MHz)</t>
  </si>
  <si>
    <t>UHF TV Channel:</t>
  </si>
  <si>
    <t>Sensing thresholds</t>
  </si>
  <si>
    <t>DTV</t>
  </si>
  <si>
    <t>NTSC</t>
  </si>
  <si>
    <t>Part 74</t>
  </si>
  <si>
    <t>Beacon</t>
  </si>
  <si>
    <t>Reference sensing thresholds (dBm)</t>
  </si>
  <si>
    <t>Channel bandwidth (MHz)</t>
  </si>
  <si>
    <t>Reference sensing antenna gain (dBi)</t>
  </si>
  <si>
    <t>Omni antenna aperture (m^2)</t>
  </si>
  <si>
    <t>Reference power-flux-density (dB(W/m^2))</t>
  </si>
  <si>
    <t>Reference field strength (dB(uV/m))</t>
  </si>
  <si>
    <t>Maximum field strength for service protection</t>
  </si>
  <si>
    <t>dB(uV/m)</t>
  </si>
  <si>
    <t>Proposed reference field strength for sensing</t>
  </si>
  <si>
    <t>Margin for the sensing threshold</t>
  </si>
  <si>
    <t>Sensing Receiver</t>
  </si>
  <si>
    <t>Sensing antenna gain (dBi)</t>
  </si>
  <si>
    <t>Antenna noise temperature (K)</t>
  </si>
  <si>
    <t>Equivalent field strength generated by nearby LE equipment at the sensing antenna (dB(uV/m))</t>
  </si>
  <si>
    <t>RF noise temperature resulting from nearby LE equipment (K)</t>
  </si>
  <si>
    <t>Coupling loss (dB)</t>
  </si>
  <si>
    <t>Downlead loss (dB)</t>
  </si>
  <si>
    <t>Pre-selection filter loss (dB)</t>
  </si>
  <si>
    <t>LNA Noise Figure (dB)</t>
  </si>
  <si>
    <t>RF front-end Figure of Merit: G/T (dBK^1)</t>
  </si>
  <si>
    <t>Sensing Signal-to-Noise ratio (SNR)</t>
  </si>
  <si>
    <t>Probability of detection (true-positive)</t>
  </si>
  <si>
    <t>Theoretical model (Berkeley)</t>
  </si>
  <si>
    <t>Sensing time requirement to meet the C/N at the sensing threshold</t>
  </si>
  <si>
    <t>Available SNR (dB)</t>
  </si>
  <si>
    <t>SNR (dB) multipath variability</t>
  </si>
  <si>
    <t>Effective Available SNR (dB)</t>
  </si>
  <si>
    <t>Formula used</t>
  </si>
  <si>
    <t>Theta</t>
  </si>
  <si>
    <t>Number of averages</t>
  </si>
  <si>
    <t>Sensing Time (ms)</t>
  </si>
  <si>
    <t>Total time period over which sensing has to take place</t>
  </si>
  <si>
    <t>DTV energy detection (6 MHz)</t>
  </si>
  <si>
    <t>ms</t>
  </si>
  <si>
    <t>DTV pilot tone energy detection (10 kHz)</t>
  </si>
  <si>
    <t>DTV PN511 cyclostationary detection</t>
  </si>
  <si>
    <t>DTV PN63 cyclostationary detection</t>
  </si>
  <si>
    <t>NTSC visual carrier detection (in 20 kHz)</t>
  </si>
  <si>
    <t>NTSC sound carrier detection (in 20 kHz)</t>
  </si>
  <si>
    <t>Part 74 Wireless micro energy detection (200 kHz)</t>
  </si>
  <si>
    <t>Part 74 Beacon energy detection (10 kHz)</t>
  </si>
  <si>
    <t>Part 74 Beacon decoding (10 kHz)</t>
  </si>
  <si>
    <t>Signal availability:</t>
  </si>
  <si>
    <t>Empirical model based on sensing scheme measurement results</t>
  </si>
  <si>
    <t>Pfa</t>
  </si>
  <si>
    <t>Pd</t>
  </si>
  <si>
    <t>Measured SNR (dB)</t>
  </si>
  <si>
    <t>DTV Sampling Frequency</t>
  </si>
  <si>
    <t>MHz</t>
  </si>
  <si>
    <t>References:</t>
  </si>
  <si>
    <t>ITU-R RECOMMENDATION P.1546-1, "Method for point-to-area predictions for terrestrial services in the frequency range 30 MHz to 3 000 MHz", Geneva, 2003</t>
  </si>
  <si>
    <t>ITU-R DSB Handbook, "Terrestrial and satellite digital sound broadcasting to vehicular, portable and fixed receivers
in the VHF/UHF bands", Geneva, 2002</t>
  </si>
  <si>
    <t>DTV pilot tone correlated detection</t>
  </si>
  <si>
    <t>Equivalent Noise Figure (dB)</t>
  </si>
  <si>
    <t>System detection performance</t>
  </si>
  <si>
    <t>CPE detection performance</t>
  </si>
  <si>
    <t>Overall detection performance</t>
  </si>
  <si>
    <t>Number of systems in the area:</t>
  </si>
  <si>
    <t>Number of sensing CPEs:</t>
  </si>
  <si>
    <t>Antenna height (m)</t>
  </si>
  <si>
    <t>Probability of false alarm (false-positive)</t>
  </si>
  <si>
    <t>C/N requirements for the specified detection performance per Nyquist sample (BW*Time=1)</t>
  </si>
  <si>
    <r>
      <t xml:space="preserve">Measured SNR (dB)
</t>
    </r>
    <r>
      <rPr>
        <sz val="10"/>
        <rFont val="Arial"/>
        <family val="2"/>
      </rPr>
      <t>Meas. BW   TV: 6 MHz</t>
    </r>
  </si>
  <si>
    <t>Functional Requirements for the 802.22 WRAN Standard: 22-05-0007-46-0000_RAN_Requirements.doc</t>
  </si>
  <si>
    <t>DTV PN511 correlated detection</t>
  </si>
  <si>
    <t>DTV PN63 correlated detection</t>
  </si>
  <si>
    <t>DTV horizontal sync correlated detection</t>
  </si>
  <si>
    <t>DTV horizontal sync cyclostationary detection</t>
  </si>
  <si>
    <t>Philips Research</t>
  </si>
  <si>
    <t>Monisha Gosh</t>
  </si>
  <si>
    <t>Briarclif Manor, NY, USA</t>
  </si>
  <si>
    <t>monisha.ghosh@philips.com </t>
  </si>
  <si>
    <t>Probability of meeting the margin</t>
  </si>
  <si>
    <t>Multipath availability=</t>
  </si>
  <si>
    <r>
      <t xml:space="preserve">Sensing time required to meet the overall detection performance for the given DTV sensing threshold </t>
    </r>
    <r>
      <rPr>
        <sz val="12"/>
        <rFont val="Arial"/>
        <family val="2"/>
      </rPr>
      <t>(ms)</t>
    </r>
  </si>
  <si>
    <t>CPE  Pd:</t>
  </si>
  <si>
    <t>CPE  Pa:</t>
  </si>
  <si>
    <t>Overall Pd:</t>
  </si>
  <si>
    <t>System Pd:</t>
  </si>
  <si>
    <t>systems</t>
  </si>
  <si>
    <t>CPEs</t>
  </si>
  <si>
    <t>System Pfa:</t>
  </si>
  <si>
    <t>Overall Pfa:</t>
  </si>
  <si>
    <t>System Noise Figure (dB)</t>
  </si>
  <si>
    <t>Required probability of detection:</t>
  </si>
  <si>
    <t>Location standard deviation</t>
  </si>
  <si>
    <t>DTV minimum usable signal level:</t>
  </si>
  <si>
    <t>Time availability:</t>
  </si>
  <si>
    <t>Location availability:</t>
  </si>
  <si>
    <t>Equivalent location availability:</t>
  </si>
  <si>
    <t>Additional margin required (from 50% to equivalent location availability) (dB):</t>
  </si>
  <si>
    <t>Field stength level to be sensed (dBuV/m):</t>
  </si>
  <si>
    <t>Sensing threshold at noise-limited contour (dBm):</t>
  </si>
  <si>
    <t>802.22 WRAN Incumbent Sensing
Sensing time</t>
  </si>
  <si>
    <t>802.22 WRAN Incumbent Sensing
Probability budget</t>
  </si>
  <si>
    <t>802.22 WRAN Incumbent Sensing
Sensing threshold vs number of sensors</t>
  </si>
  <si>
    <t>Required probability of detection at each sensing device</t>
  </si>
  <si>
    <t>Number of sensing devices:</t>
  </si>
  <si>
    <t>doc.: IEEE 802.22-06/0051r7</t>
  </si>
  <si>
    <t>July 2006</t>
  </si>
  <si>
    <t>2006-07-03</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</si>
</sst>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 numFmtId="185" formatCode="#,##0.0"/>
    <numFmt numFmtId="186" formatCode="&quot;$&quot;#,##0"/>
    <numFmt numFmtId="187" formatCode="0.0000%"/>
    <numFmt numFmtId="188" formatCode="0.00000000000000%"/>
    <numFmt numFmtId="189" formatCode="0.00000000000000"/>
  </numFmts>
  <fonts count="24">
    <font>
      <sz val="10"/>
      <name val="Arial"/>
      <family val="0"/>
    </font>
    <font>
      <u val="single"/>
      <sz val="7.5"/>
      <color indexed="36"/>
      <name val="Arial"/>
      <family val="0"/>
    </font>
    <font>
      <u val="single"/>
      <sz val="10"/>
      <color indexed="12"/>
      <name val="Arial"/>
      <family val="0"/>
    </font>
    <font>
      <sz val="11"/>
      <name val="Arial"/>
      <family val="2"/>
    </font>
    <font>
      <sz val="10"/>
      <color indexed="10"/>
      <name val="Arial"/>
      <family val="2"/>
    </font>
    <font>
      <b/>
      <sz val="10"/>
      <name val="Arial"/>
      <family val="2"/>
    </font>
    <font>
      <b/>
      <sz val="14"/>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i/>
      <sz val="10"/>
      <name val="Arial"/>
      <family val="2"/>
    </font>
    <font>
      <b/>
      <sz val="10"/>
      <color indexed="8"/>
      <name val="Arial"/>
      <family val="2"/>
    </font>
    <font>
      <sz val="10"/>
      <color indexed="8"/>
      <name val="Arial"/>
      <family val="2"/>
    </font>
    <font>
      <b/>
      <sz val="12"/>
      <name val="Arial"/>
      <family val="2"/>
    </font>
    <font>
      <b/>
      <i/>
      <sz val="10"/>
      <name val="Arial"/>
      <family val="2"/>
    </font>
    <font>
      <b/>
      <sz val="12"/>
      <color indexed="8"/>
      <name val="Arial"/>
      <family val="2"/>
    </font>
    <font>
      <sz val="8"/>
      <name val="Arial"/>
      <family val="2"/>
    </font>
    <font>
      <sz val="8"/>
      <name val="Tahoma"/>
      <family val="0"/>
    </font>
    <font>
      <b/>
      <sz val="8"/>
      <name val="Tahoma"/>
      <family val="0"/>
    </font>
    <font>
      <sz val="12"/>
      <name val="Arial"/>
      <family val="2"/>
    </font>
    <font>
      <b/>
      <sz val="11"/>
      <name val="Arial"/>
      <family val="2"/>
    </font>
    <font>
      <b/>
      <sz val="8"/>
      <name val="Arial"/>
      <family val="2"/>
    </font>
  </fonts>
  <fills count="10">
    <fill>
      <patternFill/>
    </fill>
    <fill>
      <patternFill patternType="gray125"/>
    </fill>
    <fill>
      <patternFill patternType="solid">
        <fgColor indexed="40"/>
        <bgColor indexed="64"/>
      </patternFill>
    </fill>
    <fill>
      <patternFill patternType="solid">
        <fgColor indexed="14"/>
        <bgColor indexed="64"/>
      </patternFill>
    </fill>
    <fill>
      <patternFill patternType="solid">
        <fgColor indexed="47"/>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indexed="11"/>
        <bgColor indexed="64"/>
      </patternFill>
    </fill>
    <fill>
      <patternFill patternType="solid">
        <fgColor indexed="15"/>
        <bgColor indexed="64"/>
      </patternFill>
    </fill>
  </fills>
  <borders count="58">
    <border>
      <left/>
      <right/>
      <top/>
      <bottom/>
      <diagonal/>
    </border>
    <border>
      <left>
        <color indexed="63"/>
      </left>
      <right>
        <color indexed="63"/>
      </right>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medium"/>
      <top style="medium"/>
      <bottom>
        <color indexed="63"/>
      </bottom>
    </border>
    <border>
      <left>
        <color indexed="63"/>
      </left>
      <right style="thin"/>
      <top style="thin"/>
      <bottom>
        <color indexed="63"/>
      </botto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style="thin"/>
      <bottom>
        <color indexed="63"/>
      </botto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color indexed="63"/>
      </top>
      <bottom style="thin"/>
    </border>
    <border>
      <left style="thin"/>
      <right>
        <color indexed="63"/>
      </right>
      <top style="thin"/>
      <bottom style="thin"/>
    </border>
    <border>
      <left style="medium"/>
      <right style="thin"/>
      <top>
        <color indexed="63"/>
      </top>
      <bottom>
        <color indexed="63"/>
      </bottom>
    </border>
    <border>
      <left style="medium"/>
      <right style="thin"/>
      <top>
        <color indexed="63"/>
      </top>
      <bottom style="thin"/>
    </border>
    <border>
      <left style="medium"/>
      <right>
        <color indexed="63"/>
      </right>
      <top style="thin"/>
      <bottom style="medium"/>
    </border>
    <border>
      <left style="thin"/>
      <right style="medium"/>
      <top style="thin"/>
      <bottom style="medium"/>
    </border>
    <border>
      <left style="medium"/>
      <right>
        <color indexed="63"/>
      </right>
      <top style="medium"/>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color indexed="63"/>
      </top>
      <bottom style="medium"/>
    </border>
    <border>
      <left style="thin"/>
      <right>
        <color indexed="63"/>
      </right>
      <top style="thin"/>
      <bottom style="medium"/>
    </border>
    <border>
      <left style="medium"/>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pplyProtection="0">
      <alignment/>
    </xf>
    <xf numFmtId="9" fontId="0" fillId="0" borderId="0" applyFont="0" applyFill="0" applyBorder="0" applyAlignment="0" applyProtection="0"/>
  </cellStyleXfs>
  <cellXfs count="427">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xf>
    <xf numFmtId="49" fontId="8" fillId="0" borderId="0" xfId="0" applyNumberFormat="1" applyFont="1" applyAlignment="1" quotePrefix="1">
      <alignment/>
    </xf>
    <xf numFmtId="49" fontId="7" fillId="0" borderId="0" xfId="0" applyNumberFormat="1" applyFont="1" applyAlignment="1">
      <alignment/>
    </xf>
    <xf numFmtId="0" fontId="7" fillId="0" borderId="1" xfId="0" applyFont="1" applyBorder="1" applyAlignment="1">
      <alignment/>
    </xf>
    <xf numFmtId="0" fontId="7" fillId="0" borderId="0" xfId="0" applyFont="1" applyBorder="1" applyAlignment="1">
      <alignment/>
    </xf>
    <xf numFmtId="49" fontId="8" fillId="0" borderId="0" xfId="0" applyNumberFormat="1" applyFont="1" applyBorder="1" applyAlignment="1">
      <alignment/>
    </xf>
    <xf numFmtId="0" fontId="7" fillId="0" borderId="0" xfId="0" applyFont="1" applyBorder="1" applyAlignment="1">
      <alignment vertical="top"/>
    </xf>
    <xf numFmtId="0" fontId="9" fillId="0" borderId="0" xfId="0" applyFont="1" applyBorder="1" applyAlignment="1">
      <alignment/>
    </xf>
    <xf numFmtId="0" fontId="6" fillId="0" borderId="0" xfId="23" applyFont="1" applyFill="1" applyAlignment="1">
      <alignment horizontal="center" vertical="center"/>
    </xf>
    <xf numFmtId="0" fontId="0" fillId="0" borderId="0" xfId="23">
      <alignment/>
    </xf>
    <xf numFmtId="1" fontId="0" fillId="0" borderId="0" xfId="23" applyNumberFormat="1">
      <alignment/>
    </xf>
    <xf numFmtId="0" fontId="5" fillId="0" borderId="0" xfId="23" applyFont="1">
      <alignment/>
    </xf>
    <xf numFmtId="0" fontId="0" fillId="0" borderId="0" xfId="23" applyFont="1" applyAlignment="1">
      <alignment horizontal="center"/>
    </xf>
    <xf numFmtId="0" fontId="5" fillId="0" borderId="0" xfId="23" applyFont="1" applyAlignment="1">
      <alignment horizontal="right"/>
    </xf>
    <xf numFmtId="0" fontId="5" fillId="2" borderId="0" xfId="23" applyFont="1" applyFill="1" applyAlignment="1">
      <alignment horizontal="center"/>
    </xf>
    <xf numFmtId="0" fontId="0" fillId="0" borderId="0" xfId="23" applyFill="1" applyBorder="1" applyAlignment="1">
      <alignment/>
    </xf>
    <xf numFmtId="0" fontId="5" fillId="0" borderId="0" xfId="23" applyFont="1" applyFill="1" applyBorder="1" applyAlignment="1">
      <alignment horizontal="center"/>
    </xf>
    <xf numFmtId="1" fontId="5" fillId="0" borderId="0" xfId="23" applyNumberFormat="1" applyFont="1" applyFill="1" applyBorder="1" applyAlignment="1">
      <alignment horizontal="center"/>
    </xf>
    <xf numFmtId="0" fontId="5" fillId="0" borderId="0" xfId="23" applyFont="1" applyAlignment="1">
      <alignment horizontal="center"/>
    </xf>
    <xf numFmtId="0" fontId="0" fillId="0" borderId="0" xfId="23" applyFill="1" applyBorder="1" applyAlignment="1">
      <alignment horizontal="center"/>
    </xf>
    <xf numFmtId="0" fontId="5" fillId="0" borderId="0" xfId="23" applyFont="1" applyFill="1" applyBorder="1" applyAlignment="1">
      <alignment horizontal="center" wrapText="1"/>
    </xf>
    <xf numFmtId="0" fontId="5" fillId="0" borderId="2" xfId="23" applyFont="1" applyBorder="1">
      <alignment/>
    </xf>
    <xf numFmtId="0" fontId="0" fillId="0" borderId="3" xfId="23" applyFont="1" applyBorder="1" applyAlignment="1">
      <alignment horizontal="center"/>
    </xf>
    <xf numFmtId="0" fontId="0" fillId="0" borderId="4" xfId="23" applyBorder="1" applyAlignment="1">
      <alignment horizontal="center"/>
    </xf>
    <xf numFmtId="0" fontId="0" fillId="0" borderId="5" xfId="23" applyBorder="1" applyAlignment="1">
      <alignment horizontal="center"/>
    </xf>
    <xf numFmtId="0" fontId="0" fillId="0" borderId="6" xfId="23" applyFill="1" applyBorder="1" applyAlignment="1">
      <alignment horizontal="center"/>
    </xf>
    <xf numFmtId="0" fontId="5" fillId="0" borderId="7" xfId="23" applyFont="1" applyBorder="1">
      <alignment/>
    </xf>
    <xf numFmtId="0" fontId="0" fillId="0" borderId="8" xfId="23" applyFont="1" applyBorder="1" applyAlignment="1">
      <alignment horizontal="center"/>
    </xf>
    <xf numFmtId="0" fontId="0" fillId="0" borderId="0" xfId="23" applyBorder="1" applyAlignment="1">
      <alignment horizontal="center"/>
    </xf>
    <xf numFmtId="0" fontId="0" fillId="0" borderId="9" xfId="23" applyBorder="1" applyAlignment="1">
      <alignment horizontal="center"/>
    </xf>
    <xf numFmtId="0" fontId="0" fillId="0" borderId="10" xfId="23" applyFill="1" applyBorder="1" applyAlignment="1">
      <alignment horizontal="center"/>
    </xf>
    <xf numFmtId="0" fontId="0" fillId="0" borderId="7" xfId="23" applyBorder="1">
      <alignment/>
    </xf>
    <xf numFmtId="2" fontId="12" fillId="0" borderId="8" xfId="23" applyNumberFormat="1" applyFont="1" applyBorder="1" applyAlignment="1">
      <alignment horizontal="center"/>
    </xf>
    <xf numFmtId="2" fontId="12" fillId="0" borderId="0" xfId="23" applyNumberFormat="1" applyFont="1" applyBorder="1" applyAlignment="1">
      <alignment horizontal="center"/>
    </xf>
    <xf numFmtId="2" fontId="12" fillId="0" borderId="9" xfId="23" applyNumberFormat="1" applyFont="1" applyBorder="1" applyAlignment="1">
      <alignment horizontal="center"/>
    </xf>
    <xf numFmtId="2" fontId="12" fillId="0" borderId="10" xfId="23" applyNumberFormat="1" applyFont="1" applyBorder="1" applyAlignment="1">
      <alignment horizontal="center"/>
    </xf>
    <xf numFmtId="0" fontId="0" fillId="0" borderId="7" xfId="23" applyFont="1" applyFill="1" applyBorder="1">
      <alignment/>
    </xf>
    <xf numFmtId="172" fontId="12" fillId="0" borderId="8" xfId="23" applyNumberFormat="1" applyFont="1" applyBorder="1" applyAlignment="1">
      <alignment horizontal="center"/>
    </xf>
    <xf numFmtId="172" fontId="12" fillId="0" borderId="0" xfId="23" applyNumberFormat="1" applyFont="1" applyBorder="1" applyAlignment="1">
      <alignment horizontal="center"/>
    </xf>
    <xf numFmtId="172" fontId="12" fillId="0" borderId="9" xfId="23" applyNumberFormat="1" applyFont="1" applyBorder="1" applyAlignment="1">
      <alignment horizontal="center"/>
    </xf>
    <xf numFmtId="172" fontId="12" fillId="0" borderId="10" xfId="23" applyNumberFormat="1" applyFont="1" applyBorder="1" applyAlignment="1">
      <alignment horizontal="center"/>
    </xf>
    <xf numFmtId="0" fontId="5" fillId="0" borderId="11" xfId="23" applyFont="1" applyBorder="1">
      <alignment/>
    </xf>
    <xf numFmtId="172" fontId="0" fillId="0" borderId="12" xfId="23" applyNumberFormat="1" applyFont="1" applyBorder="1" applyAlignment="1">
      <alignment horizontal="center"/>
    </xf>
    <xf numFmtId="172" fontId="0" fillId="0" borderId="1" xfId="23" applyNumberFormat="1" applyFont="1" applyBorder="1" applyAlignment="1">
      <alignment horizontal="center"/>
    </xf>
    <xf numFmtId="172" fontId="0" fillId="0" borderId="13" xfId="23" applyNumberFormat="1" applyFont="1" applyBorder="1" applyAlignment="1">
      <alignment horizontal="center"/>
    </xf>
    <xf numFmtId="172" fontId="0" fillId="0" borderId="14" xfId="23" applyNumberFormat="1" applyFont="1" applyBorder="1" applyAlignment="1">
      <alignment horizontal="center"/>
    </xf>
    <xf numFmtId="0" fontId="0" fillId="0" borderId="0" xfId="23" applyAlignment="1">
      <alignment horizontal="center"/>
    </xf>
    <xf numFmtId="0" fontId="0" fillId="0" borderId="2" xfId="23" applyFont="1" applyBorder="1">
      <alignment/>
    </xf>
    <xf numFmtId="172" fontId="0" fillId="0" borderId="3" xfId="23" applyNumberFormat="1" applyBorder="1" applyAlignment="1">
      <alignment horizontal="center"/>
    </xf>
    <xf numFmtId="172" fontId="0" fillId="0" borderId="15" xfId="23" applyNumberFormat="1" applyBorder="1" applyAlignment="1">
      <alignment horizontal="center"/>
    </xf>
    <xf numFmtId="0" fontId="0" fillId="0" borderId="16" xfId="23" applyBorder="1" applyAlignment="1">
      <alignment horizontal="center"/>
    </xf>
    <xf numFmtId="0" fontId="0" fillId="0" borderId="17" xfId="23" applyFont="1" applyBorder="1">
      <alignment/>
    </xf>
    <xf numFmtId="172" fontId="0" fillId="0" borderId="18" xfId="23" applyNumberFormat="1" applyFont="1" applyBorder="1" applyAlignment="1">
      <alignment horizontal="center"/>
    </xf>
    <xf numFmtId="172" fontId="0" fillId="0" borderId="19" xfId="23" applyNumberFormat="1" applyBorder="1" applyAlignment="1">
      <alignment horizontal="center"/>
    </xf>
    <xf numFmtId="172" fontId="0" fillId="0" borderId="18" xfId="23" applyNumberFormat="1" applyBorder="1" applyAlignment="1">
      <alignment horizontal="center"/>
    </xf>
    <xf numFmtId="172" fontId="0" fillId="0" borderId="20" xfId="23" applyNumberFormat="1" applyBorder="1" applyAlignment="1">
      <alignment horizontal="center"/>
    </xf>
    <xf numFmtId="0" fontId="0" fillId="0" borderId="21" xfId="23" applyBorder="1" applyAlignment="1">
      <alignment horizontal="center"/>
    </xf>
    <xf numFmtId="0" fontId="5" fillId="0" borderId="11" xfId="23" applyFont="1" applyFill="1" applyBorder="1">
      <alignment/>
    </xf>
    <xf numFmtId="0" fontId="0" fillId="0" borderId="22" xfId="23" applyBorder="1" applyAlignment="1">
      <alignment horizontal="center"/>
    </xf>
    <xf numFmtId="0" fontId="5" fillId="0" borderId="0" xfId="23" applyFont="1" applyBorder="1">
      <alignment/>
    </xf>
    <xf numFmtId="2" fontId="0" fillId="0" borderId="0" xfId="23" applyNumberFormat="1" applyAlignment="1">
      <alignment horizontal="center"/>
    </xf>
    <xf numFmtId="0" fontId="0" fillId="0" borderId="0" xfId="23" applyFont="1" applyFill="1" applyBorder="1" applyAlignment="1">
      <alignment horizontal="center"/>
    </xf>
    <xf numFmtId="0" fontId="5" fillId="0" borderId="7" xfId="23" applyFont="1" applyBorder="1" applyAlignment="1">
      <alignment horizontal="center"/>
    </xf>
    <xf numFmtId="180" fontId="0" fillId="0" borderId="0" xfId="23" applyNumberFormat="1">
      <alignment/>
    </xf>
    <xf numFmtId="0" fontId="0" fillId="0" borderId="0" xfId="23" applyNumberFormat="1" applyFont="1" applyFill="1" applyBorder="1" applyAlignment="1">
      <alignment horizontal="center"/>
    </xf>
    <xf numFmtId="0" fontId="0" fillId="0" borderId="2" xfId="23" applyBorder="1">
      <alignment/>
    </xf>
    <xf numFmtId="0" fontId="0" fillId="0" borderId="0" xfId="23" applyAlignment="1">
      <alignment/>
    </xf>
    <xf numFmtId="0" fontId="0" fillId="0" borderId="0" xfId="23" applyFont="1" applyFill="1" applyBorder="1" applyAlignment="1">
      <alignment horizontal="center" vertical="top" wrapText="1"/>
    </xf>
    <xf numFmtId="172" fontId="0" fillId="0" borderId="0" xfId="23" applyNumberFormat="1" applyFill="1" applyBorder="1" applyAlignment="1">
      <alignment horizontal="center"/>
    </xf>
    <xf numFmtId="0" fontId="5" fillId="0" borderId="0" xfId="23" applyFont="1" applyFill="1" applyBorder="1" applyAlignment="1">
      <alignment horizontal="left"/>
    </xf>
    <xf numFmtId="2" fontId="0" fillId="0" borderId="0" xfId="23" applyNumberFormat="1" applyFill="1" applyBorder="1" applyAlignment="1">
      <alignment horizontal="center"/>
    </xf>
    <xf numFmtId="0" fontId="0" fillId="0" borderId="7" xfId="23" applyBorder="1" applyAlignment="1">
      <alignment wrapText="1"/>
    </xf>
    <xf numFmtId="0" fontId="0" fillId="0" borderId="7" xfId="23" applyBorder="1" applyAlignment="1">
      <alignment horizontal="left" wrapText="1"/>
    </xf>
    <xf numFmtId="0" fontId="0" fillId="0" borderId="0" xfId="23" applyBorder="1" applyAlignment="1">
      <alignment horizontal="left" wrapText="1"/>
    </xf>
    <xf numFmtId="0" fontId="0" fillId="0" borderId="7" xfId="23" applyFill="1" applyBorder="1">
      <alignment/>
    </xf>
    <xf numFmtId="0" fontId="0" fillId="0" borderId="23" xfId="23" applyFill="1" applyBorder="1" applyAlignment="1">
      <alignment horizontal="left" vertical="top" wrapText="1"/>
    </xf>
    <xf numFmtId="172" fontId="0" fillId="3" borderId="24" xfId="23" applyNumberFormat="1" applyFont="1" applyFill="1" applyBorder="1" applyAlignment="1">
      <alignment horizontal="center" vertical="top" wrapText="1"/>
    </xf>
    <xf numFmtId="172" fontId="0" fillId="0" borderId="25" xfId="23" applyNumberFormat="1" applyFont="1" applyFill="1" applyBorder="1" applyAlignment="1">
      <alignment horizontal="center" vertical="top" wrapText="1"/>
    </xf>
    <xf numFmtId="172" fontId="0" fillId="0" borderId="26" xfId="23" applyNumberFormat="1" applyFont="1" applyFill="1" applyBorder="1" applyAlignment="1">
      <alignment horizontal="center" vertical="top" wrapText="1"/>
    </xf>
    <xf numFmtId="172" fontId="0" fillId="0" borderId="27" xfId="23" applyNumberFormat="1" applyFont="1" applyFill="1" applyBorder="1" applyAlignment="1">
      <alignment horizontal="center" vertical="top" wrapText="1"/>
    </xf>
    <xf numFmtId="0" fontId="0" fillId="0" borderId="28" xfId="23" applyBorder="1" applyAlignment="1">
      <alignment horizontal="center"/>
    </xf>
    <xf numFmtId="0" fontId="12" fillId="0" borderId="0" xfId="23" applyFont="1" applyFill="1" applyBorder="1" applyAlignment="1">
      <alignment horizontal="right"/>
    </xf>
    <xf numFmtId="1" fontId="5" fillId="0" borderId="0" xfId="23" applyNumberFormat="1" applyFont="1" applyFill="1" applyBorder="1" applyAlignment="1">
      <alignment horizontal="center" wrapText="1"/>
    </xf>
    <xf numFmtId="0" fontId="0" fillId="0" borderId="0" xfId="23" applyFill="1" applyBorder="1" applyAlignment="1">
      <alignment horizontal="left" vertical="top" wrapText="1"/>
    </xf>
    <xf numFmtId="172" fontId="0" fillId="0" borderId="0" xfId="23" applyNumberFormat="1" applyFont="1" applyFill="1" applyBorder="1" applyAlignment="1">
      <alignment horizontal="center" vertical="top" wrapText="1"/>
    </xf>
    <xf numFmtId="1" fontId="12" fillId="0" borderId="0" xfId="23" applyNumberFormat="1" applyFont="1" applyFill="1" applyBorder="1" applyAlignment="1">
      <alignment horizontal="right"/>
    </xf>
    <xf numFmtId="173" fontId="0" fillId="0" borderId="0" xfId="23" applyNumberFormat="1" applyFill="1" applyBorder="1" applyAlignment="1">
      <alignment horizontal="center"/>
    </xf>
    <xf numFmtId="0" fontId="0" fillId="0" borderId="0" xfId="23" applyFont="1" applyFill="1" applyBorder="1" applyAlignment="1">
      <alignment/>
    </xf>
    <xf numFmtId="0" fontId="13" fillId="0" borderId="0" xfId="23" applyFont="1" applyFill="1" applyBorder="1" applyAlignment="1">
      <alignment horizontal="left"/>
    </xf>
    <xf numFmtId="1" fontId="0" fillId="0" borderId="0" xfId="23" applyNumberFormat="1" applyFill="1" applyBorder="1" applyAlignment="1">
      <alignment/>
    </xf>
    <xf numFmtId="0" fontId="14" fillId="0" borderId="2" xfId="23" applyFont="1" applyFill="1" applyBorder="1" applyAlignment="1">
      <alignment horizontal="left"/>
    </xf>
    <xf numFmtId="9" fontId="0" fillId="4" borderId="3" xfId="23" applyNumberFormat="1" applyFill="1" applyBorder="1" applyAlignment="1">
      <alignment horizontal="center"/>
    </xf>
    <xf numFmtId="9" fontId="0" fillId="4" borderId="4" xfId="23" applyNumberFormat="1" applyFill="1" applyBorder="1" applyAlignment="1">
      <alignment horizontal="center"/>
    </xf>
    <xf numFmtId="9" fontId="0" fillId="4" borderId="15" xfId="23" applyNumberFormat="1" applyFill="1" applyBorder="1" applyAlignment="1">
      <alignment horizontal="center"/>
    </xf>
    <xf numFmtId="1" fontId="0" fillId="0" borderId="0" xfId="23" applyNumberFormat="1" applyFill="1" applyBorder="1" applyAlignment="1">
      <alignment horizontal="center"/>
    </xf>
    <xf numFmtId="0" fontId="14" fillId="0" borderId="11" xfId="23" applyFont="1" applyFill="1" applyBorder="1" applyAlignment="1">
      <alignment horizontal="left"/>
    </xf>
    <xf numFmtId="9" fontId="0" fillId="4" borderId="12" xfId="23" applyNumberFormat="1" applyFill="1" applyBorder="1" applyAlignment="1">
      <alignment horizontal="center"/>
    </xf>
    <xf numFmtId="9" fontId="0" fillId="4" borderId="1" xfId="23" applyNumberFormat="1" applyFill="1" applyBorder="1" applyAlignment="1">
      <alignment horizontal="center"/>
    </xf>
    <xf numFmtId="9" fontId="0" fillId="4" borderId="29" xfId="23" applyNumberFormat="1" applyFill="1" applyBorder="1" applyAlignment="1">
      <alignment horizontal="center"/>
    </xf>
    <xf numFmtId="0" fontId="14" fillId="0" borderId="0" xfId="23" applyFont="1" applyFill="1" applyBorder="1" applyAlignment="1">
      <alignment horizontal="left"/>
    </xf>
    <xf numFmtId="9" fontId="0" fillId="0" borderId="0" xfId="23" applyNumberFormat="1" applyFill="1" applyBorder="1" applyAlignment="1">
      <alignment horizontal="center"/>
    </xf>
    <xf numFmtId="172" fontId="0" fillId="0" borderId="0" xfId="23" applyNumberFormat="1" applyFont="1" applyFill="1" applyBorder="1" applyAlignment="1">
      <alignment horizontal="center"/>
    </xf>
    <xf numFmtId="2" fontId="0" fillId="0" borderId="0" xfId="23" applyNumberFormat="1" applyFill="1" applyBorder="1" applyAlignment="1">
      <alignment horizontal="center" vertical="center" wrapText="1"/>
    </xf>
    <xf numFmtId="0" fontId="13" fillId="0" borderId="0" xfId="23" applyFont="1" applyFill="1" applyBorder="1" applyAlignment="1">
      <alignment horizontal="left" vertical="center" wrapText="1"/>
    </xf>
    <xf numFmtId="0" fontId="5" fillId="0" borderId="0" xfId="23" applyFont="1" applyBorder="1" applyAlignment="1">
      <alignment horizontal="center" vertical="center" wrapText="1"/>
    </xf>
    <xf numFmtId="0" fontId="5" fillId="0" borderId="0" xfId="23" applyFont="1" applyFill="1" applyBorder="1" applyAlignment="1">
      <alignment horizontal="center" vertical="center" wrapText="1"/>
    </xf>
    <xf numFmtId="0" fontId="0" fillId="0" borderId="0" xfId="23" applyBorder="1">
      <alignment/>
    </xf>
    <xf numFmtId="0" fontId="0" fillId="0" borderId="2" xfId="23" applyFont="1" applyFill="1" applyBorder="1" applyAlignment="1">
      <alignment horizontal="left" wrapText="1"/>
    </xf>
    <xf numFmtId="172" fontId="0" fillId="0" borderId="3" xfId="23" applyNumberFormat="1" applyFill="1" applyBorder="1" applyAlignment="1">
      <alignment horizontal="center" wrapText="1"/>
    </xf>
    <xf numFmtId="172" fontId="0" fillId="0" borderId="4" xfId="23" applyNumberFormat="1" applyFill="1" applyBorder="1" applyAlignment="1">
      <alignment horizontal="center" wrapText="1"/>
    </xf>
    <xf numFmtId="1" fontId="0" fillId="0" borderId="8" xfId="23" applyNumberFormat="1" applyFont="1" applyFill="1" applyBorder="1" applyAlignment="1">
      <alignment horizontal="center"/>
    </xf>
    <xf numFmtId="183" fontId="0" fillId="0" borderId="4" xfId="23" applyNumberFormat="1" applyBorder="1" applyAlignment="1">
      <alignment horizontal="center"/>
    </xf>
    <xf numFmtId="2" fontId="0" fillId="0" borderId="15" xfId="23" applyNumberFormat="1" applyBorder="1" applyAlignment="1">
      <alignment horizontal="center"/>
    </xf>
    <xf numFmtId="0" fontId="0" fillId="0" borderId="7" xfId="23" applyFont="1" applyFill="1" applyBorder="1" applyAlignment="1">
      <alignment horizontal="left"/>
    </xf>
    <xf numFmtId="172" fontId="0" fillId="0" borderId="8" xfId="23" applyNumberFormat="1" applyFill="1" applyBorder="1" applyAlignment="1">
      <alignment horizontal="center" wrapText="1"/>
    </xf>
    <xf numFmtId="183" fontId="0" fillId="0" borderId="0" xfId="23" applyNumberFormat="1" applyBorder="1" applyAlignment="1">
      <alignment horizontal="center"/>
    </xf>
    <xf numFmtId="2" fontId="0" fillId="0" borderId="30" xfId="23" applyNumberFormat="1" applyBorder="1" applyAlignment="1">
      <alignment horizontal="center"/>
    </xf>
    <xf numFmtId="172" fontId="0" fillId="0" borderId="31" xfId="23" applyNumberFormat="1" applyFill="1" applyBorder="1" applyAlignment="1">
      <alignment horizontal="center"/>
    </xf>
    <xf numFmtId="172" fontId="0" fillId="0" borderId="8" xfId="23" applyNumberFormat="1" applyFill="1" applyBorder="1" applyAlignment="1">
      <alignment horizontal="center"/>
    </xf>
    <xf numFmtId="9" fontId="0" fillId="0" borderId="0" xfId="23" applyNumberFormat="1" applyBorder="1" applyAlignment="1">
      <alignment horizontal="center"/>
    </xf>
    <xf numFmtId="2" fontId="0" fillId="0" borderId="16" xfId="23" applyNumberFormat="1" applyFill="1" applyBorder="1" applyAlignment="1">
      <alignment horizontal="center"/>
    </xf>
    <xf numFmtId="172" fontId="0" fillId="0" borderId="32" xfId="23" applyNumberFormat="1" applyFill="1" applyBorder="1" applyAlignment="1">
      <alignment horizontal="center"/>
    </xf>
    <xf numFmtId="172" fontId="0" fillId="0" borderId="0" xfId="23" applyNumberFormat="1" applyFill="1" applyBorder="1" applyAlignment="1">
      <alignment/>
    </xf>
    <xf numFmtId="2" fontId="0" fillId="0" borderId="21" xfId="23" applyNumberFormat="1" applyFill="1" applyBorder="1" applyAlignment="1">
      <alignment horizontal="center"/>
    </xf>
    <xf numFmtId="0" fontId="0" fillId="0" borderId="17" xfId="23" applyFont="1" applyFill="1" applyBorder="1" applyAlignment="1">
      <alignment horizontal="left"/>
    </xf>
    <xf numFmtId="172" fontId="0" fillId="0" borderId="18" xfId="23" applyNumberFormat="1" applyFill="1" applyBorder="1" applyAlignment="1">
      <alignment horizontal="center" wrapText="1"/>
    </xf>
    <xf numFmtId="172" fontId="0" fillId="0" borderId="31" xfId="23" applyNumberFormat="1" applyFill="1" applyBorder="1" applyAlignment="1">
      <alignment horizontal="center" wrapText="1"/>
    </xf>
    <xf numFmtId="1" fontId="0" fillId="0" borderId="18" xfId="23" applyNumberFormat="1" applyFont="1" applyFill="1" applyBorder="1" applyAlignment="1">
      <alignment horizontal="center"/>
    </xf>
    <xf numFmtId="9" fontId="0" fillId="0" borderId="31" xfId="23" applyNumberFormat="1" applyBorder="1" applyAlignment="1">
      <alignment horizontal="center"/>
    </xf>
    <xf numFmtId="2" fontId="0" fillId="0" borderId="20" xfId="23" applyNumberFormat="1" applyBorder="1" applyAlignment="1">
      <alignment horizontal="center"/>
    </xf>
    <xf numFmtId="2" fontId="0" fillId="0" borderId="22" xfId="23" applyNumberFormat="1" applyFill="1" applyBorder="1" applyAlignment="1">
      <alignment horizontal="center" wrapText="1"/>
    </xf>
    <xf numFmtId="172" fontId="0" fillId="0" borderId="33" xfId="23" applyNumberFormat="1" applyFill="1" applyBorder="1" applyAlignment="1">
      <alignment horizontal="center"/>
    </xf>
    <xf numFmtId="173" fontId="0" fillId="0" borderId="9" xfId="23" applyNumberFormat="1" applyBorder="1" applyAlignment="1">
      <alignment horizontal="center"/>
    </xf>
    <xf numFmtId="180" fontId="0" fillId="0" borderId="30" xfId="23" applyNumberFormat="1" applyBorder="1" applyAlignment="1">
      <alignment horizontal="center"/>
    </xf>
    <xf numFmtId="172" fontId="0" fillId="0" borderId="18" xfId="23" applyNumberFormat="1" applyFill="1" applyBorder="1" applyAlignment="1">
      <alignment horizontal="center"/>
    </xf>
    <xf numFmtId="172" fontId="0" fillId="0" borderId="34" xfId="23" applyNumberFormat="1" applyFill="1" applyBorder="1" applyAlignment="1">
      <alignment horizontal="center" wrapText="1"/>
    </xf>
    <xf numFmtId="1" fontId="0" fillId="0" borderId="34" xfId="23" applyNumberFormat="1" applyFont="1" applyFill="1" applyBorder="1" applyAlignment="1">
      <alignment horizontal="center"/>
    </xf>
    <xf numFmtId="183" fontId="0" fillId="0" borderId="35" xfId="23" applyNumberFormat="1" applyBorder="1" applyAlignment="1">
      <alignment horizontal="center"/>
    </xf>
    <xf numFmtId="2" fontId="0" fillId="0" borderId="36" xfId="23" applyNumberFormat="1" applyBorder="1" applyAlignment="1">
      <alignment horizontal="center"/>
    </xf>
    <xf numFmtId="1" fontId="0" fillId="0" borderId="33" xfId="23" applyNumberFormat="1" applyFont="1" applyFill="1" applyBorder="1" applyAlignment="1">
      <alignment horizontal="center"/>
    </xf>
    <xf numFmtId="0" fontId="0" fillId="0" borderId="11" xfId="23" applyFont="1" applyFill="1" applyBorder="1" applyAlignment="1">
      <alignment horizontal="left"/>
    </xf>
    <xf numFmtId="172" fontId="0" fillId="0" borderId="12" xfId="23" applyNumberFormat="1" applyFill="1" applyBorder="1" applyAlignment="1">
      <alignment horizontal="center"/>
    </xf>
    <xf numFmtId="172" fontId="0" fillId="0" borderId="1" xfId="23" applyNumberFormat="1" applyFill="1" applyBorder="1" applyAlignment="1">
      <alignment horizontal="center"/>
    </xf>
    <xf numFmtId="172" fontId="0" fillId="0" borderId="12" xfId="23" applyNumberFormat="1" applyFill="1" applyBorder="1" applyAlignment="1">
      <alignment horizontal="center" wrapText="1"/>
    </xf>
    <xf numFmtId="9" fontId="0" fillId="0" borderId="1" xfId="23" applyNumberFormat="1" applyBorder="1" applyAlignment="1">
      <alignment horizontal="center"/>
    </xf>
    <xf numFmtId="2" fontId="0" fillId="0" borderId="29" xfId="23" applyNumberFormat="1" applyBorder="1" applyAlignment="1">
      <alignment horizontal="center"/>
    </xf>
    <xf numFmtId="0" fontId="0" fillId="0" borderId="0" xfId="23" applyFont="1" applyFill="1" applyBorder="1" applyAlignment="1">
      <alignment horizontal="left"/>
    </xf>
    <xf numFmtId="172" fontId="5" fillId="0" borderId="0" xfId="23" applyNumberFormat="1" applyFont="1" applyFill="1" applyBorder="1" applyAlignment="1">
      <alignment horizontal="right"/>
    </xf>
    <xf numFmtId="9" fontId="0" fillId="0" borderId="18" xfId="23" applyNumberFormat="1" applyFill="1" applyBorder="1" applyAlignment="1">
      <alignment horizontal="center"/>
    </xf>
    <xf numFmtId="172" fontId="0" fillId="0" borderId="0" xfId="23" applyNumberFormat="1" applyFill="1" applyBorder="1" applyAlignment="1">
      <alignment horizontal="center" wrapText="1"/>
    </xf>
    <xf numFmtId="172" fontId="5" fillId="0" borderId="0" xfId="23" applyNumberFormat="1" applyFont="1" applyFill="1" applyBorder="1" applyAlignment="1">
      <alignment horizontal="center"/>
    </xf>
    <xf numFmtId="1" fontId="0" fillId="0" borderId="0" xfId="23" applyNumberFormat="1" applyFont="1" applyFill="1" applyBorder="1" applyAlignment="1">
      <alignment horizontal="center"/>
    </xf>
    <xf numFmtId="172" fontId="16" fillId="0" borderId="0" xfId="23" applyNumberFormat="1" applyFont="1" applyFill="1" applyBorder="1" applyAlignment="1">
      <alignment horizontal="center"/>
    </xf>
    <xf numFmtId="0" fontId="17" fillId="0" borderId="0" xfId="23" applyFont="1" applyFill="1" applyBorder="1" applyAlignment="1">
      <alignment horizontal="center"/>
    </xf>
    <xf numFmtId="0" fontId="13" fillId="0" borderId="0" xfId="23" applyFont="1" applyFill="1" applyBorder="1" applyAlignment="1">
      <alignment horizontal="left" wrapText="1"/>
    </xf>
    <xf numFmtId="9" fontId="14" fillId="0" borderId="0" xfId="23" applyNumberFormat="1" applyFont="1" applyFill="1" applyBorder="1" applyAlignment="1" applyProtection="1">
      <alignment horizontal="center"/>
      <protection/>
    </xf>
    <xf numFmtId="0" fontId="0" fillId="0" borderId="0" xfId="23" applyFill="1" applyBorder="1" applyAlignment="1">
      <alignment horizontal="center" wrapText="1"/>
    </xf>
    <xf numFmtId="10" fontId="0" fillId="0" borderId="0" xfId="23" applyNumberFormat="1" applyFill="1" applyBorder="1" applyAlignment="1">
      <alignment horizontal="center"/>
    </xf>
    <xf numFmtId="0" fontId="15" fillId="0" borderId="0" xfId="23" applyFont="1" applyFill="1" applyBorder="1" applyAlignment="1">
      <alignment horizontal="center"/>
    </xf>
    <xf numFmtId="0" fontId="18" fillId="0" borderId="0" xfId="23" applyFont="1" applyFill="1" applyBorder="1" applyAlignment="1">
      <alignment/>
    </xf>
    <xf numFmtId="10" fontId="0" fillId="0" borderId="32" xfId="23" applyNumberFormat="1" applyFill="1" applyBorder="1" applyAlignment="1">
      <alignment horizontal="center"/>
    </xf>
    <xf numFmtId="172" fontId="4" fillId="4" borderId="37" xfId="23" applyNumberFormat="1" applyFont="1" applyFill="1" applyBorder="1" applyAlignment="1">
      <alignment horizontal="center"/>
    </xf>
    <xf numFmtId="172" fontId="4" fillId="0" borderId="0" xfId="23" applyNumberFormat="1" applyFont="1" applyFill="1" applyBorder="1" applyAlignment="1">
      <alignment horizontal="center"/>
    </xf>
    <xf numFmtId="10" fontId="0" fillId="0" borderId="0" xfId="23" applyNumberFormat="1" applyFill="1" applyBorder="1" applyAlignment="1">
      <alignment/>
    </xf>
    <xf numFmtId="172" fontId="4" fillId="4" borderId="14" xfId="23" applyNumberFormat="1" applyFont="1" applyFill="1" applyBorder="1" applyAlignment="1">
      <alignment horizontal="center"/>
    </xf>
    <xf numFmtId="2" fontId="0" fillId="0" borderId="0" xfId="23" applyNumberFormat="1" applyFont="1" applyFill="1" applyBorder="1" applyAlignment="1">
      <alignment horizontal="center"/>
    </xf>
    <xf numFmtId="172" fontId="0" fillId="0" borderId="4" xfId="23" applyNumberFormat="1" applyBorder="1" applyAlignment="1">
      <alignment horizontal="center"/>
    </xf>
    <xf numFmtId="173" fontId="0" fillId="5" borderId="34" xfId="23" applyNumberFormat="1" applyFill="1" applyBorder="1" applyAlignment="1">
      <alignment horizontal="center"/>
    </xf>
    <xf numFmtId="172" fontId="0" fillId="0" borderId="0" xfId="23" applyNumberFormat="1" applyBorder="1" applyAlignment="1">
      <alignment horizontal="center"/>
    </xf>
    <xf numFmtId="4" fontId="0" fillId="0" borderId="30" xfId="23" applyNumberFormat="1" applyFill="1" applyBorder="1" applyAlignment="1">
      <alignment horizontal="center" wrapText="1"/>
    </xf>
    <xf numFmtId="172" fontId="0" fillId="5" borderId="34" xfId="23" applyNumberFormat="1" applyFill="1" applyBorder="1" applyAlignment="1">
      <alignment horizontal="center"/>
    </xf>
    <xf numFmtId="0" fontId="0" fillId="0" borderId="0" xfId="23" applyFill="1" applyBorder="1">
      <alignment/>
    </xf>
    <xf numFmtId="172" fontId="0" fillId="0" borderId="16" xfId="23" applyNumberFormat="1" applyFill="1" applyBorder="1" applyAlignment="1">
      <alignment horizontal="center"/>
    </xf>
    <xf numFmtId="172" fontId="0" fillId="0" borderId="21" xfId="23" applyNumberFormat="1" applyFill="1" applyBorder="1" applyAlignment="1">
      <alignment horizontal="center"/>
    </xf>
    <xf numFmtId="173" fontId="0" fillId="0" borderId="0" xfId="23" applyNumberFormat="1" applyFill="1" applyBorder="1" applyAlignment="1">
      <alignment/>
    </xf>
    <xf numFmtId="172" fontId="0" fillId="0" borderId="22" xfId="23" applyNumberFormat="1" applyFill="1" applyBorder="1" applyAlignment="1">
      <alignment horizontal="center"/>
    </xf>
    <xf numFmtId="172" fontId="0" fillId="0" borderId="32" xfId="23" applyNumberFormat="1" applyFill="1" applyBorder="1" applyAlignment="1">
      <alignment horizontal="center" wrapText="1"/>
    </xf>
    <xf numFmtId="172" fontId="0" fillId="0" borderId="32" xfId="23" applyNumberFormat="1" applyBorder="1" applyAlignment="1">
      <alignment horizontal="center"/>
    </xf>
    <xf numFmtId="172" fontId="0" fillId="0" borderId="31" xfId="23" applyNumberFormat="1" applyBorder="1" applyAlignment="1">
      <alignment horizontal="center"/>
    </xf>
    <xf numFmtId="172" fontId="0" fillId="0" borderId="1" xfId="23" applyNumberFormat="1" applyFill="1" applyBorder="1" applyAlignment="1">
      <alignment horizontal="center" wrapText="1"/>
    </xf>
    <xf numFmtId="172" fontId="0" fillId="0" borderId="1" xfId="23" applyNumberFormat="1" applyBorder="1" applyAlignment="1">
      <alignment horizontal="center"/>
    </xf>
    <xf numFmtId="1" fontId="0" fillId="0" borderId="0" xfId="23" applyNumberFormat="1" applyFill="1" applyBorder="1">
      <alignment/>
    </xf>
    <xf numFmtId="0" fontId="15" fillId="0" borderId="0" xfId="22" applyFont="1">
      <alignment/>
      <protection/>
    </xf>
    <xf numFmtId="0" fontId="0" fillId="0" borderId="0" xfId="22">
      <alignment/>
      <protection/>
    </xf>
    <xf numFmtId="49" fontId="0" fillId="0" borderId="0" xfId="22" applyNumberFormat="1">
      <alignment/>
      <protection/>
    </xf>
    <xf numFmtId="0" fontId="3" fillId="0" borderId="0" xfId="22" applyFont="1" applyAlignment="1">
      <alignment horizontal="center" vertical="center"/>
      <protection/>
    </xf>
    <xf numFmtId="0" fontId="0" fillId="0" borderId="7" xfId="23" applyBorder="1" applyAlignment="1">
      <alignment vertical="center" wrapText="1"/>
    </xf>
    <xf numFmtId="172" fontId="0" fillId="0" borderId="3" xfId="23" applyNumberFormat="1" applyFont="1" applyBorder="1" applyAlignment="1">
      <alignment horizontal="center"/>
    </xf>
    <xf numFmtId="10" fontId="0" fillId="0" borderId="16" xfId="23" applyNumberFormat="1" applyFill="1" applyBorder="1" applyAlignment="1">
      <alignment horizontal="center"/>
    </xf>
    <xf numFmtId="10" fontId="0" fillId="0" borderId="38" xfId="23" applyNumberFormat="1" applyFill="1" applyBorder="1" applyAlignment="1">
      <alignment horizontal="center"/>
    </xf>
    <xf numFmtId="0" fontId="0" fillId="0" borderId="0" xfId="23" applyFont="1">
      <alignment/>
    </xf>
    <xf numFmtId="10" fontId="0" fillId="0" borderId="39" xfId="23" applyNumberFormat="1" applyFill="1" applyBorder="1" applyAlignment="1">
      <alignment horizontal="center"/>
    </xf>
    <xf numFmtId="0" fontId="0" fillId="0" borderId="7" xfId="23" applyFont="1" applyFill="1" applyBorder="1">
      <alignment/>
    </xf>
    <xf numFmtId="0" fontId="5" fillId="0" borderId="16" xfId="23" applyNumberFormat="1" applyFont="1" applyFill="1" applyBorder="1" applyAlignment="1">
      <alignment horizontal="center"/>
    </xf>
    <xf numFmtId="10" fontId="0" fillId="0" borderId="5" xfId="23" applyNumberFormat="1" applyFill="1" applyBorder="1" applyAlignment="1">
      <alignment horizontal="center"/>
    </xf>
    <xf numFmtId="10" fontId="0" fillId="0" borderId="40" xfId="23" applyNumberFormat="1" applyBorder="1" applyAlignment="1">
      <alignment horizontal="center"/>
    </xf>
    <xf numFmtId="10" fontId="0" fillId="0" borderId="9" xfId="23" applyNumberFormat="1" applyBorder="1" applyAlignment="1">
      <alignment horizontal="center"/>
    </xf>
    <xf numFmtId="10" fontId="0" fillId="0" borderId="13" xfId="23" applyNumberFormat="1" applyBorder="1" applyAlignment="1">
      <alignment horizontal="center"/>
    </xf>
    <xf numFmtId="172" fontId="0" fillId="0" borderId="33" xfId="23" applyNumberFormat="1" applyFill="1" applyBorder="1" applyAlignment="1">
      <alignment horizontal="center" wrapText="1"/>
    </xf>
    <xf numFmtId="181" fontId="0" fillId="0" borderId="0" xfId="23" applyNumberFormat="1" applyFill="1" applyBorder="1" applyAlignment="1">
      <alignment/>
    </xf>
    <xf numFmtId="10" fontId="0" fillId="4" borderId="12" xfId="23" applyNumberFormat="1" applyFill="1" applyBorder="1" applyAlignment="1">
      <alignment horizontal="center"/>
    </xf>
    <xf numFmtId="182" fontId="0" fillId="4" borderId="12" xfId="23" applyNumberFormat="1" applyFill="1" applyBorder="1" applyAlignment="1">
      <alignment horizontal="center"/>
    </xf>
    <xf numFmtId="10" fontId="0" fillId="0" borderId="21" xfId="23" applyNumberFormat="1" applyFill="1" applyBorder="1" applyAlignment="1">
      <alignment horizontal="center"/>
    </xf>
    <xf numFmtId="0" fontId="5" fillId="0" borderId="41" xfId="23" applyFont="1" applyBorder="1" applyAlignment="1">
      <alignment horizontal="center"/>
    </xf>
    <xf numFmtId="0" fontId="5" fillId="0" borderId="42" xfId="23" applyFont="1" applyBorder="1" applyAlignment="1">
      <alignment horizontal="center"/>
    </xf>
    <xf numFmtId="0" fontId="5" fillId="0" borderId="43" xfId="23" applyFont="1" applyFill="1" applyBorder="1" applyAlignment="1">
      <alignment horizontal="center"/>
    </xf>
    <xf numFmtId="0" fontId="0" fillId="0" borderId="7" xfId="23" applyFont="1" applyBorder="1">
      <alignment/>
    </xf>
    <xf numFmtId="9" fontId="5" fillId="0" borderId="18" xfId="23" applyNumberFormat="1" applyFont="1" applyFill="1" applyBorder="1" applyAlignment="1">
      <alignment horizontal="center"/>
    </xf>
    <xf numFmtId="172" fontId="4" fillId="4" borderId="5" xfId="23" applyNumberFormat="1" applyFont="1" applyFill="1" applyBorder="1" applyAlignment="1">
      <alignment horizontal="center" wrapText="1"/>
    </xf>
    <xf numFmtId="172" fontId="4" fillId="4" borderId="9" xfId="23" applyNumberFormat="1" applyFont="1" applyFill="1" applyBorder="1" applyAlignment="1">
      <alignment horizontal="center"/>
    </xf>
    <xf numFmtId="172" fontId="4" fillId="4" borderId="9" xfId="23" applyNumberFormat="1" applyFont="1" applyFill="1" applyBorder="1" applyAlignment="1">
      <alignment horizontal="center" wrapText="1"/>
    </xf>
    <xf numFmtId="172" fontId="4" fillId="4" borderId="40" xfId="23" applyNumberFormat="1" applyFont="1" applyFill="1" applyBorder="1" applyAlignment="1">
      <alignment horizontal="center"/>
    </xf>
    <xf numFmtId="172" fontId="4" fillId="4" borderId="19" xfId="23" applyNumberFormat="1" applyFont="1" applyFill="1" applyBorder="1" applyAlignment="1">
      <alignment horizontal="center"/>
    </xf>
    <xf numFmtId="172" fontId="0" fillId="0" borderId="10" xfId="23" applyNumberFormat="1" applyFill="1" applyBorder="1" applyAlignment="1">
      <alignment horizontal="center"/>
    </xf>
    <xf numFmtId="172" fontId="0" fillId="0" borderId="6" xfId="23" applyNumberFormat="1" applyBorder="1" applyAlignment="1">
      <alignment horizontal="center"/>
    </xf>
    <xf numFmtId="172" fontId="0" fillId="0" borderId="14" xfId="23" applyNumberFormat="1" applyFill="1" applyBorder="1" applyAlignment="1">
      <alignment horizontal="center"/>
    </xf>
    <xf numFmtId="172" fontId="0" fillId="0" borderId="44" xfId="23" applyNumberFormat="1" applyFill="1" applyBorder="1" applyAlignment="1">
      <alignment horizontal="center"/>
    </xf>
    <xf numFmtId="4" fontId="0" fillId="0" borderId="15" xfId="23" applyNumberFormat="1" applyFill="1" applyBorder="1" applyAlignment="1">
      <alignment horizontal="center" wrapText="1"/>
    </xf>
    <xf numFmtId="0" fontId="0" fillId="0" borderId="0" xfId="22" applyAlignment="1">
      <alignment horizontal="center"/>
      <protection/>
    </xf>
    <xf numFmtId="2" fontId="0" fillId="0" borderId="4" xfId="23" applyNumberFormat="1" applyBorder="1" applyAlignment="1">
      <alignment horizontal="center"/>
    </xf>
    <xf numFmtId="2" fontId="0" fillId="0" borderId="0" xfId="23" applyNumberFormat="1" applyBorder="1" applyAlignment="1">
      <alignment horizontal="center"/>
    </xf>
    <xf numFmtId="2" fontId="0" fillId="0" borderId="31" xfId="23" applyNumberFormat="1" applyBorder="1" applyAlignment="1">
      <alignment horizontal="center"/>
    </xf>
    <xf numFmtId="2" fontId="0" fillId="0" borderId="35" xfId="23" applyNumberFormat="1" applyBorder="1" applyAlignment="1">
      <alignment horizontal="center"/>
    </xf>
    <xf numFmtId="2" fontId="0" fillId="0" borderId="1" xfId="23" applyNumberFormat="1" applyBorder="1" applyAlignment="1">
      <alignment horizontal="center"/>
    </xf>
    <xf numFmtId="173" fontId="0" fillId="0" borderId="0" xfId="23" applyNumberFormat="1" applyBorder="1" applyAlignment="1">
      <alignment horizontal="center"/>
    </xf>
    <xf numFmtId="2" fontId="0" fillId="0" borderId="5" xfId="23" applyNumberFormat="1" applyBorder="1" applyAlignment="1">
      <alignment horizontal="center"/>
    </xf>
    <xf numFmtId="2" fontId="0" fillId="0" borderId="9" xfId="23" applyNumberFormat="1" applyBorder="1" applyAlignment="1">
      <alignment horizontal="center"/>
    </xf>
    <xf numFmtId="2" fontId="0" fillId="0" borderId="19" xfId="23" applyNumberFormat="1" applyBorder="1" applyAlignment="1">
      <alignment horizontal="center"/>
    </xf>
    <xf numFmtId="2" fontId="0" fillId="0" borderId="45" xfId="23" applyNumberFormat="1" applyBorder="1" applyAlignment="1">
      <alignment horizontal="center"/>
    </xf>
    <xf numFmtId="2" fontId="0" fillId="0" borderId="40" xfId="23" applyNumberFormat="1" applyBorder="1" applyAlignment="1">
      <alignment horizontal="center"/>
    </xf>
    <xf numFmtId="2" fontId="0" fillId="0" borderId="13" xfId="23" applyNumberFormat="1" applyBorder="1" applyAlignment="1">
      <alignment horizontal="center"/>
    </xf>
    <xf numFmtId="4" fontId="0" fillId="0" borderId="20" xfId="23" applyNumberFormat="1" applyFill="1" applyBorder="1" applyAlignment="1">
      <alignment horizontal="center" wrapText="1"/>
    </xf>
    <xf numFmtId="2" fontId="12" fillId="0" borderId="0" xfId="23" applyNumberFormat="1" applyFont="1" applyFill="1" applyBorder="1" applyAlignment="1">
      <alignment horizontal="center"/>
    </xf>
    <xf numFmtId="2" fontId="0" fillId="0" borderId="7" xfId="23" applyNumberFormat="1" applyFill="1" applyBorder="1" applyAlignment="1">
      <alignment horizontal="center"/>
    </xf>
    <xf numFmtId="2" fontId="0" fillId="0" borderId="17" xfId="23" applyNumberFormat="1" applyFill="1" applyBorder="1" applyAlignment="1">
      <alignment horizontal="center"/>
    </xf>
    <xf numFmtId="172" fontId="0" fillId="0" borderId="0" xfId="23" applyNumberFormat="1" applyFill="1" applyBorder="1" applyAlignment="1">
      <alignment horizontal="center" vertical="center" wrapText="1"/>
    </xf>
    <xf numFmtId="1" fontId="5" fillId="0" borderId="0" xfId="23" applyNumberFormat="1" applyFont="1" applyFill="1" applyBorder="1" applyAlignment="1">
      <alignment horizontal="center" vertical="center" wrapText="1"/>
    </xf>
    <xf numFmtId="183" fontId="0" fillId="0" borderId="0" xfId="23" applyNumberFormat="1" applyFill="1" applyBorder="1" applyAlignment="1">
      <alignment horizontal="center"/>
    </xf>
    <xf numFmtId="2" fontId="0" fillId="0" borderId="9" xfId="23" applyNumberFormat="1" applyFill="1" applyBorder="1" applyAlignment="1">
      <alignment horizontal="center"/>
    </xf>
    <xf numFmtId="2" fontId="0" fillId="0" borderId="30" xfId="23" applyNumberFormat="1" applyFill="1" applyBorder="1" applyAlignment="1">
      <alignment horizontal="center"/>
    </xf>
    <xf numFmtId="10" fontId="0" fillId="0" borderId="9" xfId="23" applyNumberFormat="1" applyFill="1" applyBorder="1" applyAlignment="1">
      <alignment horizontal="center"/>
    </xf>
    <xf numFmtId="1" fontId="0" fillId="0" borderId="0" xfId="23" applyNumberFormat="1" applyFont="1" applyBorder="1" applyAlignment="1">
      <alignment horizontal="center"/>
    </xf>
    <xf numFmtId="0" fontId="5" fillId="0" borderId="0" xfId="23" applyFont="1" applyBorder="1" applyAlignment="1">
      <alignment horizontal="center"/>
    </xf>
    <xf numFmtId="0" fontId="0" fillId="0" borderId="0" xfId="23" applyFont="1" applyBorder="1" applyAlignment="1">
      <alignment horizontal="center"/>
    </xf>
    <xf numFmtId="0" fontId="5" fillId="0" borderId="0" xfId="23" applyFont="1" applyBorder="1" applyAlignment="1">
      <alignment horizontal="center" vertical="center"/>
    </xf>
    <xf numFmtId="1" fontId="0" fillId="0" borderId="0" xfId="23" applyNumberFormat="1" applyFont="1" applyBorder="1" applyAlignment="1">
      <alignment horizontal="center" vertical="center"/>
    </xf>
    <xf numFmtId="2" fontId="12" fillId="0" borderId="1" xfId="23" applyNumberFormat="1" applyFont="1" applyFill="1" applyBorder="1" applyAlignment="1">
      <alignment horizontal="center"/>
    </xf>
    <xf numFmtId="0" fontId="0" fillId="0" borderId="46" xfId="23" applyFont="1" applyFill="1" applyBorder="1" applyAlignment="1">
      <alignment horizontal="left"/>
    </xf>
    <xf numFmtId="0" fontId="0" fillId="0" borderId="47" xfId="23" applyFont="1" applyFill="1" applyBorder="1" applyAlignment="1">
      <alignment horizontal="left"/>
    </xf>
    <xf numFmtId="2" fontId="0" fillId="0" borderId="0" xfId="23" applyNumberFormat="1" applyFill="1" applyBorder="1" applyAlignment="1">
      <alignment horizontal="center" wrapText="1"/>
    </xf>
    <xf numFmtId="172" fontId="0" fillId="0" borderId="8" xfId="23" applyNumberFormat="1" applyFont="1" applyFill="1" applyBorder="1" applyAlignment="1">
      <alignment horizontal="center" wrapText="1"/>
    </xf>
    <xf numFmtId="2" fontId="0" fillId="0" borderId="21" xfId="23" applyNumberFormat="1" applyFill="1" applyBorder="1" applyAlignment="1">
      <alignment horizontal="center" wrapText="1"/>
    </xf>
    <xf numFmtId="2" fontId="0" fillId="0" borderId="46" xfId="23" applyNumberFormat="1" applyFill="1" applyBorder="1" applyAlignment="1">
      <alignment horizontal="center" wrapText="1"/>
    </xf>
    <xf numFmtId="2" fontId="0" fillId="0" borderId="47" xfId="23" applyNumberFormat="1" applyFill="1" applyBorder="1" applyAlignment="1">
      <alignment horizontal="center" wrapText="1"/>
    </xf>
    <xf numFmtId="0" fontId="5" fillId="0" borderId="4" xfId="23" applyFont="1" applyBorder="1" applyAlignment="1">
      <alignment horizontal="center"/>
    </xf>
    <xf numFmtId="0" fontId="3" fillId="0" borderId="0" xfId="23" applyFont="1" applyFill="1" applyAlignment="1">
      <alignment horizontal="right"/>
    </xf>
    <xf numFmtId="0" fontId="5" fillId="0" borderId="7" xfId="23" applyFont="1" applyFill="1" applyBorder="1">
      <alignment/>
    </xf>
    <xf numFmtId="172" fontId="0" fillId="0" borderId="8" xfId="23" applyNumberFormat="1" applyFont="1" applyBorder="1" applyAlignment="1">
      <alignment horizontal="center"/>
    </xf>
    <xf numFmtId="0" fontId="5" fillId="0" borderId="42" xfId="23" applyFont="1" applyFill="1" applyBorder="1">
      <alignment/>
    </xf>
    <xf numFmtId="10" fontId="0" fillId="0" borderId="43" xfId="23" applyNumberFormat="1" applyFont="1" applyBorder="1" applyAlignment="1">
      <alignment horizontal="center"/>
    </xf>
    <xf numFmtId="10" fontId="0" fillId="0" borderId="41" xfId="23" applyNumberFormat="1" applyFont="1" applyBorder="1" applyAlignment="1">
      <alignment horizontal="center"/>
    </xf>
    <xf numFmtId="172" fontId="0" fillId="0" borderId="24" xfId="23" applyNumberFormat="1" applyFont="1" applyFill="1" applyBorder="1" applyAlignment="1">
      <alignment horizontal="center" vertical="top" wrapText="1"/>
    </xf>
    <xf numFmtId="1" fontId="0" fillId="0" borderId="0" xfId="23" applyNumberFormat="1" applyBorder="1">
      <alignment/>
    </xf>
    <xf numFmtId="2" fontId="0" fillId="0" borderId="38" xfId="23" applyNumberFormat="1" applyFill="1" applyBorder="1" applyAlignment="1">
      <alignment horizontal="center" wrapText="1"/>
    </xf>
    <xf numFmtId="1" fontId="0" fillId="0" borderId="12" xfId="23" applyNumberFormat="1" applyFont="1" applyFill="1" applyBorder="1" applyAlignment="1">
      <alignment horizontal="center"/>
    </xf>
    <xf numFmtId="182" fontId="0" fillId="0" borderId="0" xfId="23" applyNumberFormat="1" applyFill="1" applyBorder="1" applyAlignment="1">
      <alignment horizontal="center"/>
    </xf>
    <xf numFmtId="0" fontId="5" fillId="0" borderId="28" xfId="23" applyNumberFormat="1" applyFont="1" applyFill="1" applyBorder="1" applyAlignment="1">
      <alignment horizontal="center"/>
    </xf>
    <xf numFmtId="9" fontId="0" fillId="4" borderId="33" xfId="23" applyNumberFormat="1" applyFill="1" applyBorder="1" applyAlignment="1">
      <alignment horizontal="center"/>
    </xf>
    <xf numFmtId="187" fontId="0" fillId="0" borderId="41" xfId="23" applyNumberFormat="1" applyFont="1" applyBorder="1" applyAlignment="1">
      <alignment horizontal="center"/>
    </xf>
    <xf numFmtId="183" fontId="0" fillId="0" borderId="42" xfId="23" applyNumberFormat="1" applyFont="1" applyBorder="1" applyAlignment="1">
      <alignment horizontal="center"/>
    </xf>
    <xf numFmtId="172" fontId="0" fillId="0" borderId="13" xfId="23" applyNumberFormat="1" applyFont="1" applyFill="1" applyBorder="1" applyAlignment="1">
      <alignment horizontal="center" vertical="top" wrapText="1"/>
    </xf>
    <xf numFmtId="0" fontId="0" fillId="0" borderId="9" xfId="23" applyBorder="1">
      <alignment/>
    </xf>
    <xf numFmtId="0" fontId="0" fillId="0" borderId="13" xfId="23" applyBorder="1">
      <alignment/>
    </xf>
    <xf numFmtId="2" fontId="0" fillId="0" borderId="8" xfId="23" applyNumberFormat="1" applyFont="1" applyBorder="1" applyAlignment="1">
      <alignment horizontal="center"/>
    </xf>
    <xf numFmtId="0" fontId="0" fillId="0" borderId="6" xfId="23" applyFont="1" applyBorder="1" applyAlignment="1">
      <alignment horizontal="center"/>
    </xf>
    <xf numFmtId="0" fontId="5" fillId="0" borderId="48" xfId="23" applyFont="1" applyFill="1" applyBorder="1">
      <alignment/>
    </xf>
    <xf numFmtId="10" fontId="0" fillId="0" borderId="49" xfId="23" applyNumberFormat="1" applyFont="1" applyBorder="1" applyAlignment="1">
      <alignment horizontal="center"/>
    </xf>
    <xf numFmtId="2" fontId="0" fillId="0" borderId="10" xfId="23" applyNumberFormat="1" applyFont="1" applyBorder="1" applyAlignment="1">
      <alignment horizontal="center"/>
    </xf>
    <xf numFmtId="2" fontId="0" fillId="0" borderId="12" xfId="23" applyNumberFormat="1" applyFont="1" applyBorder="1" applyAlignment="1">
      <alignment horizontal="center"/>
    </xf>
    <xf numFmtId="2" fontId="0" fillId="0" borderId="14" xfId="23" applyNumberFormat="1" applyFont="1" applyBorder="1" applyAlignment="1">
      <alignment horizontal="center"/>
    </xf>
    <xf numFmtId="0" fontId="0" fillId="0" borderId="0" xfId="23" applyFont="1" applyFill="1" applyAlignment="1">
      <alignment horizontal="left" vertical="center"/>
    </xf>
    <xf numFmtId="173" fontId="0" fillId="0" borderId="8" xfId="23" applyNumberFormat="1" applyFont="1" applyBorder="1" applyAlignment="1">
      <alignment horizontal="center"/>
    </xf>
    <xf numFmtId="173" fontId="0" fillId="0" borderId="10" xfId="23" applyNumberFormat="1" applyFont="1" applyBorder="1" applyAlignment="1">
      <alignment horizontal="center"/>
    </xf>
    <xf numFmtId="9" fontId="0" fillId="0" borderId="0" xfId="23" applyNumberFormat="1" applyAlignment="1">
      <alignment horizontal="left"/>
    </xf>
    <xf numFmtId="0" fontId="0" fillId="0" borderId="0" xfId="23" applyFont="1" applyAlignment="1">
      <alignment horizontal="left"/>
    </xf>
    <xf numFmtId="0" fontId="0" fillId="0" borderId="15" xfId="23" applyFont="1" applyFill="1" applyBorder="1" applyAlignment="1">
      <alignment horizontal="center" vertical="center"/>
    </xf>
    <xf numFmtId="0" fontId="0" fillId="0" borderId="7" xfId="23" applyFont="1" applyFill="1" applyBorder="1" applyAlignment="1">
      <alignment horizontal="left" vertical="center"/>
    </xf>
    <xf numFmtId="173" fontId="0" fillId="0" borderId="30" xfId="23" applyNumberFormat="1" applyFont="1" applyFill="1" applyBorder="1" applyAlignment="1">
      <alignment horizontal="center" vertical="center"/>
    </xf>
    <xf numFmtId="2" fontId="0" fillId="0" borderId="30" xfId="23" applyNumberFormat="1" applyFont="1" applyFill="1" applyBorder="1" applyAlignment="1">
      <alignment horizontal="center" vertical="center"/>
    </xf>
    <xf numFmtId="0" fontId="0" fillId="0" borderId="11" xfId="23" applyFont="1" applyFill="1" applyBorder="1" applyAlignment="1">
      <alignment horizontal="left" vertical="center"/>
    </xf>
    <xf numFmtId="2" fontId="0" fillId="0" borderId="29" xfId="23" applyNumberFormat="1" applyFont="1" applyFill="1" applyBorder="1" applyAlignment="1">
      <alignment horizontal="center" vertical="center"/>
    </xf>
    <xf numFmtId="0" fontId="5" fillId="0" borderId="11" xfId="23" applyFont="1" applyFill="1" applyBorder="1" applyAlignment="1">
      <alignment horizontal="left" vertical="center"/>
    </xf>
    <xf numFmtId="0" fontId="5" fillId="0" borderId="50" xfId="23" applyFont="1" applyFill="1" applyBorder="1" applyAlignment="1">
      <alignment horizontal="left" vertical="center"/>
    </xf>
    <xf numFmtId="0" fontId="0" fillId="0" borderId="3" xfId="23" applyFont="1" applyFill="1" applyBorder="1" applyAlignment="1">
      <alignment horizontal="center" vertical="center"/>
    </xf>
    <xf numFmtId="2" fontId="0" fillId="0" borderId="8" xfId="23" applyNumberFormat="1" applyFont="1" applyFill="1" applyBorder="1" applyAlignment="1">
      <alignment horizontal="center" vertical="center"/>
    </xf>
    <xf numFmtId="2" fontId="0" fillId="0" borderId="12" xfId="23" applyNumberFormat="1" applyFont="1" applyFill="1" applyBorder="1" applyAlignment="1">
      <alignment horizontal="center" vertical="center"/>
    </xf>
    <xf numFmtId="183" fontId="0" fillId="0" borderId="41" xfId="23" applyNumberFormat="1" applyFont="1" applyBorder="1" applyAlignment="1">
      <alignment horizontal="center"/>
    </xf>
    <xf numFmtId="173" fontId="0" fillId="0" borderId="8" xfId="23" applyNumberFormat="1" applyFont="1" applyFill="1" applyBorder="1" applyAlignment="1">
      <alignment horizontal="center" vertical="center"/>
    </xf>
    <xf numFmtId="10" fontId="0" fillId="0" borderId="51" xfId="23" applyNumberFormat="1" applyFont="1" applyBorder="1" applyAlignment="1">
      <alignment horizontal="center"/>
    </xf>
    <xf numFmtId="0" fontId="0" fillId="5" borderId="7" xfId="23" applyFont="1" applyFill="1" applyBorder="1" applyAlignment="1">
      <alignment horizontal="left" vertical="center"/>
    </xf>
    <xf numFmtId="2" fontId="0" fillId="5" borderId="8" xfId="23" applyNumberFormat="1" applyFont="1" applyFill="1" applyBorder="1" applyAlignment="1">
      <alignment horizontal="center" vertical="center"/>
    </xf>
    <xf numFmtId="173" fontId="0" fillId="5" borderId="8" xfId="23" applyNumberFormat="1" applyFont="1" applyFill="1" applyBorder="1" applyAlignment="1">
      <alignment horizontal="center" vertical="center"/>
    </xf>
    <xf numFmtId="173" fontId="0" fillId="5" borderId="30" xfId="23" applyNumberFormat="1" applyFont="1" applyFill="1" applyBorder="1" applyAlignment="1">
      <alignment horizontal="center" vertical="center"/>
    </xf>
    <xf numFmtId="0" fontId="0" fillId="0" borderId="7" xfId="23" applyFont="1" applyFill="1" applyBorder="1" applyAlignment="1">
      <alignment horizontal="left" wrapText="1"/>
    </xf>
    <xf numFmtId="0" fontId="5" fillId="0" borderId="7" xfId="23" applyFont="1" applyFill="1" applyBorder="1" applyAlignment="1">
      <alignment horizontal="right"/>
    </xf>
    <xf numFmtId="0" fontId="5" fillId="0" borderId="11" xfId="23" applyFont="1" applyFill="1" applyBorder="1" applyAlignment="1">
      <alignment horizontal="right"/>
    </xf>
    <xf numFmtId="0" fontId="22" fillId="0" borderId="0" xfId="23" applyFont="1" applyFill="1" applyBorder="1" applyAlignment="1">
      <alignment horizontal="center"/>
    </xf>
    <xf numFmtId="0" fontId="3" fillId="0" borderId="0" xfId="23" applyFont="1" applyFill="1" applyAlignment="1">
      <alignment horizontal="left"/>
    </xf>
    <xf numFmtId="0" fontId="22" fillId="0" borderId="0" xfId="23" applyFont="1" applyFill="1" applyAlignment="1">
      <alignment horizontal="left"/>
    </xf>
    <xf numFmtId="183" fontId="0" fillId="0" borderId="8" xfId="23" applyNumberFormat="1" applyFont="1" applyBorder="1" applyAlignment="1">
      <alignment horizontal="center"/>
    </xf>
    <xf numFmtId="183" fontId="0" fillId="0" borderId="10" xfId="23" applyNumberFormat="1" applyFont="1" applyBorder="1" applyAlignment="1">
      <alignment horizontal="center"/>
    </xf>
    <xf numFmtId="9" fontId="5" fillId="6" borderId="0" xfId="23" applyNumberFormat="1" applyFont="1" applyFill="1" applyAlignment="1">
      <alignment horizontal="center"/>
    </xf>
    <xf numFmtId="0" fontId="5" fillId="0" borderId="2" xfId="23" applyFont="1" applyFill="1" applyBorder="1" applyAlignment="1">
      <alignment horizontal="right"/>
    </xf>
    <xf numFmtId="10" fontId="0" fillId="0" borderId="3" xfId="23" applyNumberFormat="1" applyFont="1" applyBorder="1" applyAlignment="1">
      <alignment horizontal="center"/>
    </xf>
    <xf numFmtId="10" fontId="0" fillId="0" borderId="6" xfId="23" applyNumberFormat="1" applyFont="1" applyBorder="1" applyAlignment="1">
      <alignment horizontal="center"/>
    </xf>
    <xf numFmtId="9" fontId="5" fillId="0" borderId="0" xfId="23" applyNumberFormat="1" applyFont="1" applyFill="1" applyAlignment="1">
      <alignment horizontal="center"/>
    </xf>
    <xf numFmtId="9" fontId="5" fillId="6" borderId="0" xfId="23" applyNumberFormat="1" applyFont="1" applyFill="1" applyAlignment="1">
      <alignment horizontal="left"/>
    </xf>
    <xf numFmtId="0" fontId="5" fillId="6" borderId="0" xfId="23" applyNumberFormat="1" applyFont="1" applyFill="1" applyAlignment="1">
      <alignment horizontal="center"/>
    </xf>
    <xf numFmtId="0" fontId="3" fillId="0" borderId="0" xfId="23" applyNumberFormat="1" applyFont="1" applyFill="1" applyBorder="1" applyAlignment="1">
      <alignment horizontal="right"/>
    </xf>
    <xf numFmtId="0" fontId="0" fillId="0" borderId="5" xfId="23" applyBorder="1">
      <alignment/>
    </xf>
    <xf numFmtId="0" fontId="0" fillId="0" borderId="4" xfId="23" applyBorder="1">
      <alignment/>
    </xf>
    <xf numFmtId="0" fontId="0" fillId="0" borderId="4" xfId="23" applyBorder="1" applyAlignment="1">
      <alignment/>
    </xf>
    <xf numFmtId="0" fontId="0" fillId="0" borderId="15" xfId="23" applyBorder="1" applyAlignment="1">
      <alignment/>
    </xf>
    <xf numFmtId="0" fontId="0" fillId="0" borderId="30" xfId="23" applyBorder="1">
      <alignment/>
    </xf>
    <xf numFmtId="0" fontId="0" fillId="0" borderId="30" xfId="23" applyBorder="1" applyAlignment="1">
      <alignment horizontal="left" wrapText="1"/>
    </xf>
    <xf numFmtId="0" fontId="0" fillId="0" borderId="30" xfId="23" applyBorder="1" applyAlignment="1">
      <alignment/>
    </xf>
    <xf numFmtId="0" fontId="0" fillId="0" borderId="29" xfId="23" applyBorder="1" applyAlignment="1">
      <alignment/>
    </xf>
    <xf numFmtId="10" fontId="0" fillId="0" borderId="0" xfId="23" applyNumberFormat="1">
      <alignment/>
    </xf>
    <xf numFmtId="188" fontId="0" fillId="0" borderId="0" xfId="23" applyNumberFormat="1">
      <alignment/>
    </xf>
    <xf numFmtId="9" fontId="0" fillId="0" borderId="0" xfId="23" applyNumberFormat="1">
      <alignment/>
    </xf>
    <xf numFmtId="0" fontId="0" fillId="0" borderId="0" xfId="23" applyNumberFormat="1">
      <alignment/>
    </xf>
    <xf numFmtId="10" fontId="0" fillId="0" borderId="8" xfId="23" applyNumberFormat="1" applyFont="1" applyBorder="1" applyAlignment="1">
      <alignment horizontal="center"/>
    </xf>
    <xf numFmtId="10" fontId="0" fillId="0" borderId="10" xfId="23" applyNumberFormat="1" applyFont="1" applyBorder="1" applyAlignment="1">
      <alignment horizontal="center"/>
    </xf>
    <xf numFmtId="10" fontId="0" fillId="0" borderId="12" xfId="23" applyNumberFormat="1" applyFont="1" applyBorder="1" applyAlignment="1">
      <alignment horizontal="center"/>
    </xf>
    <xf numFmtId="10" fontId="0" fillId="0" borderId="14" xfId="23" applyNumberFormat="1" applyFont="1" applyBorder="1" applyAlignment="1">
      <alignment horizontal="center"/>
    </xf>
    <xf numFmtId="172" fontId="0" fillId="0" borderId="0" xfId="23" applyNumberFormat="1">
      <alignment/>
    </xf>
    <xf numFmtId="0" fontId="0" fillId="0" borderId="0" xfId="0" applyAlignment="1">
      <alignment horizontal="center"/>
    </xf>
    <xf numFmtId="182" fontId="0" fillId="0" borderId="0" xfId="0" applyNumberFormat="1" applyBorder="1" applyAlignment="1">
      <alignment horizontal="center"/>
    </xf>
    <xf numFmtId="182" fontId="0" fillId="0" borderId="30" xfId="0" applyNumberFormat="1" applyBorder="1" applyAlignment="1">
      <alignment horizontal="center"/>
    </xf>
    <xf numFmtId="172" fontId="0" fillId="0" borderId="0" xfId="0" applyNumberFormat="1" applyBorder="1" applyAlignment="1">
      <alignment horizontal="center" vertical="center"/>
    </xf>
    <xf numFmtId="172" fontId="0" fillId="0" borderId="30" xfId="0" applyNumberFormat="1" applyBorder="1" applyAlignment="1">
      <alignment horizontal="center" vertical="center"/>
    </xf>
    <xf numFmtId="172" fontId="0" fillId="0" borderId="1" xfId="0" applyNumberFormat="1" applyBorder="1" applyAlignment="1">
      <alignment horizontal="center" vertical="center"/>
    </xf>
    <xf numFmtId="172" fontId="0" fillId="0" borderId="29" xfId="0" applyNumberFormat="1" applyBorder="1" applyAlignment="1">
      <alignment horizontal="center" vertic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wrapText="1"/>
    </xf>
    <xf numFmtId="0" fontId="0" fillId="0" borderId="46" xfId="0" applyBorder="1" applyAlignment="1">
      <alignment wrapText="1"/>
    </xf>
    <xf numFmtId="0" fontId="0" fillId="0" borderId="55" xfId="0" applyBorder="1" applyAlignment="1">
      <alignment wrapText="1"/>
    </xf>
    <xf numFmtId="0" fontId="0" fillId="0" borderId="16" xfId="0" applyBorder="1" applyAlignment="1">
      <alignment/>
    </xf>
    <xf numFmtId="0" fontId="0" fillId="0" borderId="9" xfId="0" applyBorder="1" applyAlignment="1">
      <alignment/>
    </xf>
    <xf numFmtId="0" fontId="0" fillId="0" borderId="21" xfId="0" applyBorder="1" applyAlignment="1">
      <alignment/>
    </xf>
    <xf numFmtId="0" fontId="0" fillId="0" borderId="19" xfId="0" applyBorder="1" applyAlignment="1">
      <alignment/>
    </xf>
    <xf numFmtId="0" fontId="0" fillId="0" borderId="31" xfId="0" applyBorder="1" applyAlignment="1">
      <alignment horizontal="center"/>
    </xf>
    <xf numFmtId="0" fontId="0" fillId="0" borderId="22" xfId="0" applyBorder="1" applyAlignment="1">
      <alignment/>
    </xf>
    <xf numFmtId="9" fontId="0" fillId="0" borderId="0" xfId="0" applyNumberFormat="1" applyBorder="1" applyAlignment="1">
      <alignment horizontal="center"/>
    </xf>
    <xf numFmtId="0" fontId="0" fillId="0" borderId="0" xfId="0" applyBorder="1" applyAlignment="1">
      <alignment horizontal="center"/>
    </xf>
    <xf numFmtId="0" fontId="0" fillId="0" borderId="0" xfId="0" applyBorder="1" applyAlignment="1">
      <alignment/>
    </xf>
    <xf numFmtId="10" fontId="0" fillId="0" borderId="0" xfId="0" applyNumberFormat="1" applyBorder="1" applyAlignment="1">
      <alignment horizontal="center"/>
    </xf>
    <xf numFmtId="10" fontId="0" fillId="0" borderId="30" xfId="0" applyNumberFormat="1" applyBorder="1" applyAlignment="1">
      <alignment horizontal="center"/>
    </xf>
    <xf numFmtId="183" fontId="0" fillId="0" borderId="0" xfId="0" applyNumberFormat="1" applyBorder="1" applyAlignment="1">
      <alignment horizontal="center"/>
    </xf>
    <xf numFmtId="0" fontId="5" fillId="7" borderId="40" xfId="0" applyFont="1" applyFill="1" applyBorder="1" applyAlignment="1">
      <alignment/>
    </xf>
    <xf numFmtId="10" fontId="5" fillId="7" borderId="32" xfId="0" applyNumberFormat="1" applyFont="1" applyFill="1" applyBorder="1" applyAlignment="1">
      <alignment horizontal="center"/>
    </xf>
    <xf numFmtId="183" fontId="5" fillId="7" borderId="32" xfId="0" applyNumberFormat="1" applyFont="1" applyFill="1" applyBorder="1" applyAlignment="1">
      <alignment horizontal="center"/>
    </xf>
    <xf numFmtId="187" fontId="5" fillId="7" borderId="32" xfId="0" applyNumberFormat="1" applyFont="1" applyFill="1" applyBorder="1" applyAlignment="1">
      <alignment horizontal="center"/>
    </xf>
    <xf numFmtId="187" fontId="0" fillId="0" borderId="0" xfId="0" applyNumberFormat="1" applyBorder="1" applyAlignment="1">
      <alignment horizontal="center"/>
    </xf>
    <xf numFmtId="9" fontId="5" fillId="0" borderId="56" xfId="23" applyNumberFormat="1" applyFont="1" applyFill="1" applyBorder="1" applyAlignment="1">
      <alignment horizontal="left"/>
    </xf>
    <xf numFmtId="9" fontId="5" fillId="0" borderId="42" xfId="23" applyNumberFormat="1" applyFont="1" applyFill="1" applyBorder="1" applyAlignment="1">
      <alignment horizontal="left"/>
    </xf>
    <xf numFmtId="0" fontId="15" fillId="0" borderId="1" xfId="23" applyFont="1" applyFill="1" applyBorder="1" applyAlignment="1">
      <alignment horizontal="center" vertical="center"/>
    </xf>
    <xf numFmtId="0" fontId="3" fillId="0" borderId="0" xfId="23" applyFont="1" applyFill="1" applyBorder="1" applyAlignment="1">
      <alignment horizontal="right"/>
    </xf>
    <xf numFmtId="0" fontId="3" fillId="0" borderId="0" xfId="23" applyFont="1" applyFill="1" applyAlignment="1">
      <alignment horizontal="right"/>
    </xf>
    <xf numFmtId="189" fontId="0" fillId="0" borderId="0" xfId="23" applyNumberFormat="1">
      <alignment/>
    </xf>
    <xf numFmtId="183" fontId="0" fillId="0" borderId="1" xfId="0" applyNumberFormat="1" applyBorder="1" applyAlignment="1">
      <alignment horizontal="center"/>
    </xf>
    <xf numFmtId="182" fontId="0" fillId="0" borderId="1" xfId="0" applyNumberFormat="1" applyBorder="1" applyAlignment="1">
      <alignment horizontal="center"/>
    </xf>
    <xf numFmtId="182" fontId="0" fillId="0" borderId="29" xfId="0" applyNumberFormat="1" applyBorder="1" applyAlignment="1">
      <alignment horizontal="center"/>
    </xf>
    <xf numFmtId="0" fontId="5" fillId="0" borderId="54" xfId="0" applyFont="1" applyBorder="1" applyAlignment="1">
      <alignment horizontal="left" vertical="center" wrapText="1"/>
    </xf>
    <xf numFmtId="1" fontId="0" fillId="0" borderId="0" xfId="23" applyNumberFormat="1" applyFont="1" applyBorder="1" applyAlignment="1">
      <alignment horizontal="center" vertical="center"/>
    </xf>
    <xf numFmtId="1" fontId="0" fillId="0" borderId="30" xfId="23" applyNumberFormat="1" applyFont="1" applyBorder="1" applyAlignment="1">
      <alignment horizontal="center" vertical="center"/>
    </xf>
    <xf numFmtId="2" fontId="12" fillId="0" borderId="13" xfId="23" applyNumberFormat="1" applyFont="1" applyFill="1" applyBorder="1" applyAlignment="1">
      <alignment horizontal="center"/>
    </xf>
    <xf numFmtId="2" fontId="12" fillId="0" borderId="1" xfId="23" applyNumberFormat="1" applyFont="1" applyFill="1" applyBorder="1" applyAlignment="1">
      <alignment horizontal="center"/>
    </xf>
    <xf numFmtId="2" fontId="12" fillId="0" borderId="29" xfId="23" applyNumberFormat="1" applyFont="1" applyFill="1" applyBorder="1" applyAlignment="1">
      <alignment horizontal="center"/>
    </xf>
    <xf numFmtId="9" fontId="5" fillId="0" borderId="56" xfId="23" applyNumberFormat="1" applyFont="1" applyFill="1" applyBorder="1" applyAlignment="1">
      <alignment horizontal="center"/>
    </xf>
    <xf numFmtId="9" fontId="5" fillId="0" borderId="42" xfId="23" applyNumberFormat="1" applyFont="1" applyFill="1" applyBorder="1" applyAlignment="1">
      <alignment horizontal="center"/>
    </xf>
    <xf numFmtId="10" fontId="0" fillId="0" borderId="1" xfId="0" applyNumberFormat="1" applyBorder="1" applyAlignment="1">
      <alignment horizontal="center"/>
    </xf>
    <xf numFmtId="0" fontId="9" fillId="0" borderId="0" xfId="0" applyFont="1" applyBorder="1" applyAlignment="1">
      <alignment horizontal="left" vertical="top" wrapText="1"/>
    </xf>
    <xf numFmtId="0" fontId="9" fillId="0" borderId="0" xfId="0" applyFont="1" applyBorder="1" applyAlignment="1">
      <alignment horizontal="justify" vertical="top" wrapText="1"/>
    </xf>
    <xf numFmtId="0" fontId="5" fillId="0" borderId="0" xfId="23" applyFont="1" applyBorder="1" applyAlignment="1">
      <alignment horizontal="center" vertical="center" wrapText="1"/>
    </xf>
    <xf numFmtId="172" fontId="5" fillId="0" borderId="0" xfId="23" applyNumberFormat="1" applyFont="1" applyFill="1" applyBorder="1" applyAlignment="1">
      <alignment horizontal="center" wrapText="1"/>
    </xf>
    <xf numFmtId="0" fontId="5" fillId="0" borderId="5" xfId="23" applyFont="1" applyBorder="1" applyAlignment="1">
      <alignment horizontal="center"/>
    </xf>
    <xf numFmtId="0" fontId="5" fillId="0" borderId="4" xfId="23" applyFont="1" applyBorder="1" applyAlignment="1">
      <alignment horizontal="center"/>
    </xf>
    <xf numFmtId="0" fontId="5" fillId="0" borderId="15" xfId="23" applyFont="1" applyBorder="1" applyAlignment="1">
      <alignment horizontal="center"/>
    </xf>
    <xf numFmtId="1" fontId="0" fillId="0" borderId="9" xfId="23" applyNumberFormat="1" applyFont="1" applyBorder="1" applyAlignment="1">
      <alignment horizontal="center"/>
    </xf>
    <xf numFmtId="1" fontId="0" fillId="0" borderId="0" xfId="23" applyNumberFormat="1" applyFont="1" applyBorder="1" applyAlignment="1">
      <alignment horizontal="center"/>
    </xf>
    <xf numFmtId="1" fontId="0" fillId="0" borderId="30" xfId="23" applyNumberFormat="1" applyFont="1" applyBorder="1" applyAlignment="1">
      <alignment horizontal="center"/>
    </xf>
    <xf numFmtId="2" fontId="12" fillId="0" borderId="9" xfId="23" applyNumberFormat="1" applyFont="1" applyFill="1" applyBorder="1" applyAlignment="1">
      <alignment horizontal="center"/>
    </xf>
    <xf numFmtId="2" fontId="12" fillId="0" borderId="0" xfId="23" applyNumberFormat="1" applyFont="1" applyFill="1" applyBorder="1" applyAlignment="1">
      <alignment horizontal="center"/>
    </xf>
    <xf numFmtId="2" fontId="12" fillId="0" borderId="30" xfId="23" applyNumberFormat="1" applyFont="1" applyFill="1" applyBorder="1" applyAlignment="1">
      <alignment horizontal="center"/>
    </xf>
    <xf numFmtId="0" fontId="5" fillId="0" borderId="9" xfId="23" applyFont="1" applyBorder="1" applyAlignment="1">
      <alignment horizontal="center"/>
    </xf>
    <xf numFmtId="0" fontId="5" fillId="0" borderId="0" xfId="23" applyFont="1" applyBorder="1" applyAlignment="1">
      <alignment horizontal="center"/>
    </xf>
    <xf numFmtId="0" fontId="5" fillId="0" borderId="30" xfId="23" applyFont="1" applyBorder="1" applyAlignment="1">
      <alignment horizontal="center"/>
    </xf>
    <xf numFmtId="0" fontId="0" fillId="0" borderId="9" xfId="23" applyFont="1" applyBorder="1" applyAlignment="1">
      <alignment horizontal="center"/>
    </xf>
    <xf numFmtId="0" fontId="0" fillId="0" borderId="0" xfId="23" applyFont="1" applyBorder="1" applyAlignment="1">
      <alignment horizontal="center"/>
    </xf>
    <xf numFmtId="0" fontId="0" fillId="0" borderId="30" xfId="23" applyFont="1" applyBorder="1" applyAlignment="1">
      <alignment horizontal="center"/>
    </xf>
    <xf numFmtId="0" fontId="6" fillId="8" borderId="0" xfId="23" applyFont="1" applyFill="1" applyAlignment="1">
      <alignment horizontal="center" vertical="center" wrapText="1"/>
    </xf>
    <xf numFmtId="0" fontId="17" fillId="9" borderId="0" xfId="23" applyFont="1" applyFill="1" applyBorder="1" applyAlignment="1">
      <alignment horizontal="center"/>
    </xf>
    <xf numFmtId="0" fontId="15" fillId="9" borderId="0" xfId="23" applyFont="1" applyFill="1" applyBorder="1" applyAlignment="1">
      <alignment horizontal="center"/>
    </xf>
    <xf numFmtId="2" fontId="12" fillId="0" borderId="9" xfId="23" applyNumberFormat="1" applyFont="1" applyBorder="1" applyAlignment="1">
      <alignment horizontal="center"/>
    </xf>
    <xf numFmtId="2" fontId="12" fillId="0" borderId="0" xfId="23" applyNumberFormat="1" applyFont="1" applyBorder="1" applyAlignment="1">
      <alignment horizontal="center"/>
    </xf>
    <xf numFmtId="2" fontId="12" fillId="0" borderId="30" xfId="23" applyNumberFormat="1" applyFont="1" applyBorder="1" applyAlignment="1">
      <alignment horizontal="center"/>
    </xf>
    <xf numFmtId="0" fontId="5" fillId="0" borderId="9" xfId="23" applyFont="1" applyBorder="1" applyAlignment="1">
      <alignment horizontal="center" vertical="center"/>
    </xf>
    <xf numFmtId="0" fontId="5" fillId="0" borderId="0" xfId="23" applyFont="1" applyBorder="1" applyAlignment="1">
      <alignment horizontal="center" vertical="center"/>
    </xf>
    <xf numFmtId="0" fontId="5" fillId="0" borderId="30" xfId="23" applyFont="1" applyBorder="1" applyAlignment="1">
      <alignment horizontal="center" vertical="center"/>
    </xf>
    <xf numFmtId="1" fontId="0" fillId="0" borderId="9" xfId="23" applyNumberFormat="1" applyFont="1" applyBorder="1" applyAlignment="1">
      <alignment horizontal="center" vertical="center"/>
    </xf>
    <xf numFmtId="0" fontId="5" fillId="0" borderId="56" xfId="23" applyFont="1" applyBorder="1" applyAlignment="1">
      <alignment horizontal="center"/>
    </xf>
    <xf numFmtId="0" fontId="5" fillId="0" borderId="42" xfId="23" applyFont="1" applyBorder="1" applyAlignment="1">
      <alignment horizontal="center"/>
    </xf>
    <xf numFmtId="0" fontId="5" fillId="0" borderId="43" xfId="23" applyFont="1" applyBorder="1" applyAlignment="1">
      <alignment horizontal="center"/>
    </xf>
    <xf numFmtId="9" fontId="5" fillId="0" borderId="45" xfId="23" applyNumberFormat="1" applyFont="1" applyFill="1" applyBorder="1" applyAlignment="1">
      <alignment horizontal="center"/>
    </xf>
    <xf numFmtId="9" fontId="5" fillId="0" borderId="35" xfId="23" applyNumberFormat="1" applyFont="1" applyFill="1" applyBorder="1" applyAlignment="1">
      <alignment horizontal="center"/>
    </xf>
    <xf numFmtId="9" fontId="5" fillId="0" borderId="45" xfId="23" applyNumberFormat="1" applyFont="1" applyFill="1" applyBorder="1" applyAlignment="1">
      <alignment horizontal="left"/>
    </xf>
    <xf numFmtId="9" fontId="5" fillId="0" borderId="35" xfId="23" applyNumberFormat="1" applyFont="1" applyFill="1" applyBorder="1" applyAlignment="1">
      <alignment horizontal="left"/>
    </xf>
    <xf numFmtId="0" fontId="5" fillId="0" borderId="57" xfId="0" applyFont="1" applyBorder="1" applyAlignment="1">
      <alignment horizontal="left" vertical="center" wrapText="1"/>
    </xf>
    <xf numFmtId="0" fontId="5" fillId="0" borderId="46" xfId="0" applyFont="1" applyBorder="1" applyAlignment="1">
      <alignment horizontal="left" vertical="center" wrapText="1"/>
    </xf>
    <xf numFmtId="0" fontId="5" fillId="0" borderId="55" xfId="0" applyFont="1" applyBorder="1" applyAlignment="1">
      <alignment horizontal="left" vertical="center" wrapText="1"/>
    </xf>
    <xf numFmtId="0" fontId="3" fillId="0" borderId="0" xfId="22" applyFont="1" applyAlignment="1">
      <alignment horizontal="left" vertical="center" wrapText="1"/>
      <protection/>
    </xf>
    <xf numFmtId="0" fontId="3" fillId="0" borderId="0" xfId="22" applyFont="1" applyAlignment="1">
      <alignment horizontal="left" vertical="center"/>
      <protection/>
    </xf>
  </cellXfs>
  <cellStyles count="11">
    <cellStyle name="Normal" xfId="0"/>
    <cellStyle name="_x0000__x0001__x0001_ _x0000_§_x0000_Ð_x0002__x0000__x0000__x0000__x0000_g_x0017__x0000__x0000_f_x0006__x0010__x0000__x0000__x0000__x0000__x0000_ÿÿÿÿÿÿÿÿÿÿÿÿÿÿÿ" xfId="15"/>
    <cellStyle name="Comma" xfId="16"/>
    <cellStyle name="Comma [0]" xfId="17"/>
    <cellStyle name="Currency" xfId="18"/>
    <cellStyle name="Currency [0]" xfId="19"/>
    <cellStyle name="Followed Hyperlink" xfId="20"/>
    <cellStyle name="Hyperlink" xfId="21"/>
    <cellStyle name="Normal_22-04-0002-13-0000_WRAN_Reference_Model" xfId="22"/>
    <cellStyle name="Normal_Sensing Thresholds-r7"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19050</xdr:rowOff>
    </xdr:from>
    <xdr:to>
      <xdr:col>8</xdr:col>
      <xdr:colOff>571500</xdr:colOff>
      <xdr:row>35</xdr:row>
      <xdr:rowOff>57150</xdr:rowOff>
    </xdr:to>
    <xdr:sp>
      <xdr:nvSpPr>
        <xdr:cNvPr id="1" name="TextBox 1"/>
        <xdr:cNvSpPr txBox="1">
          <a:spLocks noChangeArrowheads="1"/>
        </xdr:cNvSpPr>
      </xdr:nvSpPr>
      <xdr:spPr>
        <a:xfrm>
          <a:off x="876300" y="5419725"/>
          <a:ext cx="4924425" cy="1543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an attempt at rationalizing the key parameters related to sensing incumbent servives operating in the TV bands so that interference generated by Wireless Regional Area Networks (WRAN) can be avoided.  The spreadsheet begins with the reference sensing levels proposed by 802.18 in its response to the FCC NPRM 04-186 for the various types of incumbent services, proposes a model for the RF front-end of the sensor and describes mathematical equations that relate these parameters to the required sensing dwell time from a theoretical point of view as well as an empirical approach where the performance of various sensing schemes would be known.
</a:t>
          </a:r>
        </a:p>
      </xdr:txBody>
    </xdr:sp>
    <xdr:clientData/>
  </xdr:twoCellAnchor>
  <xdr:twoCellAnchor>
    <xdr:from>
      <xdr:col>1</xdr:col>
      <xdr:colOff>0</xdr:colOff>
      <xdr:row>36</xdr:row>
      <xdr:rowOff>19050</xdr:rowOff>
    </xdr:from>
    <xdr:to>
      <xdr:col>8</xdr:col>
      <xdr:colOff>571500</xdr:colOff>
      <xdr:row>70</xdr:row>
      <xdr:rowOff>19050</xdr:rowOff>
    </xdr:to>
    <xdr:sp>
      <xdr:nvSpPr>
        <xdr:cNvPr id="2" name="TextBox 2"/>
        <xdr:cNvSpPr txBox="1">
          <a:spLocks noChangeArrowheads="1"/>
        </xdr:cNvSpPr>
      </xdr:nvSpPr>
      <xdr:spPr>
        <a:xfrm>
          <a:off x="876300" y="7115175"/>
          <a:ext cx="4924425"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36</xdr:row>
      <xdr:rowOff>0</xdr:rowOff>
    </xdr:from>
    <xdr:to>
      <xdr:col>9</xdr:col>
      <xdr:colOff>76200</xdr:colOff>
      <xdr:row>38</xdr:row>
      <xdr:rowOff>0</xdr:rowOff>
    </xdr:to>
    <xdr:pic>
      <xdr:nvPicPr>
        <xdr:cNvPr id="1" name="Picture 22"/>
        <xdr:cNvPicPr preferRelativeResize="1">
          <a:picLocks noChangeAspect="1"/>
        </xdr:cNvPicPr>
      </xdr:nvPicPr>
      <xdr:blipFill>
        <a:blip r:embed="rId1"/>
        <a:srcRect r="7044"/>
        <a:stretch>
          <a:fillRect/>
        </a:stretch>
      </xdr:blipFill>
      <xdr:spPr>
        <a:xfrm>
          <a:off x="6048375" y="6762750"/>
          <a:ext cx="2266950" cy="323850"/>
        </a:xfrm>
        <a:prstGeom prst="rect">
          <a:avLst/>
        </a:prstGeom>
        <a:noFill/>
        <a:ln w="9525" cmpd="sng">
          <a:solidFill>
            <a:srgbClr val="FF0000"/>
          </a:solidFill>
          <a:headEnd type="none"/>
          <a:tailEnd type="none"/>
        </a:ln>
      </xdr:spPr>
    </xdr:pic>
    <xdr:clientData/>
  </xdr:twoCellAnchor>
  <xdr:twoCellAnchor>
    <xdr:from>
      <xdr:col>9</xdr:col>
      <xdr:colOff>95250</xdr:colOff>
      <xdr:row>38</xdr:row>
      <xdr:rowOff>28575</xdr:rowOff>
    </xdr:from>
    <xdr:to>
      <xdr:col>9</xdr:col>
      <xdr:colOff>476250</xdr:colOff>
      <xdr:row>45</xdr:row>
      <xdr:rowOff>9525</xdr:rowOff>
    </xdr:to>
    <xdr:sp>
      <xdr:nvSpPr>
        <xdr:cNvPr id="2" name="Line 25"/>
        <xdr:cNvSpPr>
          <a:spLocks/>
        </xdr:cNvSpPr>
      </xdr:nvSpPr>
      <xdr:spPr>
        <a:xfrm flipH="1" flipV="1">
          <a:off x="8334375" y="7115175"/>
          <a:ext cx="381000" cy="1162050"/>
        </a:xfrm>
        <a:prstGeom prst="line">
          <a:avLst/>
        </a:prstGeom>
        <a:noFill/>
        <a:ln w="222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447675</xdr:colOff>
      <xdr:row>42</xdr:row>
      <xdr:rowOff>66675</xdr:rowOff>
    </xdr:from>
    <xdr:to>
      <xdr:col>9</xdr:col>
      <xdr:colOff>95250</xdr:colOff>
      <xdr:row>44</xdr:row>
      <xdr:rowOff>57150</xdr:rowOff>
    </xdr:to>
    <xdr:pic>
      <xdr:nvPicPr>
        <xdr:cNvPr id="3" name="Picture 28"/>
        <xdr:cNvPicPr preferRelativeResize="1">
          <a:picLocks noChangeAspect="1"/>
        </xdr:cNvPicPr>
      </xdr:nvPicPr>
      <xdr:blipFill>
        <a:blip r:embed="rId2"/>
        <a:stretch>
          <a:fillRect/>
        </a:stretch>
      </xdr:blipFill>
      <xdr:spPr>
        <a:xfrm>
          <a:off x="6057900" y="7800975"/>
          <a:ext cx="2276475" cy="323850"/>
        </a:xfrm>
        <a:prstGeom prst="rect">
          <a:avLst/>
        </a:prstGeom>
        <a:noFill/>
        <a:ln w="9525" cmpd="sng">
          <a:solidFill>
            <a:srgbClr val="FF0000"/>
          </a:solidFill>
          <a:headEnd type="none"/>
          <a:tailEnd type="none"/>
        </a:ln>
      </xdr:spPr>
    </xdr:pic>
    <xdr:clientData/>
  </xdr:twoCellAnchor>
  <xdr:twoCellAnchor>
    <xdr:from>
      <xdr:col>9</xdr:col>
      <xdr:colOff>95250</xdr:colOff>
      <xdr:row>44</xdr:row>
      <xdr:rowOff>66675</xdr:rowOff>
    </xdr:from>
    <xdr:to>
      <xdr:col>9</xdr:col>
      <xdr:colOff>476250</xdr:colOff>
      <xdr:row>45</xdr:row>
      <xdr:rowOff>0</xdr:rowOff>
    </xdr:to>
    <xdr:sp>
      <xdr:nvSpPr>
        <xdr:cNvPr id="4" name="Line 36"/>
        <xdr:cNvSpPr>
          <a:spLocks/>
        </xdr:cNvSpPr>
      </xdr:nvSpPr>
      <xdr:spPr>
        <a:xfrm flipH="1" flipV="1">
          <a:off x="8334375" y="8134350"/>
          <a:ext cx="381000" cy="133350"/>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42"/>
  <sheetViews>
    <sheetView tabSelected="1" zoomScale="75" zoomScaleNormal="75" workbookViewId="0" topLeftCell="A1">
      <selection activeCell="I7" sqref="I7"/>
    </sheetView>
  </sheetViews>
  <sheetFormatPr defaultColWidth="9.140625" defaultRowHeight="12.75"/>
  <cols>
    <col min="1" max="1" width="13.140625" style="1" customWidth="1"/>
    <col min="2" max="2" width="10.421875" style="1" customWidth="1"/>
    <col min="3" max="16384" width="9.140625" style="1" customWidth="1"/>
  </cols>
  <sheetData>
    <row r="1" ht="18.75">
      <c r="B1" s="2" t="s">
        <v>0</v>
      </c>
    </row>
    <row r="2" ht="18.75">
      <c r="B2" s="2" t="s">
        <v>1</v>
      </c>
    </row>
    <row r="3" spans="1:2" ht="18.75">
      <c r="A3" s="1" t="s">
        <v>2</v>
      </c>
      <c r="B3" s="2" t="s">
        <v>132</v>
      </c>
    </row>
    <row r="4" spans="1:6" ht="18.75">
      <c r="A4" s="1" t="s">
        <v>3</v>
      </c>
      <c r="B4" s="3" t="s">
        <v>133</v>
      </c>
      <c r="F4" s="4"/>
    </row>
    <row r="5" spans="1:2" ht="15.75">
      <c r="A5" s="1" t="s">
        <v>4</v>
      </c>
      <c r="B5" s="5" t="s">
        <v>21</v>
      </c>
    </row>
    <row r="6" s="6" customFormat="1" ht="16.5" thickBot="1"/>
    <row r="7" spans="1:2" s="7" customFormat="1" ht="18.75">
      <c r="A7" s="7" t="s">
        <v>5</v>
      </c>
      <c r="B7" s="8" t="s">
        <v>22</v>
      </c>
    </row>
    <row r="8" spans="1:2" ht="15.75">
      <c r="A8" s="1" t="s">
        <v>6</v>
      </c>
      <c r="B8" s="5" t="s">
        <v>134</v>
      </c>
    </row>
    <row r="9" spans="1:9" ht="15.75">
      <c r="A9" s="1" t="s">
        <v>7</v>
      </c>
      <c r="B9" s="5" t="s">
        <v>8</v>
      </c>
      <c r="C9" s="5" t="s">
        <v>9</v>
      </c>
      <c r="D9" s="5"/>
      <c r="E9" s="5"/>
      <c r="F9" s="5"/>
      <c r="G9" s="5"/>
      <c r="H9" s="5"/>
      <c r="I9" s="5"/>
    </row>
    <row r="10" spans="2:9" ht="15.75">
      <c r="B10" s="5" t="s">
        <v>10</v>
      </c>
      <c r="C10" s="5" t="s">
        <v>24</v>
      </c>
      <c r="D10" s="5"/>
      <c r="E10" s="5"/>
      <c r="F10" s="5"/>
      <c r="G10" s="5"/>
      <c r="H10" s="5"/>
      <c r="I10" s="5"/>
    </row>
    <row r="11" spans="2:9" ht="15.75">
      <c r="B11" s="5" t="s">
        <v>11</v>
      </c>
      <c r="C11" s="5" t="s">
        <v>12</v>
      </c>
      <c r="D11" s="5"/>
      <c r="E11" s="5"/>
      <c r="F11" s="5"/>
      <c r="G11" s="5"/>
      <c r="H11" s="5"/>
      <c r="I11" s="5"/>
    </row>
    <row r="12" spans="2:9" ht="15.75">
      <c r="B12" s="5" t="s">
        <v>13</v>
      </c>
      <c r="C12" s="5" t="s">
        <v>14</v>
      </c>
      <c r="D12" s="5"/>
      <c r="E12" s="5"/>
      <c r="F12" s="5"/>
      <c r="G12" s="5"/>
      <c r="H12" s="5"/>
      <c r="I12" s="5"/>
    </row>
    <row r="13" spans="2:9" ht="15.75">
      <c r="B13" s="5" t="s">
        <v>15</v>
      </c>
      <c r="C13" s="5" t="s">
        <v>16</v>
      </c>
      <c r="D13" s="5"/>
      <c r="E13" s="5"/>
      <c r="F13" s="5"/>
      <c r="G13" s="5"/>
      <c r="H13" s="5"/>
      <c r="I13" s="5"/>
    </row>
    <row r="14" spans="2:9" ht="15.75">
      <c r="B14" s="5" t="s">
        <v>17</v>
      </c>
      <c r="C14" s="5" t="s">
        <v>18</v>
      </c>
      <c r="D14" s="5"/>
      <c r="E14" s="5"/>
      <c r="F14" s="5"/>
      <c r="G14" s="5"/>
      <c r="H14" s="5"/>
      <c r="I14" s="5"/>
    </row>
    <row r="15" spans="2:9" ht="15.75">
      <c r="B15" s="5" t="s">
        <v>8</v>
      </c>
      <c r="C15" s="5" t="s">
        <v>23</v>
      </c>
      <c r="D15" s="5"/>
      <c r="E15" s="5"/>
      <c r="F15" s="5"/>
      <c r="G15" s="5"/>
      <c r="H15" s="5"/>
      <c r="I15" s="5"/>
    </row>
    <row r="16" spans="2:9" ht="15.75">
      <c r="B16" s="5" t="s">
        <v>10</v>
      </c>
      <c r="C16" s="5" t="s">
        <v>25</v>
      </c>
      <c r="D16" s="5"/>
      <c r="E16" s="5"/>
      <c r="F16" s="5"/>
      <c r="G16" s="5"/>
      <c r="H16" s="5"/>
      <c r="I16" s="5"/>
    </row>
    <row r="17" spans="2:9" ht="15.75">
      <c r="B17" s="5" t="s">
        <v>11</v>
      </c>
      <c r="C17" s="5"/>
      <c r="D17" s="5"/>
      <c r="E17" s="5"/>
      <c r="F17" s="5"/>
      <c r="G17" s="5"/>
      <c r="H17" s="5"/>
      <c r="I17" s="5"/>
    </row>
    <row r="18" spans="2:9" ht="15.75">
      <c r="B18" s="5" t="s">
        <v>13</v>
      </c>
      <c r="C18" s="5"/>
      <c r="D18" s="5"/>
      <c r="E18" s="5"/>
      <c r="F18" s="5"/>
      <c r="G18" s="5"/>
      <c r="H18" s="5"/>
      <c r="I18" s="5"/>
    </row>
    <row r="19" spans="2:9" ht="15.75">
      <c r="B19" s="5" t="s">
        <v>15</v>
      </c>
      <c r="C19" s="5"/>
      <c r="D19" s="5"/>
      <c r="E19" s="5"/>
      <c r="F19" s="5"/>
      <c r="G19" s="5"/>
      <c r="H19" s="5"/>
      <c r="I19" s="5"/>
    </row>
    <row r="20" spans="2:9" ht="15.75">
      <c r="B20" s="5" t="s">
        <v>17</v>
      </c>
      <c r="C20" s="5" t="s">
        <v>26</v>
      </c>
      <c r="D20" s="5"/>
      <c r="E20" s="5"/>
      <c r="F20" s="5"/>
      <c r="G20" s="5"/>
      <c r="H20" s="5"/>
      <c r="I20" s="5"/>
    </row>
    <row r="21" spans="2:9" ht="15.75">
      <c r="B21" s="5" t="s">
        <v>8</v>
      </c>
      <c r="C21" s="5" t="s">
        <v>103</v>
      </c>
      <c r="D21" s="5"/>
      <c r="E21" s="5"/>
      <c r="F21" s="5"/>
      <c r="G21" s="5"/>
      <c r="H21" s="5"/>
      <c r="I21" s="5"/>
    </row>
    <row r="22" spans="2:9" ht="15.75">
      <c r="B22" s="5" t="s">
        <v>10</v>
      </c>
      <c r="C22" s="5" t="s">
        <v>102</v>
      </c>
      <c r="D22" s="5"/>
      <c r="E22" s="5"/>
      <c r="F22" s="5"/>
      <c r="G22" s="5"/>
      <c r="H22" s="5"/>
      <c r="I22" s="5"/>
    </row>
    <row r="23" spans="2:9" ht="15.75">
      <c r="B23" s="5" t="s">
        <v>11</v>
      </c>
      <c r="C23" s="5" t="s">
        <v>104</v>
      </c>
      <c r="D23" s="5"/>
      <c r="E23" s="5"/>
      <c r="F23" s="5"/>
      <c r="G23" s="5"/>
      <c r="H23" s="5"/>
      <c r="I23" s="5"/>
    </row>
    <row r="24" spans="2:9" ht="15.75">
      <c r="B24" s="5" t="s">
        <v>13</v>
      </c>
      <c r="C24" s="5"/>
      <c r="D24" s="5"/>
      <c r="E24" s="5"/>
      <c r="F24" s="5"/>
      <c r="G24" s="5"/>
      <c r="H24" s="5"/>
      <c r="I24" s="5"/>
    </row>
    <row r="25" spans="2:9" ht="15.75">
      <c r="B25" s="5" t="s">
        <v>15</v>
      </c>
      <c r="C25" s="5"/>
      <c r="D25" s="5"/>
      <c r="E25" s="5"/>
      <c r="F25" s="5"/>
      <c r="G25" s="5"/>
      <c r="H25" s="5"/>
      <c r="I25" s="5"/>
    </row>
    <row r="26" spans="2:9" ht="15.75">
      <c r="B26" s="5" t="s">
        <v>17</v>
      </c>
      <c r="C26" s="5" t="s">
        <v>105</v>
      </c>
      <c r="D26" s="5"/>
      <c r="E26" s="5"/>
      <c r="F26" s="5"/>
      <c r="G26" s="5"/>
      <c r="H26" s="5"/>
      <c r="I26" s="5"/>
    </row>
    <row r="27" ht="15.75">
      <c r="A27" s="1" t="s">
        <v>19</v>
      </c>
    </row>
    <row r="37" spans="1:5" ht="15.75" customHeight="1">
      <c r="A37" s="9"/>
      <c r="B37" s="387"/>
      <c r="C37" s="387"/>
      <c r="D37" s="387"/>
      <c r="E37" s="387"/>
    </row>
    <row r="38" spans="1:5" ht="15.75" customHeight="1">
      <c r="A38" s="7"/>
      <c r="B38" s="10"/>
      <c r="C38" s="10"/>
      <c r="D38" s="10"/>
      <c r="E38" s="10"/>
    </row>
    <row r="39" spans="1:5" ht="15.75" customHeight="1">
      <c r="A39" s="7"/>
      <c r="B39" s="386"/>
      <c r="C39" s="386"/>
      <c r="D39" s="386"/>
      <c r="E39" s="386"/>
    </row>
    <row r="40" spans="1:5" ht="15.75" customHeight="1">
      <c r="A40" s="7"/>
      <c r="B40" s="10"/>
      <c r="C40" s="10"/>
      <c r="D40" s="10"/>
      <c r="E40" s="10"/>
    </row>
    <row r="41" spans="1:5" ht="15.75" customHeight="1">
      <c r="A41" s="7"/>
      <c r="B41" s="386"/>
      <c r="C41" s="386"/>
      <c r="D41" s="386"/>
      <c r="E41" s="386"/>
    </row>
    <row r="42" spans="2:5" ht="15.75" customHeight="1">
      <c r="B42" s="386"/>
      <c r="C42" s="386"/>
      <c r="D42" s="386"/>
      <c r="E42" s="386"/>
    </row>
    <row r="43" ht="15.75" customHeight="1"/>
    <row r="44" ht="15.75" customHeight="1"/>
    <row r="45" ht="15.75" customHeight="1"/>
  </sheetData>
  <mergeCells count="3">
    <mergeCell ref="B39:E39"/>
    <mergeCell ref="B37:E37"/>
    <mergeCell ref="B41:E4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Roman,Bold"&amp;14June 2006&amp;R&amp;"Times New Roman,Bold"&amp;14doc.: IEEE 802.22-06/0051r7</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Z99"/>
  <sheetViews>
    <sheetView zoomScale="75" zoomScaleNormal="75" workbookViewId="0" topLeftCell="A1">
      <selection activeCell="J2" sqref="J2"/>
    </sheetView>
  </sheetViews>
  <sheetFormatPr defaultColWidth="9.140625" defaultRowHeight="12.75"/>
  <cols>
    <col min="1" max="1" width="42.57421875" style="12" customWidth="1"/>
    <col min="2" max="2" width="10.140625" style="12" customWidth="1"/>
    <col min="3" max="3" width="10.57421875" style="12" customWidth="1"/>
    <col min="4" max="4" width="10.28125" style="12" customWidth="1"/>
    <col min="5" max="5" width="10.57421875" style="12" customWidth="1"/>
    <col min="6" max="6" width="10.421875" style="12" customWidth="1"/>
    <col min="7" max="7" width="8.8515625" style="12" customWidth="1"/>
    <col min="8" max="8" width="10.00390625" style="12" customWidth="1"/>
    <col min="9" max="9" width="10.140625" style="12" customWidth="1"/>
    <col min="10" max="11" width="11.00390625" style="12" customWidth="1"/>
    <col min="12" max="12" width="5.140625" style="12" customWidth="1"/>
    <col min="13" max="13" width="10.140625" style="12" customWidth="1"/>
    <col min="14" max="14" width="11.421875" style="13" customWidth="1"/>
    <col min="15" max="15" width="7.57421875" style="12" customWidth="1"/>
    <col min="16" max="16" width="32.8515625" style="12" customWidth="1"/>
    <col min="17" max="21" width="7.57421875" style="12" customWidth="1"/>
    <col min="22" max="22" width="10.28125" style="12" customWidth="1"/>
    <col min="23" max="26" width="7.57421875" style="12" customWidth="1"/>
    <col min="27" max="16384" width="9.140625" style="12" customWidth="1"/>
  </cols>
  <sheetData>
    <row r="1" spans="1:10" ht="38.25" customHeight="1">
      <c r="A1" s="405" t="s">
        <v>127</v>
      </c>
      <c r="B1" s="405"/>
      <c r="C1" s="405"/>
      <c r="D1" s="405"/>
      <c r="E1" s="405"/>
      <c r="F1" s="405"/>
      <c r="G1" s="405"/>
      <c r="H1" s="405"/>
      <c r="I1" s="405"/>
      <c r="J1" s="405"/>
    </row>
    <row r="2" spans="1:26" ht="13.5" customHeight="1">
      <c r="A2" s="14" t="s">
        <v>27</v>
      </c>
      <c r="B2" s="15">
        <f>IF(AND(E2&gt;13,E2&lt;52),$E$2*6+389,"ERROR")</f>
        <v>617</v>
      </c>
      <c r="D2" s="16" t="s">
        <v>28</v>
      </c>
      <c r="E2" s="17">
        <v>38</v>
      </c>
      <c r="J2" s="18"/>
      <c r="K2" s="19"/>
      <c r="L2" s="19"/>
      <c r="M2" s="19"/>
      <c r="N2" s="20"/>
      <c r="O2" s="18"/>
      <c r="P2" s="18"/>
      <c r="Q2" s="18"/>
      <c r="R2" s="18"/>
      <c r="S2" s="18"/>
      <c r="T2" s="18"/>
      <c r="U2" s="18"/>
      <c r="V2" s="18"/>
      <c r="W2" s="18"/>
      <c r="X2" s="18"/>
      <c r="Y2" s="18"/>
      <c r="Z2" s="18"/>
    </row>
    <row r="3" spans="1:26" ht="13.5" customHeight="1">
      <c r="A3" s="14"/>
      <c r="B3" s="21"/>
      <c r="J3" s="18"/>
      <c r="K3" s="22"/>
      <c r="U3" s="23"/>
      <c r="V3" s="23"/>
      <c r="W3" s="23"/>
      <c r="X3" s="23"/>
      <c r="Y3" s="23"/>
      <c r="Z3" s="23"/>
    </row>
    <row r="4" spans="1:26" ht="13.5" customHeight="1" thickBot="1">
      <c r="A4" s="21" t="s">
        <v>29</v>
      </c>
      <c r="B4" s="206" t="s">
        <v>30</v>
      </c>
      <c r="C4" s="207" t="s">
        <v>31</v>
      </c>
      <c r="D4" s="206" t="s">
        <v>32</v>
      </c>
      <c r="E4" s="208" t="s">
        <v>33</v>
      </c>
      <c r="J4" s="18"/>
      <c r="K4" s="22"/>
      <c r="U4" s="23"/>
      <c r="V4" s="23"/>
      <c r="W4" s="23"/>
      <c r="X4" s="23"/>
      <c r="Y4" s="23"/>
      <c r="Z4" s="23"/>
    </row>
    <row r="5" spans="1:26" ht="13.5" customHeight="1">
      <c r="A5" s="24" t="s">
        <v>34</v>
      </c>
      <c r="B5" s="25">
        <v>-116</v>
      </c>
      <c r="C5" s="26">
        <v>-94</v>
      </c>
      <c r="D5" s="27">
        <v>-107</v>
      </c>
      <c r="E5" s="28">
        <v>-120</v>
      </c>
      <c r="J5" s="18"/>
      <c r="K5" s="22"/>
      <c r="U5" s="23"/>
      <c r="V5" s="23"/>
      <c r="W5" s="23"/>
      <c r="X5" s="23"/>
      <c r="Y5" s="23"/>
      <c r="Z5" s="23"/>
    </row>
    <row r="6" spans="1:26" ht="13.5" customHeight="1">
      <c r="A6" s="29" t="s">
        <v>35</v>
      </c>
      <c r="B6" s="30">
        <v>6</v>
      </c>
      <c r="C6" s="31">
        <v>6</v>
      </c>
      <c r="D6" s="32">
        <v>0.2</v>
      </c>
      <c r="E6" s="33">
        <v>0.01</v>
      </c>
      <c r="J6" s="18"/>
      <c r="K6" s="22"/>
      <c r="U6" s="23"/>
      <c r="V6" s="23"/>
      <c r="W6" s="23"/>
      <c r="X6" s="23"/>
      <c r="Y6" s="23"/>
      <c r="Z6" s="23"/>
    </row>
    <row r="7" spans="1:26" ht="13.5" customHeight="1">
      <c r="A7" s="29" t="s">
        <v>36</v>
      </c>
      <c r="B7" s="30">
        <v>0</v>
      </c>
      <c r="C7" s="31">
        <v>0</v>
      </c>
      <c r="D7" s="32">
        <v>0</v>
      </c>
      <c r="E7" s="33">
        <v>0</v>
      </c>
      <c r="G7" s="13"/>
      <c r="J7" s="177"/>
      <c r="K7" s="22"/>
      <c r="U7" s="23"/>
      <c r="V7" s="23"/>
      <c r="W7" s="23"/>
      <c r="X7" s="23"/>
      <c r="Y7" s="23"/>
      <c r="Z7" s="23"/>
    </row>
    <row r="8" spans="1:26" ht="13.5" customHeight="1">
      <c r="A8" s="34" t="s">
        <v>37</v>
      </c>
      <c r="B8" s="35">
        <f>(300/$B$2)^2/(4*PI())</f>
        <v>0.01881318461824558</v>
      </c>
      <c r="C8" s="36">
        <f>(300/$B$2)^2/(4*PI())</f>
        <v>0.01881318461824558</v>
      </c>
      <c r="D8" s="37">
        <f>(300/$B$2)^2/(4*PI())</f>
        <v>0.01881318461824558</v>
      </c>
      <c r="E8" s="38">
        <f>(300/$B$2)^2/(4*PI())</f>
        <v>0.01881318461824558</v>
      </c>
      <c r="H8" s="338"/>
      <c r="J8" s="18"/>
      <c r="K8" s="22"/>
      <c r="U8" s="23"/>
      <c r="V8" s="23"/>
      <c r="W8" s="23"/>
      <c r="X8" s="23"/>
      <c r="Y8" s="23"/>
      <c r="Z8" s="23"/>
    </row>
    <row r="9" spans="1:26" ht="13.5" customHeight="1">
      <c r="A9" s="39" t="s">
        <v>38</v>
      </c>
      <c r="B9" s="40">
        <f>(B5-30)-B7-10*LOG10(B8)</f>
        <v>-128.74462317350745</v>
      </c>
      <c r="C9" s="41">
        <f>(C5-30)-C7-10*LOG10(C8)</f>
        <v>-106.74462317350745</v>
      </c>
      <c r="D9" s="42">
        <f>(D5-30)-D7-10*LOG10(D8)</f>
        <v>-119.74462317350745</v>
      </c>
      <c r="E9" s="43">
        <f>(E5-30)-E7-10*LOG10(E8)</f>
        <v>-132.74462317350745</v>
      </c>
      <c r="H9" s="338"/>
      <c r="K9" s="22"/>
      <c r="U9" s="23"/>
      <c r="V9" s="23"/>
      <c r="W9" s="23"/>
      <c r="X9" s="23"/>
      <c r="Y9" s="23"/>
      <c r="Z9" s="23"/>
    </row>
    <row r="10" spans="1:26" ht="13.5" customHeight="1" thickBot="1">
      <c r="A10" s="44" t="s">
        <v>39</v>
      </c>
      <c r="B10" s="45">
        <f>B9+145.8</f>
        <v>17.055376826492562</v>
      </c>
      <c r="C10" s="46">
        <f>C9+145.8</f>
        <v>39.05537682649256</v>
      </c>
      <c r="D10" s="47">
        <f>D9+145.8</f>
        <v>26.055376826492562</v>
      </c>
      <c r="E10" s="48">
        <f>E9+145.8</f>
        <v>13.055376826492562</v>
      </c>
      <c r="H10" s="338"/>
      <c r="J10" s="18"/>
      <c r="K10" s="22"/>
      <c r="U10" s="23"/>
      <c r="V10" s="23"/>
      <c r="W10" s="23"/>
      <c r="X10" s="23"/>
      <c r="Y10" s="23"/>
      <c r="Z10" s="23"/>
    </row>
    <row r="11" spans="1:26" ht="13.5" customHeight="1" thickBot="1">
      <c r="A11" s="14"/>
      <c r="B11" s="21"/>
      <c r="C11" s="49"/>
      <c r="D11" s="49"/>
      <c r="E11" s="49"/>
      <c r="G11" s="13"/>
      <c r="H11" s="338"/>
      <c r="J11" s="18"/>
      <c r="K11" s="22"/>
      <c r="U11" s="23"/>
      <c r="V11" s="23"/>
      <c r="W11" s="23"/>
      <c r="X11" s="23"/>
      <c r="Y11" s="23"/>
      <c r="Z11" s="23"/>
    </row>
    <row r="12" spans="1:26" ht="13.5" customHeight="1">
      <c r="A12" s="50" t="s">
        <v>40</v>
      </c>
      <c r="B12" s="190">
        <f>41-20*LOG10(615/$B$2)</f>
        <v>41.0282009651565</v>
      </c>
      <c r="C12" s="169">
        <f>64-20*LOG10(615/$B$2)</f>
        <v>64.0282009651565</v>
      </c>
      <c r="D12" s="51">
        <f>(-26.8-30)-(6+10*LOG10(200/6000))-107.8-20+145.8</f>
        <v>-30.028787452803357</v>
      </c>
      <c r="E12" s="52">
        <f>(16.3-30)-(6+10*LOG10(200/6000))-107.8-20+145.8</f>
        <v>13.071212547196637</v>
      </c>
      <c r="F12" s="53" t="s">
        <v>41</v>
      </c>
      <c r="H12" s="338"/>
      <c r="U12" s="23"/>
      <c r="V12" s="23"/>
      <c r="W12" s="23"/>
      <c r="X12" s="23"/>
      <c r="Y12" s="23"/>
      <c r="Z12" s="23"/>
    </row>
    <row r="13" spans="1:26" ht="13.5" customHeight="1">
      <c r="A13" s="54" t="s">
        <v>42</v>
      </c>
      <c r="B13" s="55">
        <f>B10</f>
        <v>17.055376826492562</v>
      </c>
      <c r="C13" s="56">
        <f>C10</f>
        <v>39.05537682649256</v>
      </c>
      <c r="D13" s="57">
        <f>D10</f>
        <v>26.055376826492562</v>
      </c>
      <c r="E13" s="58">
        <f>E10</f>
        <v>13.055376826492562</v>
      </c>
      <c r="F13" s="59" t="s">
        <v>41</v>
      </c>
      <c r="U13" s="23"/>
      <c r="V13" s="23"/>
      <c r="W13" s="23"/>
      <c r="X13" s="23"/>
      <c r="Y13" s="23"/>
      <c r="Z13" s="23"/>
    </row>
    <row r="14" spans="1:26" ht="13.5" customHeight="1" thickBot="1">
      <c r="A14" s="60" t="s">
        <v>43</v>
      </c>
      <c r="B14" s="45">
        <f>B12-B10</f>
        <v>23.97282413866394</v>
      </c>
      <c r="C14" s="47">
        <f>C12-C10</f>
        <v>24.97282413866394</v>
      </c>
      <c r="D14" s="47">
        <f>D12-D10</f>
        <v>-56.08416427929592</v>
      </c>
      <c r="E14" s="48">
        <f>E12-E10</f>
        <v>0.01583572070407513</v>
      </c>
      <c r="F14" s="61" t="s">
        <v>20</v>
      </c>
      <c r="U14" s="23"/>
      <c r="V14" s="23"/>
      <c r="W14" s="23"/>
      <c r="X14" s="23"/>
      <c r="Y14" s="23"/>
      <c r="Z14" s="23"/>
    </row>
    <row r="15" spans="1:26" ht="13.5" customHeight="1">
      <c r="A15" s="62"/>
      <c r="B15" s="14"/>
      <c r="C15" s="63"/>
      <c r="J15" s="18"/>
      <c r="K15" s="22"/>
      <c r="U15" s="19"/>
      <c r="V15" s="64"/>
      <c r="W15" s="64"/>
      <c r="X15" s="64"/>
      <c r="Y15" s="64"/>
      <c r="Z15" s="64"/>
    </row>
    <row r="16" spans="1:26" ht="13.5" customHeight="1" thickBot="1">
      <c r="A16" s="65" t="s">
        <v>44</v>
      </c>
      <c r="B16" s="206" t="s">
        <v>30</v>
      </c>
      <c r="C16" s="207" t="s">
        <v>31</v>
      </c>
      <c r="D16" s="206" t="s">
        <v>32</v>
      </c>
      <c r="E16" s="208" t="s">
        <v>33</v>
      </c>
      <c r="G16" s="66"/>
      <c r="J16" s="18"/>
      <c r="K16" s="22"/>
      <c r="V16" s="64"/>
      <c r="W16" s="64"/>
      <c r="X16" s="67"/>
      <c r="Y16" s="64"/>
      <c r="Z16" s="64"/>
    </row>
    <row r="17" spans="1:26" ht="13.5" customHeight="1">
      <c r="A17" s="68" t="s">
        <v>45</v>
      </c>
      <c r="B17" s="390">
        <v>0</v>
      </c>
      <c r="C17" s="391"/>
      <c r="D17" s="391"/>
      <c r="E17" s="392"/>
      <c r="F17" s="69"/>
      <c r="G17" s="69"/>
      <c r="H17" s="69"/>
      <c r="I17" s="69"/>
      <c r="J17" s="18"/>
      <c r="K17" s="22"/>
      <c r="V17" s="70"/>
      <c r="W17" s="70"/>
      <c r="X17" s="70"/>
      <c r="Y17" s="70"/>
      <c r="Z17" s="70"/>
    </row>
    <row r="18" spans="1:26" ht="13.5" customHeight="1">
      <c r="A18" s="34" t="s">
        <v>37</v>
      </c>
      <c r="B18" s="408">
        <f>(300/$B$2)^2/(4*PI())</f>
        <v>0.01881318461824558</v>
      </c>
      <c r="C18" s="409"/>
      <c r="D18" s="409"/>
      <c r="E18" s="410"/>
      <c r="F18" s="71"/>
      <c r="V18" s="72"/>
      <c r="W18" s="73"/>
      <c r="X18" s="18"/>
      <c r="Y18" s="18"/>
      <c r="Z18" s="18"/>
    </row>
    <row r="19" spans="1:26" ht="13.5" customHeight="1">
      <c r="A19" s="34" t="s">
        <v>46</v>
      </c>
      <c r="B19" s="393">
        <f>90*(1/3)+290*(2/3)</f>
        <v>223.33333333333331</v>
      </c>
      <c r="C19" s="394"/>
      <c r="D19" s="394"/>
      <c r="E19" s="395"/>
      <c r="V19" s="73"/>
      <c r="W19" s="73"/>
      <c r="X19" s="73"/>
      <c r="Y19" s="73"/>
      <c r="Z19" s="73"/>
    </row>
    <row r="20" spans="1:26" ht="27.75" customHeight="1">
      <c r="A20" s="189" t="s">
        <v>47</v>
      </c>
      <c r="B20" s="411">
        <v>-99</v>
      </c>
      <c r="C20" s="412"/>
      <c r="D20" s="412"/>
      <c r="E20" s="413"/>
      <c r="F20" s="75"/>
      <c r="G20" s="76"/>
      <c r="H20" s="76"/>
      <c r="I20" s="76"/>
      <c r="J20" s="76"/>
      <c r="W20" s="73"/>
      <c r="X20" s="73"/>
      <c r="Y20" s="73"/>
      <c r="Z20" s="73"/>
    </row>
    <row r="21" spans="1:26" ht="26.25" customHeight="1">
      <c r="A21" s="74" t="s">
        <v>48</v>
      </c>
      <c r="B21" s="414">
        <f>10^((B20-145.8+10*LOG(B18)+B17+168.6-10*LOG10(B6))/10)</f>
        <v>7.521614428973094E-11</v>
      </c>
      <c r="C21" s="378"/>
      <c r="D21" s="378"/>
      <c r="E21" s="379"/>
      <c r="F21" s="75"/>
      <c r="J21" s="76"/>
      <c r="K21" s="76"/>
      <c r="W21" s="73"/>
      <c r="X21" s="73"/>
      <c r="Y21" s="73"/>
      <c r="Z21" s="73"/>
    </row>
    <row r="22" spans="1:26" ht="13.5" customHeight="1">
      <c r="A22" s="209" t="s">
        <v>93</v>
      </c>
      <c r="B22" s="402">
        <v>10</v>
      </c>
      <c r="C22" s="403"/>
      <c r="D22" s="403"/>
      <c r="E22" s="404"/>
      <c r="K22" s="202"/>
      <c r="L22" s="76"/>
      <c r="M22" s="18"/>
      <c r="W22" s="73"/>
      <c r="X22" s="73"/>
      <c r="Y22" s="73"/>
      <c r="Z22" s="73"/>
    </row>
    <row r="23" spans="1:26" ht="13.5" customHeight="1">
      <c r="A23" s="77" t="s">
        <v>49</v>
      </c>
      <c r="B23" s="399">
        <v>0.5</v>
      </c>
      <c r="C23" s="400"/>
      <c r="D23" s="400"/>
      <c r="E23" s="401"/>
      <c r="K23" s="202"/>
      <c r="M23" s="18"/>
      <c r="W23" s="73"/>
      <c r="X23" s="73"/>
      <c r="Y23" s="73"/>
      <c r="Z23" s="73"/>
    </row>
    <row r="24" spans="1:26" ht="13.5" customHeight="1">
      <c r="A24" s="34" t="s">
        <v>50</v>
      </c>
      <c r="B24" s="399">
        <v>4</v>
      </c>
      <c r="C24" s="400"/>
      <c r="D24" s="400"/>
      <c r="E24" s="401"/>
      <c r="G24" s="76"/>
      <c r="H24" s="76"/>
      <c r="I24" s="76"/>
      <c r="J24" s="76"/>
      <c r="K24" s="202"/>
      <c r="L24" s="64"/>
      <c r="M24" s="18"/>
      <c r="W24" s="73"/>
      <c r="X24" s="73"/>
      <c r="Y24" s="73"/>
      <c r="Z24" s="73"/>
    </row>
    <row r="25" spans="1:26" ht="13.5" customHeight="1">
      <c r="A25" s="77" t="s">
        <v>51</v>
      </c>
      <c r="B25" s="399">
        <v>2</v>
      </c>
      <c r="C25" s="400"/>
      <c r="D25" s="400"/>
      <c r="E25" s="401"/>
      <c r="L25" s="70"/>
      <c r="M25" s="18"/>
      <c r="W25" s="73"/>
      <c r="X25" s="73"/>
      <c r="Y25" s="73"/>
      <c r="Z25" s="73"/>
    </row>
    <row r="26" spans="1:26" ht="13.5" customHeight="1">
      <c r="A26" s="77" t="s">
        <v>52</v>
      </c>
      <c r="B26" s="399">
        <v>6</v>
      </c>
      <c r="C26" s="400"/>
      <c r="D26" s="400"/>
      <c r="E26" s="401"/>
      <c r="I26" s="19"/>
      <c r="J26" s="18"/>
      <c r="K26" s="22"/>
      <c r="L26" s="72"/>
      <c r="W26" s="73"/>
      <c r="X26" s="73"/>
      <c r="Y26" s="73"/>
      <c r="Z26" s="73"/>
    </row>
    <row r="27" spans="1:26" ht="13.5" customHeight="1">
      <c r="A27" s="77" t="s">
        <v>53</v>
      </c>
      <c r="B27" s="396">
        <f>B17-(B23+B24+B25)-10*LOG10((B19+B21)*10^(-(B23+B24+B25)/10)+290*(1-10^(-(B23+B24+B25)/10))+290*(10^(B26/10)-1))</f>
        <v>-37.06747100272945</v>
      </c>
      <c r="C27" s="397"/>
      <c r="D27" s="397"/>
      <c r="E27" s="398"/>
      <c r="H27" s="69"/>
      <c r="I27" s="69"/>
      <c r="J27" s="18"/>
      <c r="K27" s="18"/>
      <c r="L27" s="71"/>
      <c r="W27" s="73"/>
      <c r="X27" s="73"/>
      <c r="Y27" s="73"/>
      <c r="Z27" s="73"/>
    </row>
    <row r="28" spans="1:26" ht="13.5" customHeight="1" thickBot="1">
      <c r="A28" s="195" t="s">
        <v>117</v>
      </c>
      <c r="B28" s="380">
        <f>10*LOG10(((B19+B21)*10^(-(B23+B24+B25)/10)+290*(1-10^(-(B23+B24+B25)/10))+290*(10^(B26/10)-1))/290)</f>
        <v>5.943491023739885</v>
      </c>
      <c r="C28" s="381"/>
      <c r="D28" s="381"/>
      <c r="E28" s="382"/>
      <c r="H28" s="69"/>
      <c r="I28" s="69"/>
      <c r="J28" s="18"/>
      <c r="K28" s="18"/>
      <c r="L28" s="71"/>
      <c r="W28" s="73"/>
      <c r="X28" s="73"/>
      <c r="Y28" s="73"/>
      <c r="Z28" s="73"/>
    </row>
    <row r="29" spans="1:26" ht="12.75" customHeight="1" thickBot="1">
      <c r="A29" s="78" t="s">
        <v>54</v>
      </c>
      <c r="B29" s="79">
        <f>B9+168.6-10*LOG10(B6)+10*LOG10($B18)+$B27</f>
        <v>-22.248983506565885</v>
      </c>
      <c r="C29" s="80">
        <f>C9+168.6-10*LOG10(C6)+10*LOG10($B18)+$B27</f>
        <v>-0.2489835065658852</v>
      </c>
      <c r="D29" s="81">
        <f>D9+168.6-10*LOG10(D6)+10*LOG10($B18)+$B27</f>
        <v>1.5222290406307408</v>
      </c>
      <c r="E29" s="82">
        <f>E9+168.6-10*LOG10(E6)+10*LOG10($B18)+$B27</f>
        <v>1.5325289972705534</v>
      </c>
      <c r="F29" s="83" t="s">
        <v>20</v>
      </c>
      <c r="M29" s="84"/>
      <c r="Q29" s="85"/>
      <c r="W29" s="73"/>
      <c r="X29" s="18"/>
      <c r="Y29" s="18"/>
      <c r="Z29" s="18"/>
    </row>
    <row r="30" spans="1:26" ht="12.75" customHeight="1">
      <c r="A30" s="86"/>
      <c r="B30" s="87"/>
      <c r="C30" s="87"/>
      <c r="D30" s="87"/>
      <c r="E30" s="87"/>
      <c r="M30" s="84"/>
      <c r="Q30" s="88"/>
      <c r="W30" s="73"/>
      <c r="X30" s="18"/>
      <c r="Y30" s="18"/>
      <c r="Z30" s="18"/>
    </row>
    <row r="31" spans="1:26" ht="13.5" customHeight="1">
      <c r="A31" s="22"/>
      <c r="B31" s="71"/>
      <c r="C31" s="71"/>
      <c r="D31" s="71"/>
      <c r="E31" s="71"/>
      <c r="H31" s="71"/>
      <c r="I31" s="71"/>
      <c r="J31" s="90"/>
      <c r="K31" s="84"/>
      <c r="M31" s="18"/>
      <c r="Q31" s="88"/>
      <c r="W31" s="18"/>
      <c r="X31" s="18"/>
      <c r="Y31" s="18"/>
      <c r="Z31" s="18"/>
    </row>
    <row r="32" spans="1:26" ht="12.75" customHeight="1" thickBot="1">
      <c r="A32" s="91" t="s">
        <v>90</v>
      </c>
      <c r="B32" s="71"/>
      <c r="C32" s="71"/>
      <c r="D32" s="71"/>
      <c r="E32" s="71"/>
      <c r="H32" s="71"/>
      <c r="I32" s="71"/>
      <c r="J32" s="90"/>
      <c r="K32" s="84"/>
      <c r="M32" s="22"/>
      <c r="Q32" s="92"/>
      <c r="W32" s="18"/>
      <c r="X32" s="18"/>
      <c r="Y32" s="18"/>
      <c r="Z32" s="18"/>
    </row>
    <row r="33" spans="1:26" ht="12.75" customHeight="1">
      <c r="A33" s="93" t="s">
        <v>55</v>
      </c>
      <c r="B33" s="94">
        <v>0.9</v>
      </c>
      <c r="C33" s="95">
        <v>0.9</v>
      </c>
      <c r="D33" s="94">
        <v>0.9</v>
      </c>
      <c r="E33" s="96">
        <v>0.9</v>
      </c>
      <c r="I33" s="71"/>
      <c r="J33" s="90"/>
      <c r="K33" s="73"/>
      <c r="M33" s="18"/>
      <c r="Q33" s="97"/>
      <c r="W33" s="18"/>
      <c r="X33" s="18"/>
      <c r="Y33" s="18"/>
      <c r="Z33" s="18"/>
    </row>
    <row r="34" spans="1:26" ht="12.75" customHeight="1" thickBot="1">
      <c r="A34" s="98" t="s">
        <v>94</v>
      </c>
      <c r="B34" s="99">
        <v>0.1</v>
      </c>
      <c r="C34" s="100">
        <v>0.1</v>
      </c>
      <c r="D34" s="99">
        <v>0.1</v>
      </c>
      <c r="E34" s="101">
        <v>0.1</v>
      </c>
      <c r="H34" s="71"/>
      <c r="I34" s="71"/>
      <c r="J34" s="18"/>
      <c r="K34" s="18"/>
      <c r="M34" s="18"/>
      <c r="Q34" s="92"/>
      <c r="W34" s="18"/>
      <c r="X34" s="18"/>
      <c r="Y34" s="18"/>
      <c r="Z34" s="18"/>
    </row>
    <row r="35" spans="1:26" ht="12.75" customHeight="1">
      <c r="A35" s="102"/>
      <c r="B35" s="103"/>
      <c r="C35" s="103"/>
      <c r="D35" s="103"/>
      <c r="E35" s="103"/>
      <c r="F35" s="22"/>
      <c r="H35" s="71"/>
      <c r="I35" s="71"/>
      <c r="J35" s="18"/>
      <c r="K35" s="18"/>
      <c r="M35" s="18"/>
      <c r="Q35" s="92"/>
      <c r="W35" s="18"/>
      <c r="X35" s="18"/>
      <c r="Y35" s="18"/>
      <c r="Z35" s="18"/>
    </row>
    <row r="36" spans="1:26" ht="12.75" customHeight="1" thickBot="1">
      <c r="A36" s="91" t="s">
        <v>88</v>
      </c>
      <c r="B36" s="383" t="s">
        <v>91</v>
      </c>
      <c r="C36" s="384"/>
      <c r="D36" s="384"/>
      <c r="E36" s="196">
        <v>2</v>
      </c>
      <c r="G36" s="69"/>
      <c r="H36" s="71"/>
      <c r="I36" s="71"/>
      <c r="J36" s="18"/>
      <c r="K36" s="18"/>
      <c r="M36" s="18"/>
      <c r="W36" s="18"/>
      <c r="X36" s="18"/>
      <c r="Y36" s="18"/>
      <c r="Z36" s="18"/>
    </row>
    <row r="37" spans="1:26" ht="12.75" customHeight="1">
      <c r="A37" s="93" t="s">
        <v>55</v>
      </c>
      <c r="B37" s="94">
        <f>1-(1-B33)/$E$36</f>
        <v>0.95</v>
      </c>
      <c r="C37" s="94">
        <f>1-(1-C33)/$E$36</f>
        <v>0.95</v>
      </c>
      <c r="D37" s="94">
        <f>1-(1-D33)/$E$36</f>
        <v>0.95</v>
      </c>
      <c r="E37" s="94">
        <f>1-(1-E33)/$E$36</f>
        <v>0.95</v>
      </c>
      <c r="H37" s="71"/>
      <c r="I37" s="71"/>
      <c r="J37" s="18"/>
      <c r="K37" s="18"/>
      <c r="M37" s="18"/>
      <c r="W37" s="18"/>
      <c r="X37" s="18"/>
      <c r="Y37" s="18"/>
      <c r="Z37" s="18"/>
    </row>
    <row r="38" spans="1:26" ht="12.75" customHeight="1" thickBot="1">
      <c r="A38" s="98" t="s">
        <v>94</v>
      </c>
      <c r="B38" s="204">
        <f>B34/$E$36</f>
        <v>0.05</v>
      </c>
      <c r="C38" s="204">
        <f>C34/$E$36</f>
        <v>0.05</v>
      </c>
      <c r="D38" s="204">
        <f>D34/$E$36</f>
        <v>0.05</v>
      </c>
      <c r="E38" s="204">
        <f>E34/$E$36</f>
        <v>0.05</v>
      </c>
      <c r="H38" s="71"/>
      <c r="I38" s="71"/>
      <c r="J38" s="18"/>
      <c r="K38" s="18"/>
      <c r="M38" s="18"/>
      <c r="Q38" s="92"/>
      <c r="W38" s="18"/>
      <c r="X38" s="18"/>
      <c r="Y38" s="18"/>
      <c r="Z38" s="18"/>
    </row>
    <row r="39" spans="1:26" ht="12.75" customHeight="1">
      <c r="A39" s="102"/>
      <c r="E39" s="103"/>
      <c r="G39" s="89"/>
      <c r="H39" s="71"/>
      <c r="I39" s="71"/>
      <c r="J39" s="18"/>
      <c r="K39" s="18"/>
      <c r="M39" s="18"/>
      <c r="Q39" s="92"/>
      <c r="W39" s="18"/>
      <c r="X39" s="18"/>
      <c r="Y39" s="18"/>
      <c r="Z39" s="18"/>
    </row>
    <row r="40" spans="1:26" ht="12.75" customHeight="1" thickBot="1">
      <c r="A40" s="91" t="s">
        <v>89</v>
      </c>
      <c r="B40" s="368" t="s">
        <v>92</v>
      </c>
      <c r="C40" s="369"/>
      <c r="D40" s="369"/>
      <c r="E40" s="196">
        <v>2</v>
      </c>
      <c r="G40" s="89"/>
      <c r="H40" s="71"/>
      <c r="I40" s="71"/>
      <c r="J40" s="18"/>
      <c r="K40" s="18"/>
      <c r="M40" s="18"/>
      <c r="Q40" s="92"/>
      <c r="W40" s="18"/>
      <c r="X40" s="18"/>
      <c r="Y40" s="18"/>
      <c r="Z40" s="18"/>
    </row>
    <row r="41" spans="1:26" ht="12.75" customHeight="1">
      <c r="A41" s="93" t="s">
        <v>55</v>
      </c>
      <c r="B41" s="94">
        <f aca="true" t="shared" si="0" ref="B41:E42">1-(1-B37)^(1/$E$40)</f>
        <v>0.776393202250021</v>
      </c>
      <c r="C41" s="94">
        <f t="shared" si="0"/>
        <v>0.776393202250021</v>
      </c>
      <c r="D41" s="94">
        <f t="shared" si="0"/>
        <v>0.776393202250021</v>
      </c>
      <c r="E41" s="94">
        <f t="shared" si="0"/>
        <v>0.776393202250021</v>
      </c>
      <c r="F41" s="71"/>
      <c r="H41" s="71"/>
      <c r="I41" s="71"/>
      <c r="J41" s="18"/>
      <c r="K41" s="18"/>
      <c r="M41" s="18"/>
      <c r="Q41" s="92"/>
      <c r="W41" s="18"/>
      <c r="X41" s="18"/>
      <c r="Y41" s="18"/>
      <c r="Z41" s="18"/>
    </row>
    <row r="42" spans="1:26" ht="12.75" customHeight="1" thickBot="1">
      <c r="A42" s="98" t="s">
        <v>94</v>
      </c>
      <c r="B42" s="203">
        <f t="shared" si="0"/>
        <v>0.025320565519103666</v>
      </c>
      <c r="C42" s="203">
        <f t="shared" si="0"/>
        <v>0.025320565519103666</v>
      </c>
      <c r="D42" s="203">
        <f t="shared" si="0"/>
        <v>0.025320565519103666</v>
      </c>
      <c r="E42" s="203">
        <f t="shared" si="0"/>
        <v>0.025320565519103666</v>
      </c>
      <c r="G42" s="71"/>
      <c r="H42" s="71"/>
      <c r="I42" s="71"/>
      <c r="J42" s="18"/>
      <c r="K42" s="18"/>
      <c r="M42" s="18"/>
      <c r="Q42" s="92"/>
      <c r="W42" s="18"/>
      <c r="X42" s="18"/>
      <c r="Y42" s="18"/>
      <c r="Z42" s="18"/>
    </row>
    <row r="43" spans="1:26" ht="12.75" customHeight="1">
      <c r="A43" s="102"/>
      <c r="B43" s="103"/>
      <c r="C43" s="103"/>
      <c r="D43" s="103"/>
      <c r="E43" s="103"/>
      <c r="G43" s="71"/>
      <c r="H43" s="71"/>
      <c r="I43" s="71"/>
      <c r="J43" s="18"/>
      <c r="K43" s="18"/>
      <c r="M43" s="18"/>
      <c r="Q43" s="92"/>
      <c r="W43" s="18"/>
      <c r="X43" s="18"/>
      <c r="Y43" s="18"/>
      <c r="Z43" s="18"/>
    </row>
    <row r="44" spans="1:26" ht="13.5" customHeight="1">
      <c r="A44" s="22"/>
      <c r="B44" s="71"/>
      <c r="C44" s="71"/>
      <c r="D44" s="71"/>
      <c r="E44" s="71"/>
      <c r="F44" s="104"/>
      <c r="G44" s="71"/>
      <c r="H44" s="71"/>
      <c r="I44" s="71"/>
      <c r="J44" s="18"/>
      <c r="K44" s="18"/>
      <c r="M44" s="18"/>
      <c r="Q44" s="92"/>
      <c r="T44" s="18"/>
      <c r="U44" s="18"/>
      <c r="V44" s="105"/>
      <c r="W44" s="18"/>
      <c r="X44" s="18"/>
      <c r="Y44" s="18"/>
      <c r="Z44" s="18"/>
    </row>
    <row r="45" spans="1:26" ht="15.75" customHeight="1">
      <c r="A45" s="407" t="s">
        <v>56</v>
      </c>
      <c r="B45" s="407"/>
      <c r="C45" s="407"/>
      <c r="D45" s="407"/>
      <c r="E45" s="407"/>
      <c r="F45" s="18"/>
      <c r="N45" s="12"/>
      <c r="T45" s="18"/>
      <c r="U45" s="18"/>
      <c r="V45" s="105"/>
      <c r="W45" s="18"/>
      <c r="X45" s="18"/>
      <c r="Y45" s="18"/>
      <c r="Z45" s="18"/>
    </row>
    <row r="46" spans="1:26" s="109" customFormat="1" ht="39.75" customHeight="1" thickBot="1">
      <c r="A46" s="106" t="s">
        <v>57</v>
      </c>
      <c r="B46" s="107" t="s">
        <v>58</v>
      </c>
      <c r="C46" s="107" t="s">
        <v>59</v>
      </c>
      <c r="D46" s="107" t="s">
        <v>60</v>
      </c>
      <c r="E46" s="108" t="s">
        <v>62</v>
      </c>
      <c r="F46" s="108" t="s">
        <v>63</v>
      </c>
      <c r="G46" s="108" t="s">
        <v>64</v>
      </c>
      <c r="H46" s="389" t="s">
        <v>65</v>
      </c>
      <c r="I46" s="389"/>
      <c r="J46" s="239" t="s">
        <v>61</v>
      </c>
      <c r="K46" s="108"/>
      <c r="L46" s="238"/>
      <c r="M46" s="239"/>
      <c r="U46" s="18"/>
      <c r="V46" s="18"/>
      <c r="W46" s="18"/>
      <c r="X46" s="18"/>
      <c r="Y46" s="18"/>
      <c r="Z46" s="18"/>
    </row>
    <row r="47" spans="1:14" ht="12.75">
      <c r="A47" s="110" t="s">
        <v>66</v>
      </c>
      <c r="B47" s="111">
        <f>B29</f>
        <v>-22.248983506565885</v>
      </c>
      <c r="C47" s="112">
        <v>0</v>
      </c>
      <c r="D47" s="111">
        <f aca="true" t="shared" si="1" ref="D47:D60">B47-C47</f>
        <v>-22.248983506565885</v>
      </c>
      <c r="E47" s="114"/>
      <c r="F47" s="228">
        <f>2*(NORMSINV($B$42)-(10^(D47/10)+1)*NORMSINV($B$41))^2/10^(D47/5)</f>
        <v>416560.09144750057</v>
      </c>
      <c r="G47" s="115">
        <f>ROUNDUP(F47,0)/($B$6*1000)</f>
        <v>69.42683333333333</v>
      </c>
      <c r="H47" s="109"/>
      <c r="I47" s="109"/>
      <c r="J47" s="142">
        <v>1</v>
      </c>
      <c r="K47" s="19"/>
      <c r="L47" s="153"/>
      <c r="M47" s="97"/>
      <c r="N47" s="12"/>
    </row>
    <row r="48" spans="1:14" ht="12.75">
      <c r="A48" s="116" t="s">
        <v>68</v>
      </c>
      <c r="B48" s="117">
        <f>B$29-11.2+10*LOG10(B6/0.01)</f>
        <v>-5.667471002729446</v>
      </c>
      <c r="C48" s="117">
        <f>(4.5-1.3)*NORMSINV($C$61)</f>
        <v>5.263529601506889</v>
      </c>
      <c r="D48" s="117">
        <f t="shared" si="1"/>
        <v>-10.931000604236335</v>
      </c>
      <c r="E48" s="240"/>
      <c r="F48" s="241">
        <f>2*(NORMSINV($B$42*$C$61)-(10^(D48/10)+1)*NORMSINV($B$41/$C$61))^2/10^(D48/5)</f>
        <v>2680.201083925333</v>
      </c>
      <c r="G48" s="242">
        <f>ROUNDUP(F48,0)/(0.01*1000)</f>
        <v>268.1</v>
      </c>
      <c r="H48" s="236"/>
      <c r="I48" s="71"/>
      <c r="J48" s="113">
        <v>1</v>
      </c>
      <c r="K48" s="19"/>
      <c r="L48" s="153"/>
      <c r="M48" s="97"/>
      <c r="N48" s="12"/>
    </row>
    <row r="49" spans="1:14" ht="12.75">
      <c r="A49" s="116" t="s">
        <v>86</v>
      </c>
      <c r="B49" s="117">
        <f>B$29</f>
        <v>-22.248983506565885</v>
      </c>
      <c r="C49" s="117">
        <f>(4.5-1.3)*NORMSINV($C$61)</f>
        <v>5.263529601506889</v>
      </c>
      <c r="D49" s="117">
        <f t="shared" si="1"/>
        <v>-27.512513108072774</v>
      </c>
      <c r="E49" s="160">
        <f>10^(-11.2/10)</f>
        <v>0.07585775750291839</v>
      </c>
      <c r="F49" s="241">
        <f>(NORMSINV($B$42*$C$61)-SQRT(10^(D49/10)+1)*NORMSINV($B$41/$C$61))^2/(E49*(10^(D49/10)))</f>
        <v>61757.313797390576</v>
      </c>
      <c r="G49" s="242">
        <f>ROUNDUP(F49,0)/($B$6*1000)</f>
        <v>10.293</v>
      </c>
      <c r="H49" s="237"/>
      <c r="I49" s="71"/>
      <c r="J49" s="113">
        <v>2</v>
      </c>
      <c r="K49" s="19"/>
      <c r="L49" s="153"/>
      <c r="M49" s="97"/>
      <c r="N49" s="12"/>
    </row>
    <row r="50" spans="1:26" ht="12.75" customHeight="1">
      <c r="A50" s="116" t="s">
        <v>100</v>
      </c>
      <c r="B50" s="121">
        <f>B29</f>
        <v>-22.248983506565885</v>
      </c>
      <c r="C50" s="71">
        <f>C47</f>
        <v>0</v>
      </c>
      <c r="D50" s="117">
        <f t="shared" si="1"/>
        <v>-22.248983506565885</v>
      </c>
      <c r="E50" s="122">
        <v>1</v>
      </c>
      <c r="F50" s="229">
        <f>(1/4)*(NORMSINV($B$42)-SQRT(10^(D50/10)+1)*NORMSINV($B$41))^2/(E50*(10^(D50/10)))</f>
        <v>309.71672193606383</v>
      </c>
      <c r="G50" s="119">
        <f>ROUNDUP(F50,0)*(4/$J$82)/1000</f>
        <v>0.11521767381416505</v>
      </c>
      <c r="H50" s="123">
        <f>(ROUNDUP(F50,0)*832/$J$82+4/$J$82)/1000</f>
        <v>23.96564782326186</v>
      </c>
      <c r="I50" s="124" t="s">
        <v>67</v>
      </c>
      <c r="J50" s="113">
        <v>2</v>
      </c>
      <c r="K50" s="19"/>
      <c r="L50" s="19"/>
      <c r="M50" s="154"/>
      <c r="N50" s="12"/>
      <c r="U50" s="125"/>
      <c r="V50" s="18"/>
      <c r="W50" s="18"/>
      <c r="X50" s="18"/>
      <c r="Y50" s="18"/>
      <c r="Z50" s="18"/>
    </row>
    <row r="51" spans="1:14" ht="12.75">
      <c r="A51" s="116" t="s">
        <v>98</v>
      </c>
      <c r="B51" s="121">
        <f>B29</f>
        <v>-22.248983506565885</v>
      </c>
      <c r="C51" s="71">
        <f>C47</f>
        <v>0</v>
      </c>
      <c r="D51" s="117">
        <f t="shared" si="1"/>
        <v>-22.248983506565885</v>
      </c>
      <c r="E51" s="122">
        <v>1</v>
      </c>
      <c r="F51" s="229">
        <f>(1/511)*(NORMSINV($B$42)-SQRT(10^(D51/10)+1)*NORMSINV($B$41))^2/(E51*(10^(D51/10)))</f>
        <v>2.424397040595412</v>
      </c>
      <c r="G51" s="119">
        <f>ROUNDUP(F51,0)*(511/$J$82)/1000</f>
        <v>0.14244249512670568</v>
      </c>
      <c r="H51" s="126">
        <f>(ROUNDUP(F51,0)*(313*832/$J$82)+511/$J$82)/1000</f>
        <v>72.63907537361924</v>
      </c>
      <c r="I51" s="71" t="s">
        <v>67</v>
      </c>
      <c r="J51" s="113">
        <v>2</v>
      </c>
      <c r="K51" s="19"/>
      <c r="L51" s="153"/>
      <c r="M51" s="97"/>
      <c r="N51" s="12"/>
    </row>
    <row r="52" spans="1:14" ht="12.75">
      <c r="A52" s="116" t="s">
        <v>99</v>
      </c>
      <c r="B52" s="117">
        <f>B29</f>
        <v>-22.248983506565885</v>
      </c>
      <c r="C52" s="152">
        <f>C47</f>
        <v>0</v>
      </c>
      <c r="D52" s="117">
        <f t="shared" si="1"/>
        <v>-22.248983506565885</v>
      </c>
      <c r="E52" s="122">
        <v>1</v>
      </c>
      <c r="F52" s="229">
        <f>(1/(3*63))*(NORMSINV($B$42)-SQRT(10^(D52/10)+1)*NORMSINV($B$41))^2/(E52*(10^(D52/10)))</f>
        <v>6.554851257906113</v>
      </c>
      <c r="G52" s="119">
        <f>ROUNDUP(F52,0)*(3*63/$J$82)/1000</f>
        <v>0.12292982456140353</v>
      </c>
      <c r="H52" s="254">
        <f>(ROUNDUP(F52,0)*(313*832/$J$82)+3*63/$J$82)/1000</f>
        <v>169.39794866796623</v>
      </c>
      <c r="I52" s="71" t="s">
        <v>67</v>
      </c>
      <c r="J52" s="113">
        <v>2</v>
      </c>
      <c r="K52" s="19"/>
      <c r="L52" s="153"/>
      <c r="M52" s="97"/>
      <c r="N52" s="12"/>
    </row>
    <row r="53" spans="1:14" ht="12.75">
      <c r="A53" s="116" t="s">
        <v>101</v>
      </c>
      <c r="B53" s="117">
        <f>B29</f>
        <v>-22.248983506565885</v>
      </c>
      <c r="C53" s="152">
        <f>C47</f>
        <v>0</v>
      </c>
      <c r="D53" s="117">
        <f t="shared" si="1"/>
        <v>-22.248983506565885</v>
      </c>
      <c r="E53" s="122"/>
      <c r="F53" s="229"/>
      <c r="G53" s="119"/>
      <c r="H53" s="255"/>
      <c r="I53" s="71"/>
      <c r="J53" s="113"/>
      <c r="K53" s="19"/>
      <c r="L53" s="153"/>
      <c r="M53" s="97"/>
      <c r="N53" s="12"/>
    </row>
    <row r="54" spans="1:14" ht="12.75">
      <c r="A54" s="116" t="s">
        <v>69</v>
      </c>
      <c r="B54" s="117">
        <f>B29</f>
        <v>-22.248983506565885</v>
      </c>
      <c r="C54" s="152">
        <f>C47</f>
        <v>0</v>
      </c>
      <c r="D54" s="117">
        <f t="shared" si="1"/>
        <v>-22.248983506565885</v>
      </c>
      <c r="E54" s="122"/>
      <c r="F54" s="229"/>
      <c r="G54" s="119"/>
      <c r="H54" s="255"/>
      <c r="I54" s="71"/>
      <c r="J54" s="113"/>
      <c r="K54" s="19"/>
      <c r="L54" s="153"/>
      <c r="M54" s="97"/>
      <c r="N54" s="12"/>
    </row>
    <row r="55" spans="1:14" ht="12.75">
      <c r="A55" s="127" t="s">
        <v>70</v>
      </c>
      <c r="B55" s="128">
        <f>B29</f>
        <v>-22.248983506565885</v>
      </c>
      <c r="C55" s="129">
        <f>C47</f>
        <v>0</v>
      </c>
      <c r="D55" s="128">
        <f t="shared" si="1"/>
        <v>-22.248983506565885</v>
      </c>
      <c r="E55" s="131"/>
      <c r="F55" s="230"/>
      <c r="G55" s="132"/>
      <c r="H55" s="256"/>
      <c r="I55" s="120"/>
      <c r="J55" s="130"/>
      <c r="K55" s="19"/>
      <c r="L55" s="153"/>
      <c r="M55" s="97"/>
      <c r="N55" s="12"/>
    </row>
    <row r="56" spans="1:14" ht="13.5" customHeight="1">
      <c r="A56" s="116" t="s">
        <v>71</v>
      </c>
      <c r="B56" s="121">
        <f>C$29+10*LOG10(30%)+10*LOG10(B6/0.02)</f>
        <v>19.293441587827367</v>
      </c>
      <c r="C56" s="121">
        <f>(4-1.3)*NORMSINV($C$61)</f>
        <v>4.4411031012714375</v>
      </c>
      <c r="D56" s="117">
        <f t="shared" si="1"/>
        <v>14.85233848655593</v>
      </c>
      <c r="E56" s="118"/>
      <c r="F56" s="135">
        <f>2*(NORMSINV($C$42*$C$61)-(10^(D56/10)+1)*NORMSINV($C$41/$C$61))^2/10^(D56/5)</f>
        <v>1.9968980991063543</v>
      </c>
      <c r="G56" s="136">
        <f>ROUNDUP(F56*$C$6/0.02,0)/($C$6*1000)</f>
        <v>0.1</v>
      </c>
      <c r="J56" s="113">
        <v>1</v>
      </c>
      <c r="K56" s="19"/>
      <c r="L56" s="153"/>
      <c r="M56" s="97"/>
      <c r="N56" s="12"/>
    </row>
    <row r="57" spans="1:14" ht="12.75" customHeight="1">
      <c r="A57" s="127" t="s">
        <v>72</v>
      </c>
      <c r="B57" s="137">
        <f>C$29+10*LOG10(10%)+10*LOG10(B6/0.02)</f>
        <v>14.52222904063074</v>
      </c>
      <c r="C57" s="120">
        <f>(4-1.3)*NORMSINV($C$61)</f>
        <v>4.4411031012714375</v>
      </c>
      <c r="D57" s="117">
        <f t="shared" si="1"/>
        <v>10.081125939359303</v>
      </c>
      <c r="E57" s="118"/>
      <c r="F57" s="135">
        <f>2*(NORMSINV($C$42*$C$61)-(10^(D57/10)+1)*NORMSINV($C$41/$C$61))^2/10^(D57/5)</f>
        <v>2.8215477547584</v>
      </c>
      <c r="G57" s="136">
        <f>ROUNDUP(F57*$C$6/0.02,0)/($C$6*1000)</f>
        <v>0.14116666666666666</v>
      </c>
      <c r="J57" s="113">
        <v>1</v>
      </c>
      <c r="K57" s="19"/>
      <c r="L57" s="161"/>
      <c r="M57" s="154"/>
      <c r="N57" s="12"/>
    </row>
    <row r="58" spans="1:14" ht="12.75">
      <c r="A58" s="127" t="s">
        <v>73</v>
      </c>
      <c r="B58" s="137">
        <f>D29</f>
        <v>1.5222290406307408</v>
      </c>
      <c r="C58" s="120">
        <f>(2.5-1.3)*NORMSINV($C$61)</f>
        <v>1.9738236005650833</v>
      </c>
      <c r="D58" s="138">
        <f t="shared" si="1"/>
        <v>-0.4515945599343425</v>
      </c>
      <c r="E58" s="140"/>
      <c r="F58" s="231">
        <f>2*(NORMSINV($D$42*$C$61)-(10^(D58/10)+1)*NORMSINV($D$41/$C$61))^2/10^(D58/5)</f>
        <v>33.65384323579939</v>
      </c>
      <c r="G58" s="141">
        <f>ROUNDUP(F58,0)/($D$6*1000)</f>
        <v>0.17</v>
      </c>
      <c r="J58" s="139">
        <v>1</v>
      </c>
      <c r="K58" s="19"/>
      <c r="L58" s="153"/>
      <c r="M58" s="97"/>
      <c r="N58" s="12"/>
    </row>
    <row r="59" spans="1:14" ht="12.75">
      <c r="A59" s="116" t="s">
        <v>74</v>
      </c>
      <c r="B59" s="121">
        <f>E29</f>
        <v>1.5325289972705534</v>
      </c>
      <c r="C59" s="71">
        <f>(4.5-1.3)*NORMSINV($C$61)</f>
        <v>5.263529601506889</v>
      </c>
      <c r="D59" s="117">
        <f t="shared" si="1"/>
        <v>-3.7310006042363355</v>
      </c>
      <c r="E59" s="118"/>
      <c r="F59" s="232">
        <f>2*(NORMSINV($E$42*$C$61)-(10^(D59/10)+1)*NORMSINV($E$41/$C$61))^2/10^(D59/5)</f>
        <v>118.82386459330725</v>
      </c>
      <c r="G59" s="119">
        <f>ROUNDUP(F59,0)/($E$6*1000)</f>
        <v>11.9</v>
      </c>
      <c r="J59" s="142">
        <v>1</v>
      </c>
      <c r="K59" s="19"/>
      <c r="L59" s="153"/>
      <c r="M59" s="97"/>
      <c r="N59" s="12"/>
    </row>
    <row r="60" spans="1:14" ht="13.5" thickBot="1">
      <c r="A60" s="143" t="s">
        <v>75</v>
      </c>
      <c r="B60" s="144">
        <f>E29</f>
        <v>1.5325289972705534</v>
      </c>
      <c r="C60" s="145">
        <f>(4.5-1.3)*NORMSINV($C$61)</f>
        <v>5.263529601506889</v>
      </c>
      <c r="D60" s="146">
        <f t="shared" si="1"/>
        <v>-3.7310006042363355</v>
      </c>
      <c r="E60" s="147">
        <v>1</v>
      </c>
      <c r="F60" s="233">
        <f>(NORMSINV($E$42*$C$61)-SQRT(10^(D60/10)+1)*NORMSINV($E$41/$C$61))^2/(E60*10^(D60/10))</f>
        <v>22.051783513218655</v>
      </c>
      <c r="G60" s="148">
        <f>ROUNDUP(F60,0)/($E$6*1000)</f>
        <v>2.3</v>
      </c>
      <c r="J60" s="130">
        <v>2</v>
      </c>
      <c r="K60" s="19"/>
      <c r="L60" s="153"/>
      <c r="M60" s="97"/>
      <c r="N60" s="12"/>
    </row>
    <row r="61" spans="1:8" ht="12.75">
      <c r="A61" s="149"/>
      <c r="B61" s="150" t="s">
        <v>76</v>
      </c>
      <c r="C61" s="210">
        <v>0.95</v>
      </c>
      <c r="D61" s="152"/>
      <c r="E61" s="19"/>
      <c r="F61" s="153"/>
      <c r="G61" s="154"/>
      <c r="H61" s="97"/>
    </row>
    <row r="62" spans="1:16" ht="12.75">
      <c r="A62" s="149"/>
      <c r="B62" s="150"/>
      <c r="C62" s="103"/>
      <c r="D62" s="152"/>
      <c r="E62" s="19"/>
      <c r="F62" s="153"/>
      <c r="G62" s="154"/>
      <c r="H62" s="97"/>
      <c r="O62" s="66"/>
      <c r="P62" s="373"/>
    </row>
    <row r="63" spans="1:26" ht="13.5" customHeight="1">
      <c r="A63" s="22"/>
      <c r="B63" s="71"/>
      <c r="C63" s="71"/>
      <c r="D63" s="71"/>
      <c r="E63" s="71"/>
      <c r="F63" s="71"/>
      <c r="G63" s="71"/>
      <c r="H63" s="71"/>
      <c r="I63" s="71"/>
      <c r="J63" s="90"/>
      <c r="K63" s="73"/>
      <c r="Q63" s="155"/>
      <c r="R63" s="18"/>
      <c r="S63" s="18"/>
      <c r="T63" s="18"/>
      <c r="U63" s="18"/>
      <c r="V63" s="105"/>
      <c r="W63" s="18"/>
      <c r="X63" s="18"/>
      <c r="Y63" s="18"/>
      <c r="Z63" s="18"/>
    </row>
    <row r="64" spans="1:26" ht="15.75" customHeight="1">
      <c r="A64" s="406" t="s">
        <v>77</v>
      </c>
      <c r="B64" s="406"/>
      <c r="C64" s="406"/>
      <c r="D64" s="406"/>
      <c r="E64" s="406"/>
      <c r="F64" s="156"/>
      <c r="G64" s="71"/>
      <c r="H64" s="71"/>
      <c r="I64" s="71"/>
      <c r="J64" s="18"/>
      <c r="K64" s="18"/>
      <c r="U64" s="155"/>
      <c r="V64" s="105"/>
      <c r="W64" s="18"/>
      <c r="X64" s="18"/>
      <c r="Y64" s="18"/>
      <c r="Z64" s="18"/>
    </row>
    <row r="65" spans="1:26" ht="27.75" customHeight="1" thickBot="1">
      <c r="A65" s="157" t="s">
        <v>95</v>
      </c>
      <c r="B65" s="107" t="s">
        <v>78</v>
      </c>
      <c r="C65" s="107" t="s">
        <v>79</v>
      </c>
      <c r="D65" s="388" t="s">
        <v>96</v>
      </c>
      <c r="E65" s="388"/>
      <c r="F65" s="71"/>
      <c r="H65" s="71"/>
      <c r="I65" s="71"/>
      <c r="J65" s="18"/>
      <c r="K65" s="158"/>
      <c r="U65" s="18"/>
      <c r="V65" s="18"/>
      <c r="W65" s="18"/>
      <c r="X65" s="18"/>
      <c r="Y65" s="18"/>
      <c r="Z65" s="18"/>
    </row>
    <row r="66" spans="1:26" ht="12.75" customHeight="1">
      <c r="A66" s="110" t="s">
        <v>66</v>
      </c>
      <c r="B66" s="197">
        <f aca="true" t="shared" si="2" ref="B66:B74">$B$42*$C$61</f>
        <v>0.02405453724314848</v>
      </c>
      <c r="C66" s="194">
        <f aca="true" t="shared" si="3" ref="C66:C74">$B$41/$C$61</f>
        <v>0.8172560023684432</v>
      </c>
      <c r="D66" s="211">
        <v>5</v>
      </c>
      <c r="E66" s="217">
        <f>D66</f>
        <v>5</v>
      </c>
      <c r="G66" s="159"/>
      <c r="H66" s="159"/>
      <c r="I66" s="159"/>
      <c r="J66" s="18"/>
      <c r="K66" s="18"/>
      <c r="U66" s="18"/>
      <c r="V66" s="18"/>
      <c r="W66" s="18"/>
      <c r="X66" s="18"/>
      <c r="Y66" s="18"/>
      <c r="Z66" s="18"/>
    </row>
    <row r="67" spans="1:26" ht="12.75" customHeight="1">
      <c r="A67" s="116" t="s">
        <v>68</v>
      </c>
      <c r="B67" s="243">
        <f t="shared" si="2"/>
        <v>0.02405453724314848</v>
      </c>
      <c r="C67" s="160">
        <f t="shared" si="3"/>
        <v>0.8172560023684432</v>
      </c>
      <c r="D67" s="212">
        <v>5</v>
      </c>
      <c r="E67" s="216">
        <f>D67+11.2-10*LOG10($B$6/0.01)</f>
        <v>-11.581512503836436</v>
      </c>
      <c r="G67" s="125"/>
      <c r="H67" s="125"/>
      <c r="I67" s="125"/>
      <c r="J67" s="158"/>
      <c r="K67" s="161"/>
      <c r="U67" s="125"/>
      <c r="V67" s="18"/>
      <c r="W67" s="18"/>
      <c r="X67" s="18"/>
      <c r="Y67" s="18"/>
      <c r="Z67" s="18"/>
    </row>
    <row r="68" spans="1:26" ht="12.75" customHeight="1">
      <c r="A68" s="116" t="s">
        <v>86</v>
      </c>
      <c r="B68" s="243">
        <f t="shared" si="2"/>
        <v>0.02405453724314848</v>
      </c>
      <c r="C68" s="160">
        <f t="shared" si="3"/>
        <v>0.8172560023684432</v>
      </c>
      <c r="D68" s="212">
        <v>18</v>
      </c>
      <c r="E68" s="216">
        <f>D68+11.2</f>
        <v>29.2</v>
      </c>
      <c r="G68" s="125"/>
      <c r="H68" s="125"/>
      <c r="I68" s="125"/>
      <c r="J68" s="158"/>
      <c r="K68" s="161"/>
      <c r="U68" s="125"/>
      <c r="V68" s="18"/>
      <c r="W68" s="18"/>
      <c r="X68" s="18"/>
      <c r="Y68" s="18"/>
      <c r="Z68" s="18"/>
    </row>
    <row r="69" spans="1:26" ht="12.75" customHeight="1">
      <c r="A69" s="116" t="s">
        <v>100</v>
      </c>
      <c r="B69" s="199">
        <f t="shared" si="2"/>
        <v>0.02405453724314848</v>
      </c>
      <c r="C69" s="205">
        <f t="shared" si="3"/>
        <v>0.8172560023684432</v>
      </c>
      <c r="D69" s="212">
        <v>1</v>
      </c>
      <c r="E69" s="216">
        <f>D69</f>
        <v>1</v>
      </c>
      <c r="G69" s="125"/>
      <c r="H69" s="125"/>
      <c r="I69" s="125"/>
      <c r="J69" s="158"/>
      <c r="K69" s="161"/>
      <c r="U69" s="125"/>
      <c r="V69" s="18"/>
      <c r="W69" s="18"/>
      <c r="X69" s="18"/>
      <c r="Y69" s="18"/>
      <c r="Z69" s="18"/>
    </row>
    <row r="70" spans="1:26" ht="12.75" customHeight="1">
      <c r="A70" s="116" t="s">
        <v>98</v>
      </c>
      <c r="B70" s="199">
        <f t="shared" si="2"/>
        <v>0.02405453724314848</v>
      </c>
      <c r="C70" s="205">
        <f t="shared" si="3"/>
        <v>0.8172560023684432</v>
      </c>
      <c r="D70" s="212">
        <v>-20</v>
      </c>
      <c r="E70" s="216">
        <f>D70</f>
        <v>-20</v>
      </c>
      <c r="G70" s="22"/>
      <c r="H70" s="22"/>
      <c r="I70" s="22"/>
      <c r="J70" s="162"/>
      <c r="K70" s="19"/>
      <c r="U70" s="125"/>
      <c r="V70" s="18"/>
      <c r="W70" s="18"/>
      <c r="X70" s="18"/>
      <c r="Y70" s="18"/>
      <c r="Z70" s="18"/>
    </row>
    <row r="71" spans="1:26" ht="12.75" customHeight="1">
      <c r="A71" s="116" t="s">
        <v>99</v>
      </c>
      <c r="B71" s="199">
        <f t="shared" si="2"/>
        <v>0.02405453724314848</v>
      </c>
      <c r="C71" s="205">
        <f t="shared" si="3"/>
        <v>0.8172560023684432</v>
      </c>
      <c r="D71" s="213">
        <v>-15.5</v>
      </c>
      <c r="E71" s="216">
        <f>D71</f>
        <v>-15.5</v>
      </c>
      <c r="G71" s="159"/>
      <c r="H71" s="159"/>
      <c r="I71" s="159"/>
      <c r="J71" s="18"/>
      <c r="K71" s="159"/>
      <c r="U71" s="125"/>
      <c r="V71" s="18"/>
      <c r="W71" s="18"/>
      <c r="X71" s="18"/>
      <c r="Y71" s="18"/>
      <c r="Z71" s="18"/>
    </row>
    <row r="72" spans="1:26" ht="12.75" customHeight="1">
      <c r="A72" s="116" t="s">
        <v>101</v>
      </c>
      <c r="B72" s="199">
        <f t="shared" si="2"/>
        <v>0.02405453724314848</v>
      </c>
      <c r="C72" s="205">
        <f t="shared" si="3"/>
        <v>0.8172560023684432</v>
      </c>
      <c r="D72" s="213"/>
      <c r="E72" s="216"/>
      <c r="G72" s="159"/>
      <c r="H72" s="159"/>
      <c r="I72" s="159"/>
      <c r="J72" s="18"/>
      <c r="K72" s="159"/>
      <c r="U72" s="125"/>
      <c r="V72" s="18"/>
      <c r="W72" s="18"/>
      <c r="X72" s="18"/>
      <c r="Y72" s="18"/>
      <c r="Z72" s="18"/>
    </row>
    <row r="73" spans="1:26" ht="12.75" customHeight="1">
      <c r="A73" s="116" t="s">
        <v>69</v>
      </c>
      <c r="B73" s="199">
        <f t="shared" si="2"/>
        <v>0.02405453724314848</v>
      </c>
      <c r="C73" s="205">
        <f t="shared" si="3"/>
        <v>0.8172560023684432</v>
      </c>
      <c r="D73" s="213"/>
      <c r="E73" s="216"/>
      <c r="G73" s="159"/>
      <c r="H73" s="159"/>
      <c r="I73" s="159"/>
      <c r="J73" s="18"/>
      <c r="K73" s="159"/>
      <c r="U73" s="125"/>
      <c r="V73" s="18"/>
      <c r="W73" s="18"/>
      <c r="X73" s="18"/>
      <c r="Y73" s="18"/>
      <c r="Z73" s="18"/>
    </row>
    <row r="74" spans="1:26" ht="12.75" customHeight="1">
      <c r="A74" s="251" t="s">
        <v>70</v>
      </c>
      <c r="B74" s="199">
        <f t="shared" si="2"/>
        <v>0.02405453724314848</v>
      </c>
      <c r="C74" s="205">
        <f t="shared" si="3"/>
        <v>0.8172560023684432</v>
      </c>
      <c r="D74" s="213"/>
      <c r="E74" s="219"/>
      <c r="G74" s="159"/>
      <c r="H74" s="159"/>
      <c r="I74" s="159"/>
      <c r="J74" s="18"/>
      <c r="K74" s="159"/>
      <c r="U74" s="125"/>
      <c r="V74" s="18"/>
      <c r="W74" s="18"/>
      <c r="X74" s="18"/>
      <c r="Y74" s="18"/>
      <c r="Z74" s="18"/>
    </row>
    <row r="75" spans="1:26" ht="12.75" customHeight="1">
      <c r="A75" s="116" t="s">
        <v>71</v>
      </c>
      <c r="B75" s="198">
        <f>$C$42*$C$61</f>
        <v>0.02405453724314848</v>
      </c>
      <c r="C75" s="191">
        <f>$C$41/$C$61</f>
        <v>0.8172560023684432</v>
      </c>
      <c r="D75" s="214">
        <v>1</v>
      </c>
      <c r="E75" s="216">
        <f>D75-10*LOG10(30%)-10*LOG10($B$6/0.02)</f>
        <v>-18.542425094393252</v>
      </c>
      <c r="G75" s="22"/>
      <c r="H75" s="22"/>
      <c r="I75" s="22"/>
      <c r="J75" s="18"/>
      <c r="K75" s="22"/>
      <c r="U75" s="125"/>
      <c r="V75" s="18"/>
      <c r="W75" s="18"/>
      <c r="X75" s="18"/>
      <c r="Y75" s="18"/>
      <c r="Z75" s="18"/>
    </row>
    <row r="76" spans="1:26" ht="12.75" customHeight="1" thickBot="1">
      <c r="A76" s="127" t="s">
        <v>72</v>
      </c>
      <c r="B76" s="199">
        <f>$C$42*$C$61</f>
        <v>0.02405453724314848</v>
      </c>
      <c r="C76" s="160">
        <f>$C$41/$C$61</f>
        <v>0.8172560023684432</v>
      </c>
      <c r="D76" s="215">
        <v>4.5</v>
      </c>
      <c r="E76" s="218">
        <f>D76-10*LOG10(10%)-10*LOG10($B$6/0.02)</f>
        <v>-10.271212547196626</v>
      </c>
      <c r="G76" s="71"/>
      <c r="H76" s="71"/>
      <c r="I76" s="71"/>
      <c r="J76" s="18"/>
      <c r="K76" s="22"/>
      <c r="U76" s="125"/>
      <c r="V76" s="18"/>
      <c r="W76" s="18"/>
      <c r="X76" s="18"/>
      <c r="Y76" s="18"/>
      <c r="Z76" s="18"/>
    </row>
    <row r="77" spans="1:26" ht="12.75" customHeight="1">
      <c r="A77" s="127" t="s">
        <v>73</v>
      </c>
      <c r="B77" s="198">
        <f>$D$42*$C$61</f>
        <v>0.02405453724314848</v>
      </c>
      <c r="C77" s="163">
        <f>$D$41/$C$61</f>
        <v>0.8172560023684432</v>
      </c>
      <c r="D77" s="164">
        <v>5</v>
      </c>
      <c r="E77" s="165"/>
      <c r="G77" s="71"/>
      <c r="H77" s="71"/>
      <c r="I77" s="71"/>
      <c r="J77" s="166"/>
      <c r="K77" s="22"/>
      <c r="U77" s="125"/>
      <c r="V77" s="18"/>
      <c r="W77" s="18"/>
      <c r="X77" s="18"/>
      <c r="Y77" s="18"/>
      <c r="Z77" s="18"/>
    </row>
    <row r="78" spans="1:26" ht="12.75">
      <c r="A78" s="116" t="s">
        <v>74</v>
      </c>
      <c r="B78" s="198">
        <f>$E$42*$C$61</f>
        <v>0.02405453724314848</v>
      </c>
      <c r="C78" s="163">
        <f>$E$41/$C$61</f>
        <v>0.8172560023684432</v>
      </c>
      <c r="D78" s="164">
        <v>5</v>
      </c>
      <c r="E78" s="31"/>
      <c r="G78" s="71"/>
      <c r="H78" s="71"/>
      <c r="I78" s="71"/>
      <c r="J78" s="18"/>
      <c r="K78" s="22"/>
      <c r="U78" s="18"/>
      <c r="V78" s="18"/>
      <c r="W78" s="18"/>
      <c r="X78" s="18"/>
      <c r="Y78" s="18"/>
      <c r="Z78" s="18"/>
    </row>
    <row r="79" spans="1:26" ht="14.25" customHeight="1" thickBot="1">
      <c r="A79" s="143" t="s">
        <v>75</v>
      </c>
      <c r="B79" s="200">
        <f>$E$42*$C$61</f>
        <v>0.02405453724314848</v>
      </c>
      <c r="C79" s="192">
        <f>$E$41/$C$61</f>
        <v>0.8172560023684432</v>
      </c>
      <c r="D79" s="167">
        <v>7</v>
      </c>
      <c r="E79" s="31"/>
      <c r="G79" s="71"/>
      <c r="H79" s="71"/>
      <c r="I79" s="71"/>
      <c r="J79" s="18"/>
      <c r="K79" s="22"/>
      <c r="U79" s="18"/>
      <c r="V79" s="18"/>
      <c r="W79" s="18"/>
      <c r="X79" s="18"/>
      <c r="Y79" s="18"/>
      <c r="Z79" s="18"/>
    </row>
    <row r="80" spans="1:26" ht="13.5" customHeight="1">
      <c r="A80" s="22"/>
      <c r="B80" s="71"/>
      <c r="C80" s="71"/>
      <c r="D80" s="71"/>
      <c r="E80" s="71"/>
      <c r="F80" s="71"/>
      <c r="G80" s="71"/>
      <c r="H80" s="71"/>
      <c r="I80" s="71"/>
      <c r="J80" s="18"/>
      <c r="K80" s="22"/>
      <c r="L80" s="71"/>
      <c r="M80" s="71"/>
      <c r="N80" s="97"/>
      <c r="O80" s="18"/>
      <c r="P80" s="18"/>
      <c r="Q80" s="18"/>
      <c r="R80" s="18"/>
      <c r="S80" s="18"/>
      <c r="T80" s="18"/>
      <c r="U80" s="18"/>
      <c r="V80" s="18"/>
      <c r="W80" s="18"/>
      <c r="X80" s="18"/>
      <c r="Y80" s="18"/>
      <c r="Z80" s="18"/>
    </row>
    <row r="81" spans="1:26" s="109" customFormat="1" ht="39.75" customHeight="1" thickBot="1">
      <c r="A81" s="106" t="s">
        <v>57</v>
      </c>
      <c r="B81" s="107" t="s">
        <v>58</v>
      </c>
      <c r="C81" s="107" t="s">
        <v>59</v>
      </c>
      <c r="D81" s="107" t="s">
        <v>60</v>
      </c>
      <c r="E81" s="107" t="s">
        <v>80</v>
      </c>
      <c r="F81" s="108" t="s">
        <v>63</v>
      </c>
      <c r="G81" s="107" t="s">
        <v>64</v>
      </c>
      <c r="H81" s="389" t="s">
        <v>65</v>
      </c>
      <c r="I81" s="389"/>
      <c r="J81" s="108" t="s">
        <v>81</v>
      </c>
      <c r="O81" s="104"/>
      <c r="P81" s="168"/>
      <c r="Q81" s="155"/>
      <c r="R81" s="18"/>
      <c r="S81" s="18"/>
      <c r="T81" s="18"/>
      <c r="U81" s="18"/>
      <c r="V81" s="18"/>
      <c r="W81" s="18"/>
      <c r="X81" s="18"/>
      <c r="Y81" s="18"/>
      <c r="Z81" s="18"/>
    </row>
    <row r="82" spans="1:17" ht="12.75">
      <c r="A82" s="110" t="s">
        <v>66</v>
      </c>
      <c r="B82" s="111">
        <f>B29</f>
        <v>-22.248983506565885</v>
      </c>
      <c r="C82" s="111">
        <v>0</v>
      </c>
      <c r="D82" s="112">
        <f aca="true" t="shared" si="4" ref="D82:D95">B82-C82</f>
        <v>-22.248983506565885</v>
      </c>
      <c r="E82" s="169">
        <f aca="true" t="shared" si="5" ref="E82:E87">D66</f>
        <v>5</v>
      </c>
      <c r="F82" s="222">
        <f>10^((E82-D82)/5)</f>
        <v>281706.391965912</v>
      </c>
      <c r="G82" s="220">
        <f>ROUNDUP(F82,0)/($B$6*1000)</f>
        <v>46.951166666666666</v>
      </c>
      <c r="H82" s="109"/>
      <c r="I82" s="109"/>
      <c r="J82" s="170">
        <f>4.5*684/286</f>
        <v>10.762237762237762</v>
      </c>
      <c r="O82" s="18"/>
      <c r="P82" s="18"/>
      <c r="Q82" s="18"/>
    </row>
    <row r="83" spans="1:16" ht="12.75">
      <c r="A83" s="116" t="s">
        <v>68</v>
      </c>
      <c r="B83" s="117">
        <f>B$29-11.2+10*LOG10(B6/0.01)</f>
        <v>-5.667471002729446</v>
      </c>
      <c r="C83" s="117">
        <f>(4.5-1.3)*NORMSINV($C$96)</f>
        <v>5.263529601506889</v>
      </c>
      <c r="D83" s="152">
        <f t="shared" si="4"/>
        <v>-10.931000604236335</v>
      </c>
      <c r="E83" s="71">
        <f t="shared" si="5"/>
        <v>5</v>
      </c>
      <c r="F83" s="73">
        <f>10^((E83-D83)/5)</f>
        <v>1535.3242900105354</v>
      </c>
      <c r="G83" s="242">
        <f>ROUNDUP(F83,0)/(0.01*1000)</f>
        <v>153.6</v>
      </c>
      <c r="H83" s="236"/>
      <c r="I83" s="71"/>
      <c r="J83" s="173" t="s">
        <v>82</v>
      </c>
      <c r="O83" s="174"/>
      <c r="P83" s="174"/>
    </row>
    <row r="84" spans="1:16" ht="12.75">
      <c r="A84" s="116" t="s">
        <v>86</v>
      </c>
      <c r="B84" s="117">
        <f>B29</f>
        <v>-22.248983506565885</v>
      </c>
      <c r="C84" s="117">
        <f>(4.5-1.3)*NORMSINV($C$96)</f>
        <v>5.263529601506889</v>
      </c>
      <c r="D84" s="152">
        <f t="shared" si="4"/>
        <v>-27.512513108072774</v>
      </c>
      <c r="E84" s="71">
        <f t="shared" si="5"/>
        <v>18</v>
      </c>
      <c r="F84" s="73">
        <f>10^((E84-D84)/10)</f>
        <v>35583.71693482518</v>
      </c>
      <c r="G84" s="242">
        <f>ROUNDUP(F84,0)/($B$6*1000)</f>
        <v>5.930666666666666</v>
      </c>
      <c r="H84" s="237"/>
      <c r="I84" s="71"/>
      <c r="J84" s="71"/>
      <c r="O84" s="174"/>
      <c r="P84" s="174"/>
    </row>
    <row r="85" spans="1:26" ht="12.75" customHeight="1">
      <c r="A85" s="116" t="s">
        <v>100</v>
      </c>
      <c r="B85" s="117">
        <f>B29</f>
        <v>-22.248983506565885</v>
      </c>
      <c r="C85" s="121">
        <f>C82</f>
        <v>0</v>
      </c>
      <c r="D85" s="152">
        <f t="shared" si="4"/>
        <v>-22.248983506565885</v>
      </c>
      <c r="E85" s="171">
        <f t="shared" si="5"/>
        <v>1</v>
      </c>
      <c r="F85" s="223">
        <f>10^((E85-D85)/10)</f>
        <v>211.29944223768192</v>
      </c>
      <c r="G85" s="172">
        <f>ROUNDUP(F85,0)*(4/$J$82)/1000</f>
        <v>0.07879402209226771</v>
      </c>
      <c r="H85" s="123">
        <f>(ROUNDUP(F85,0)*832/$J$82+4/$J$82)/1000</f>
        <v>16.389528265107216</v>
      </c>
      <c r="I85" s="175" t="s">
        <v>67</v>
      </c>
      <c r="O85" s="174"/>
      <c r="P85" s="174"/>
      <c r="R85" s="125"/>
      <c r="S85" s="125"/>
      <c r="T85" s="125"/>
      <c r="U85" s="125"/>
      <c r="V85" s="18"/>
      <c r="W85" s="18"/>
      <c r="X85" s="18"/>
      <c r="Y85" s="18"/>
      <c r="Z85" s="18"/>
    </row>
    <row r="86" spans="1:17" ht="12.75">
      <c r="A86" s="116" t="s">
        <v>98</v>
      </c>
      <c r="B86" s="117">
        <f>B29</f>
        <v>-22.248983506565885</v>
      </c>
      <c r="C86" s="121">
        <f>C82</f>
        <v>0</v>
      </c>
      <c r="D86" s="152">
        <f t="shared" si="4"/>
        <v>-22.248983506565885</v>
      </c>
      <c r="E86" s="171">
        <f t="shared" si="5"/>
        <v>-20</v>
      </c>
      <c r="F86" s="223">
        <f>10^((E86-D86)/10)</f>
        <v>1.678411129508832</v>
      </c>
      <c r="G86" s="172">
        <f>ROUNDUP(F86,0)*(511/$J$82)/1000</f>
        <v>0.09496166341780378</v>
      </c>
      <c r="H86" s="126">
        <f>(ROUNDUP(F86,0)*(313*832/$J$82)+511/$J$82)/1000</f>
        <v>48.44187719298247</v>
      </c>
      <c r="I86" s="176" t="s">
        <v>67</v>
      </c>
      <c r="O86" s="18"/>
      <c r="P86" s="177"/>
      <c r="Q86" s="18"/>
    </row>
    <row r="87" spans="1:16" ht="12.75">
      <c r="A87" s="116" t="s">
        <v>99</v>
      </c>
      <c r="B87" s="117">
        <f>B29</f>
        <v>-22.248983506565885</v>
      </c>
      <c r="C87" s="117">
        <f>C82</f>
        <v>0</v>
      </c>
      <c r="D87" s="152">
        <f t="shared" si="4"/>
        <v>-22.248983506565885</v>
      </c>
      <c r="E87" s="171">
        <f t="shared" si="5"/>
        <v>-15.5</v>
      </c>
      <c r="F87" s="223">
        <f>10^((E87-D87)/10)</f>
        <v>4.730405279051984</v>
      </c>
      <c r="G87" s="172">
        <f>ROUNDUP(F87,0)*(3*63/$J$82)/1000</f>
        <v>0.08780701754385965</v>
      </c>
      <c r="H87" s="133">
        <f>(ROUNDUP(F87,0)*(313*832/$J$82)+3*63/$J$82)/1000</f>
        <v>121.00355230669268</v>
      </c>
      <c r="I87" s="178" t="s">
        <v>67</v>
      </c>
      <c r="O87" s="174"/>
      <c r="P87" s="174"/>
    </row>
    <row r="88" spans="1:16" ht="12.75">
      <c r="A88" s="116" t="s">
        <v>101</v>
      </c>
      <c r="B88" s="117">
        <f>B29</f>
        <v>-22.248983506565885</v>
      </c>
      <c r="C88" s="253">
        <f>C82</f>
        <v>0</v>
      </c>
      <c r="D88" s="152">
        <f t="shared" si="4"/>
        <v>-22.248983506565885</v>
      </c>
      <c r="E88" s="171"/>
      <c r="F88" s="223"/>
      <c r="G88" s="172"/>
      <c r="H88" s="252"/>
      <c r="I88" s="71"/>
      <c r="O88" s="174"/>
      <c r="P88" s="174"/>
    </row>
    <row r="89" spans="1:16" ht="12.75">
      <c r="A89" s="250" t="s">
        <v>69</v>
      </c>
      <c r="B89" s="117">
        <f>B29</f>
        <v>-22.248983506565885</v>
      </c>
      <c r="C89" s="117">
        <f>C82</f>
        <v>0</v>
      </c>
      <c r="D89" s="152">
        <f t="shared" si="4"/>
        <v>-22.248983506565885</v>
      </c>
      <c r="E89" s="171"/>
      <c r="F89" s="223"/>
      <c r="G89" s="172"/>
      <c r="H89" s="252"/>
      <c r="I89" s="71"/>
      <c r="O89" s="174"/>
      <c r="P89" s="174"/>
    </row>
    <row r="90" spans="1:16" ht="12.75">
      <c r="A90" s="251" t="s">
        <v>70</v>
      </c>
      <c r="B90" s="117">
        <f>B29</f>
        <v>-22.248983506565885</v>
      </c>
      <c r="C90" s="117">
        <f>C82</f>
        <v>0</v>
      </c>
      <c r="D90" s="152">
        <f t="shared" si="4"/>
        <v>-22.248983506565885</v>
      </c>
      <c r="E90" s="171"/>
      <c r="F90" s="224"/>
      <c r="G90" s="234"/>
      <c r="H90" s="252"/>
      <c r="I90" s="71"/>
      <c r="O90" s="174"/>
      <c r="P90" s="174"/>
    </row>
    <row r="91" spans="1:16" ht="13.5" customHeight="1">
      <c r="A91" s="116" t="s">
        <v>71</v>
      </c>
      <c r="B91" s="201">
        <f>C$29+10*LOG10(30%)+10*LOG10(B6/0.02)</f>
        <v>19.293441587827367</v>
      </c>
      <c r="C91" s="134">
        <f>(4-1.3)*NORMSINV($C$96)</f>
        <v>4.4411031012714375</v>
      </c>
      <c r="D91" s="179">
        <f t="shared" si="4"/>
        <v>14.85233848655593</v>
      </c>
      <c r="E91" s="180">
        <f>D75</f>
        <v>1</v>
      </c>
      <c r="F91" s="227">
        <f>10^((E91-D91)/5)</f>
        <v>0.0016964157764467259</v>
      </c>
      <c r="G91" s="136">
        <f>ROUNDUP(F91*$C$6/0.02,0)/($C$6*1000)</f>
        <v>0.00016666666666666666</v>
      </c>
      <c r="H91" s="71"/>
      <c r="I91" s="71"/>
      <c r="O91" s="174"/>
      <c r="P91" s="174"/>
    </row>
    <row r="92" spans="1:16" ht="12.75" customHeight="1">
      <c r="A92" s="127" t="s">
        <v>72</v>
      </c>
      <c r="B92" s="128">
        <f>C$29+10*LOG10(10%)+10*LOG10(B6/0.02)</f>
        <v>14.52222904063074</v>
      </c>
      <c r="C92" s="137">
        <f>(4-1.3)*NORMSINV($C$96)</f>
        <v>4.4411031012714375</v>
      </c>
      <c r="D92" s="129">
        <f t="shared" si="4"/>
        <v>10.081125939359303</v>
      </c>
      <c r="E92" s="181">
        <f>D76</f>
        <v>4.5</v>
      </c>
      <c r="F92" s="227">
        <f>10^((E92-D92)/5)</f>
        <v>0.07651997370710965</v>
      </c>
      <c r="G92" s="136">
        <f>ROUNDUP(F92*$C$6/0.02,0)/($C$6*1000)</f>
        <v>0.003833333333333333</v>
      </c>
      <c r="H92" s="18"/>
      <c r="I92" s="18"/>
      <c r="O92" s="174"/>
      <c r="P92" s="174"/>
    </row>
    <row r="93" spans="1:16" ht="12.75">
      <c r="A93" s="127" t="s">
        <v>73</v>
      </c>
      <c r="B93" s="117">
        <f>D29</f>
        <v>1.5222290406307408</v>
      </c>
      <c r="C93" s="137">
        <f>(2.5-1.3)*NORMSINV($C$96)</f>
        <v>1.9738236005650833</v>
      </c>
      <c r="D93" s="152">
        <f t="shared" si="4"/>
        <v>-0.4515945599343425</v>
      </c>
      <c r="E93" s="171">
        <f>D77</f>
        <v>5</v>
      </c>
      <c r="F93" s="225">
        <f>10^((E93-D93)/5)</f>
        <v>12.311725160000064</v>
      </c>
      <c r="G93" s="141">
        <f>ROUNDUP(F93,0)/($D$6*1000)</f>
        <v>0.065</v>
      </c>
      <c r="H93" s="174"/>
      <c r="I93" s="174"/>
      <c r="O93" s="174"/>
      <c r="P93" s="174"/>
    </row>
    <row r="94" spans="1:16" ht="12.75">
      <c r="A94" s="116" t="s">
        <v>74</v>
      </c>
      <c r="B94" s="201">
        <f>E29</f>
        <v>1.5325289972705534</v>
      </c>
      <c r="C94" s="121">
        <f>(4.5-1.3)*NORMSINV($C$96)</f>
        <v>5.263529601506889</v>
      </c>
      <c r="D94" s="179">
        <f t="shared" si="4"/>
        <v>-3.7310006042363355</v>
      </c>
      <c r="E94" s="180">
        <f>D78</f>
        <v>5</v>
      </c>
      <c r="F94" s="223">
        <f>10^((E94-D94)/5)</f>
        <v>55.74425566583118</v>
      </c>
      <c r="G94" s="119">
        <f>ROUNDUP(F94,0)/($E$6*1000)</f>
        <v>5.6</v>
      </c>
      <c r="H94" s="174"/>
      <c r="I94" s="174"/>
      <c r="O94" s="174"/>
      <c r="P94" s="174"/>
    </row>
    <row r="95" spans="1:16" ht="13.5" thickBot="1">
      <c r="A95" s="143" t="s">
        <v>75</v>
      </c>
      <c r="B95" s="146">
        <f>E29</f>
        <v>1.5325289972705534</v>
      </c>
      <c r="C95" s="144">
        <f>(4.5-1.3)*NORMSINV($C$96)</f>
        <v>5.263529601506889</v>
      </c>
      <c r="D95" s="182">
        <f t="shared" si="4"/>
        <v>-3.7310006042363355</v>
      </c>
      <c r="E95" s="183">
        <f>D79</f>
        <v>7</v>
      </c>
      <c r="F95" s="226">
        <f>10^((E95-D95)/10)</f>
        <v>11.83314157109609</v>
      </c>
      <c r="G95" s="148">
        <f>ROUNDUP(F95,0)/($E$6*1000)</f>
        <v>1.2</v>
      </c>
      <c r="H95" s="174"/>
      <c r="I95" s="174"/>
      <c r="O95" s="174"/>
      <c r="P95" s="174"/>
    </row>
    <row r="96" spans="1:16" ht="12.75">
      <c r="A96" s="174"/>
      <c r="B96" s="150" t="s">
        <v>76</v>
      </c>
      <c r="C96" s="151">
        <f>$C$61</f>
        <v>0.95</v>
      </c>
      <c r="D96" s="174"/>
      <c r="E96" s="174"/>
      <c r="F96" s="174"/>
      <c r="G96" s="174"/>
      <c r="H96" s="174"/>
      <c r="I96" s="174"/>
      <c r="J96" s="22"/>
      <c r="K96" s="19"/>
      <c r="L96" s="153"/>
      <c r="M96" s="154"/>
      <c r="N96" s="97"/>
      <c r="O96" s="174"/>
      <c r="P96" s="174"/>
    </row>
    <row r="97" spans="8:17" ht="12.75">
      <c r="H97" s="193"/>
      <c r="J97" s="174"/>
      <c r="K97" s="174"/>
      <c r="L97" s="174"/>
      <c r="M97" s="174"/>
      <c r="N97" s="184"/>
      <c r="O97" s="174"/>
      <c r="P97" s="174"/>
      <c r="Q97" s="174"/>
    </row>
    <row r="98" spans="8:17" ht="12.75">
      <c r="H98" s="193"/>
      <c r="J98" s="174"/>
      <c r="K98" s="174"/>
      <c r="L98" s="174"/>
      <c r="M98" s="174"/>
      <c r="N98" s="184"/>
      <c r="O98" s="174"/>
      <c r="P98" s="174"/>
      <c r="Q98" s="174"/>
    </row>
    <row r="99" spans="10:17" ht="12.75">
      <c r="J99" s="174"/>
      <c r="K99" s="174"/>
      <c r="L99" s="174"/>
      <c r="M99" s="174"/>
      <c r="N99" s="184"/>
      <c r="O99" s="174"/>
      <c r="P99" s="174"/>
      <c r="Q99" s="174"/>
    </row>
    <row r="100" ht="12.75"/>
    <row r="101" ht="12.75"/>
    <row r="102" ht="12.75"/>
    <row r="103" ht="12.75"/>
    <row r="104" ht="12.75"/>
    <row r="105" ht="12.75"/>
    <row r="107" ht="12.75"/>
    <row r="109" ht="12.75"/>
  </sheetData>
  <mergeCells count="20">
    <mergeCell ref="A1:J1"/>
    <mergeCell ref="A64:E64"/>
    <mergeCell ref="A45:E45"/>
    <mergeCell ref="H81:I81"/>
    <mergeCell ref="B18:E18"/>
    <mergeCell ref="B20:E20"/>
    <mergeCell ref="B21:E21"/>
    <mergeCell ref="B28:E28"/>
    <mergeCell ref="B36:D36"/>
    <mergeCell ref="B40:D40"/>
    <mergeCell ref="D65:E65"/>
    <mergeCell ref="H46:I46"/>
    <mergeCell ref="B17:E17"/>
    <mergeCell ref="B19:E19"/>
    <mergeCell ref="B27:E27"/>
    <mergeCell ref="B26:E26"/>
    <mergeCell ref="B25:E25"/>
    <mergeCell ref="B24:E24"/>
    <mergeCell ref="B23:E23"/>
    <mergeCell ref="B22:E22"/>
  </mergeCells>
  <printOptions/>
  <pageMargins left="0.75" right="0.75" top="1" bottom="1" header="0.5" footer="0.5"/>
  <pageSetup horizontalDpi="600" verticalDpi="600" orientation="portrait" r:id="rId4"/>
  <ignoredErrors>
    <ignoredError sqref="G48 G77" formula="1"/>
  </ignoredErrors>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Z149"/>
  <sheetViews>
    <sheetView zoomScale="75" zoomScaleNormal="75" workbookViewId="0" topLeftCell="A1">
      <selection activeCell="J2" sqref="J2"/>
    </sheetView>
  </sheetViews>
  <sheetFormatPr defaultColWidth="9.140625" defaultRowHeight="12.75"/>
  <cols>
    <col min="1" max="1" width="44.00390625" style="12" customWidth="1"/>
    <col min="2" max="2" width="10.140625" style="12" customWidth="1"/>
    <col min="3" max="3" width="10.57421875" style="12" customWidth="1"/>
    <col min="4" max="4" width="10.28125" style="12" customWidth="1"/>
    <col min="5" max="5" width="10.57421875" style="12" customWidth="1"/>
    <col min="6" max="6" width="10.421875" style="12" customWidth="1"/>
    <col min="7" max="7" width="8.8515625" style="12" customWidth="1"/>
    <col min="8" max="9" width="10.00390625" style="12" customWidth="1"/>
    <col min="10" max="11" width="11.00390625" style="12" customWidth="1"/>
    <col min="12" max="12" width="5.140625" style="12" customWidth="1"/>
    <col min="13" max="13" width="10.140625" style="12" customWidth="1"/>
    <col min="14" max="14" width="11.421875" style="13" customWidth="1"/>
    <col min="15" max="15" width="7.57421875" style="12" customWidth="1"/>
    <col min="16" max="16" width="8.8515625" style="12" customWidth="1"/>
    <col min="17" max="21" width="7.57421875" style="12" customWidth="1"/>
    <col min="22" max="22" width="10.28125" style="12" customWidth="1"/>
    <col min="23" max="26" width="7.57421875" style="12" customWidth="1"/>
    <col min="27" max="16384" width="9.140625" style="12" customWidth="1"/>
  </cols>
  <sheetData>
    <row r="1" spans="1:10" ht="37.5" customHeight="1">
      <c r="A1" s="405" t="s">
        <v>128</v>
      </c>
      <c r="B1" s="405"/>
      <c r="C1" s="405"/>
      <c r="D1" s="405"/>
      <c r="E1" s="405"/>
      <c r="F1" s="405"/>
      <c r="G1" s="405"/>
      <c r="H1" s="405"/>
      <c r="I1" s="405"/>
      <c r="J1" s="405"/>
    </row>
    <row r="2" spans="1:10" ht="13.5" customHeight="1">
      <c r="A2" s="11"/>
      <c r="B2" s="11"/>
      <c r="C2" s="11"/>
      <c r="D2" s="11"/>
      <c r="E2" s="11"/>
      <c r="F2" s="11"/>
      <c r="G2" s="11"/>
      <c r="H2" s="11"/>
      <c r="I2" s="11"/>
      <c r="J2" s="11"/>
    </row>
    <row r="3" spans="1:10" ht="13.5" customHeight="1" thickBot="1">
      <c r="A3" s="370" t="s">
        <v>108</v>
      </c>
      <c r="B3" s="370"/>
      <c r="C3" s="370"/>
      <c r="D3" s="370"/>
      <c r="E3" s="370"/>
      <c r="F3" s="370"/>
      <c r="G3" s="370"/>
      <c r="H3" s="370"/>
      <c r="I3" s="11"/>
      <c r="J3" s="11"/>
    </row>
    <row r="4" spans="1:10" ht="13.5" customHeight="1">
      <c r="A4" s="24" t="s">
        <v>34</v>
      </c>
      <c r="B4" s="25">
        <f aca="true" t="shared" si="0" ref="B4:H4">B36</f>
        <v>-116</v>
      </c>
      <c r="C4" s="25">
        <f t="shared" si="0"/>
        <v>-112.5</v>
      </c>
      <c r="D4" s="25">
        <f t="shared" si="0"/>
        <v>-109</v>
      </c>
      <c r="E4" s="25">
        <f t="shared" si="0"/>
        <v>-104.82</v>
      </c>
      <c r="F4" s="25">
        <f t="shared" si="0"/>
        <v>-99.08</v>
      </c>
      <c r="G4" s="25">
        <f t="shared" si="0"/>
        <v>-95.74</v>
      </c>
      <c r="H4" s="277">
        <f t="shared" si="0"/>
        <v>-92.03</v>
      </c>
      <c r="I4" s="11"/>
      <c r="J4" s="11"/>
    </row>
    <row r="5" spans="1:11" ht="13.5" customHeight="1" thickBot="1">
      <c r="A5" s="278" t="s">
        <v>106</v>
      </c>
      <c r="B5" s="271">
        <f>B46</f>
        <v>0.9999934529366782</v>
      </c>
      <c r="C5" s="272">
        <f aca="true" t="shared" si="1" ref="C5:H5">C46</f>
        <v>0.9999012752450184</v>
      </c>
      <c r="D5" s="263">
        <f t="shared" si="1"/>
        <v>0.9989854784360485</v>
      </c>
      <c r="E5" s="263">
        <f t="shared" si="1"/>
        <v>0.9899898951201553</v>
      </c>
      <c r="F5" s="263">
        <f t="shared" si="1"/>
        <v>0.9001367715440094</v>
      </c>
      <c r="G5" s="263">
        <f t="shared" si="1"/>
        <v>0.7501809100752412</v>
      </c>
      <c r="H5" s="279">
        <f t="shared" si="1"/>
        <v>0.5002048498664098</v>
      </c>
      <c r="I5" s="371" t="s">
        <v>107</v>
      </c>
      <c r="J5" s="372"/>
      <c r="K5" s="286">
        <f>C85</f>
        <v>0.95</v>
      </c>
    </row>
    <row r="6" spans="1:15" ht="13.5" customHeight="1">
      <c r="A6" s="315" t="s">
        <v>109</v>
      </c>
      <c r="B6" s="316">
        <f>$B$73/B46</f>
        <v>0.6534318564821676</v>
      </c>
      <c r="C6" s="316">
        <f aca="true" t="shared" si="2" ref="C6:H6">$B$73/C46</f>
        <v>0.6534920942693159</v>
      </c>
      <c r="D6" s="316">
        <f t="shared" si="2"/>
        <v>0.6540911680171704</v>
      </c>
      <c r="E6" s="316">
        <f t="shared" si="2"/>
        <v>0.6600345939320118</v>
      </c>
      <c r="F6" s="316">
        <f t="shared" si="2"/>
        <v>0.7259203257540506</v>
      </c>
      <c r="G6" s="316">
        <f t="shared" si="2"/>
        <v>0.8710266678965339</v>
      </c>
      <c r="H6" s="317">
        <f t="shared" si="2"/>
        <v>1.306319957907122</v>
      </c>
      <c r="I6" s="320">
        <v>5</v>
      </c>
      <c r="J6" s="319" t="s">
        <v>114</v>
      </c>
      <c r="K6" s="318"/>
      <c r="N6" s="333"/>
      <c r="O6" s="333"/>
    </row>
    <row r="7" spans="1:15" ht="13.5" customHeight="1">
      <c r="A7" s="307" t="s">
        <v>110</v>
      </c>
      <c r="B7" s="312">
        <f>$B$74*B46</f>
        <v>0.0010019994608832686</v>
      </c>
      <c r="C7" s="312">
        <f aca="true" t="shared" si="3" ref="C7:H7">$B$74*C46</f>
        <v>0.001001907098281216</v>
      </c>
      <c r="D7" s="312">
        <f t="shared" si="3"/>
        <v>0.0010009894643645424</v>
      </c>
      <c r="E7" s="312">
        <f t="shared" si="3"/>
        <v>0.0009919758357188892</v>
      </c>
      <c r="F7" s="312">
        <f t="shared" si="3"/>
        <v>0.0009019424648827335</v>
      </c>
      <c r="G7" s="312">
        <f t="shared" si="3"/>
        <v>0.0007516857887947689</v>
      </c>
      <c r="H7" s="313">
        <f t="shared" si="3"/>
        <v>0.0005012082713396288</v>
      </c>
      <c r="I7" s="321"/>
      <c r="J7" s="310"/>
      <c r="K7" s="286"/>
      <c r="N7" s="333"/>
      <c r="O7" s="333"/>
    </row>
    <row r="8" spans="1:15" ht="13.5" customHeight="1">
      <c r="A8" s="307" t="s">
        <v>112</v>
      </c>
      <c r="B8" s="334">
        <f>$B$69</f>
        <v>0.995</v>
      </c>
      <c r="C8" s="334">
        <f aca="true" t="shared" si="4" ref="C8:H8">$B$69</f>
        <v>0.995</v>
      </c>
      <c r="D8" s="334">
        <f t="shared" si="4"/>
        <v>0.995</v>
      </c>
      <c r="E8" s="334">
        <f t="shared" si="4"/>
        <v>0.995</v>
      </c>
      <c r="F8" s="334">
        <f t="shared" si="4"/>
        <v>0.995</v>
      </c>
      <c r="G8" s="334">
        <f t="shared" si="4"/>
        <v>0.995</v>
      </c>
      <c r="H8" s="335">
        <f t="shared" si="4"/>
        <v>0.995</v>
      </c>
      <c r="I8" s="320">
        <v>2</v>
      </c>
      <c r="J8" s="319" t="s">
        <v>113</v>
      </c>
      <c r="K8" s="286"/>
      <c r="N8" s="333"/>
      <c r="O8" s="333"/>
    </row>
    <row r="9" spans="1:15" ht="13.5" customHeight="1">
      <c r="A9" s="307" t="s">
        <v>115</v>
      </c>
      <c r="B9" s="334">
        <f>$B$70</f>
        <v>0.005</v>
      </c>
      <c r="C9" s="334">
        <f aca="true" t="shared" si="5" ref="C9:H9">$B$70</f>
        <v>0.005</v>
      </c>
      <c r="D9" s="334">
        <f t="shared" si="5"/>
        <v>0.005</v>
      </c>
      <c r="E9" s="334">
        <f t="shared" si="5"/>
        <v>0.005</v>
      </c>
      <c r="F9" s="334">
        <f t="shared" si="5"/>
        <v>0.005</v>
      </c>
      <c r="G9" s="334">
        <f t="shared" si="5"/>
        <v>0.005</v>
      </c>
      <c r="H9" s="335">
        <f t="shared" si="5"/>
        <v>0.005</v>
      </c>
      <c r="I9" s="309"/>
      <c r="J9" s="311"/>
      <c r="K9" s="286"/>
      <c r="N9" s="333"/>
      <c r="O9" s="333"/>
    </row>
    <row r="10" spans="1:15" ht="13.5" customHeight="1">
      <c r="A10" s="307" t="s">
        <v>111</v>
      </c>
      <c r="B10" s="334">
        <f>$B$65</f>
        <v>0.99</v>
      </c>
      <c r="C10" s="334">
        <f aca="true" t="shared" si="6" ref="C10:H10">$B$65</f>
        <v>0.99</v>
      </c>
      <c r="D10" s="334">
        <f t="shared" si="6"/>
        <v>0.99</v>
      </c>
      <c r="E10" s="334">
        <f t="shared" si="6"/>
        <v>0.99</v>
      </c>
      <c r="F10" s="334">
        <f t="shared" si="6"/>
        <v>0.99</v>
      </c>
      <c r="G10" s="334">
        <f t="shared" si="6"/>
        <v>0.99</v>
      </c>
      <c r="H10" s="335">
        <f t="shared" si="6"/>
        <v>0.99</v>
      </c>
      <c r="I10" s="314">
        <v>0.99</v>
      </c>
      <c r="K10" s="286"/>
      <c r="N10" s="333"/>
      <c r="O10" s="333"/>
    </row>
    <row r="11" spans="1:15" ht="13.5" customHeight="1" thickBot="1">
      <c r="A11" s="308" t="s">
        <v>116</v>
      </c>
      <c r="B11" s="336">
        <f>$B$66</f>
        <v>0.01</v>
      </c>
      <c r="C11" s="336">
        <f aca="true" t="shared" si="7" ref="C11:H11">$B$66</f>
        <v>0.01</v>
      </c>
      <c r="D11" s="336">
        <f t="shared" si="7"/>
        <v>0.01</v>
      </c>
      <c r="E11" s="336">
        <f t="shared" si="7"/>
        <v>0.01</v>
      </c>
      <c r="F11" s="336">
        <f t="shared" si="7"/>
        <v>0.01</v>
      </c>
      <c r="G11" s="336">
        <f t="shared" si="7"/>
        <v>0.01</v>
      </c>
      <c r="H11" s="337">
        <f t="shared" si="7"/>
        <v>0.01</v>
      </c>
      <c r="I11" s="314">
        <v>0.01</v>
      </c>
      <c r="J11" s="258"/>
      <c r="K11" s="286"/>
      <c r="N11" s="333"/>
      <c r="O11" s="333"/>
    </row>
    <row r="12" spans="1:15" ht="13.5" customHeight="1">
      <c r="A12" s="306" t="s">
        <v>66</v>
      </c>
      <c r="B12" s="276">
        <f>G79</f>
        <v>114.15216666666667</v>
      </c>
      <c r="C12" s="276">
        <f>G89</f>
        <v>22.816666666666666</v>
      </c>
      <c r="D12" s="276">
        <f>G99</f>
        <v>4.574833333333333</v>
      </c>
      <c r="E12" s="276">
        <f>G109</f>
        <v>0.6825</v>
      </c>
      <c r="F12" s="284">
        <f>G119</f>
        <v>0.059</v>
      </c>
      <c r="G12" s="284">
        <f>G129</f>
        <v>0.021166666666666667</v>
      </c>
      <c r="H12" s="285" t="e">
        <f>G139</f>
        <v>#NUM!</v>
      </c>
      <c r="I12" s="11"/>
      <c r="J12" s="11"/>
      <c r="N12" s="333"/>
      <c r="O12" s="333"/>
    </row>
    <row r="13" spans="1:15" ht="13.5" customHeight="1">
      <c r="A13" s="116" t="s">
        <v>68</v>
      </c>
      <c r="B13" s="276">
        <f>G80</f>
        <v>405.6</v>
      </c>
      <c r="C13" s="276">
        <f>G90</f>
        <v>83.2</v>
      </c>
      <c r="D13" s="276">
        <f>G100</f>
        <v>17.7</v>
      </c>
      <c r="E13" s="276">
        <f>G110</f>
        <v>3.1</v>
      </c>
      <c r="F13" s="276">
        <f>G110</f>
        <v>3.1</v>
      </c>
      <c r="G13" s="284">
        <f>G130</f>
        <v>0.8</v>
      </c>
      <c r="H13" s="285" t="e">
        <f>G140</f>
        <v>#NUM!</v>
      </c>
      <c r="N13" s="333"/>
      <c r="O13" s="333"/>
    </row>
    <row r="14" spans="1:10" ht="13.5" customHeight="1">
      <c r="A14" s="116" t="s">
        <v>86</v>
      </c>
      <c r="B14" s="276">
        <f>G81</f>
        <v>16.013333333333332</v>
      </c>
      <c r="C14" s="276">
        <f>G91</f>
        <v>7.156333333333333</v>
      </c>
      <c r="D14" s="276">
        <f>G101</f>
        <v>3.2023333333333333</v>
      </c>
      <c r="E14" s="276">
        <f>G111</f>
        <v>1.2396666666666667</v>
      </c>
      <c r="F14" s="276">
        <f>G111</f>
        <v>1.2396666666666667</v>
      </c>
      <c r="G14" s="284">
        <f>G131</f>
        <v>0.25766666666666665</v>
      </c>
      <c r="H14" s="285" t="e">
        <f>G141</f>
        <v>#NUM!</v>
      </c>
      <c r="I14" s="11"/>
      <c r="J14" s="11"/>
    </row>
    <row r="15" spans="1:10" ht="13.5" customHeight="1">
      <c r="A15" s="116" t="s">
        <v>100</v>
      </c>
      <c r="B15" s="276">
        <f>H82</f>
        <v>39.42711630929175</v>
      </c>
      <c r="C15" s="276">
        <f>H92</f>
        <v>17.626445743989606</v>
      </c>
      <c r="D15" s="276">
        <f>H102</f>
        <v>7.963027940220923</v>
      </c>
      <c r="E15" s="276">
        <f>H112</f>
        <v>3.0926653671215076</v>
      </c>
      <c r="F15" s="276">
        <f>H112</f>
        <v>3.0926653671215076</v>
      </c>
      <c r="G15" s="276">
        <f>H132</f>
        <v>0.6961377517868745</v>
      </c>
      <c r="H15" s="280" t="e">
        <f>H142</f>
        <v>#NUM!</v>
      </c>
      <c r="I15" s="11"/>
      <c r="J15" s="11"/>
    </row>
    <row r="16" spans="1:10" ht="13.5" customHeight="1">
      <c r="A16" s="116" t="s">
        <v>98</v>
      </c>
      <c r="B16" s="276">
        <f>H83</f>
        <v>96.83627355425602</v>
      </c>
      <c r="C16" s="276">
        <f>H93</f>
        <v>48.44187719298247</v>
      </c>
      <c r="D16" s="276">
        <f>H103</f>
        <v>24.24467901234568</v>
      </c>
      <c r="E16" s="276">
        <f>H113</f>
        <v>24.24467901234568</v>
      </c>
      <c r="F16" s="276">
        <f>H113</f>
        <v>24.24467901234568</v>
      </c>
      <c r="G16" s="276">
        <f>H133</f>
        <v>24.24467901234568</v>
      </c>
      <c r="H16" s="280" t="e">
        <f>H143</f>
        <v>#NUM!</v>
      </c>
      <c r="I16" s="11"/>
      <c r="J16" s="11"/>
    </row>
    <row r="17" spans="1:10" ht="13.5" customHeight="1" thickBot="1">
      <c r="A17" s="143" t="s">
        <v>99</v>
      </c>
      <c r="B17" s="281">
        <f>H84</f>
        <v>266.18674139051336</v>
      </c>
      <c r="C17" s="281">
        <f>H94</f>
        <v>121.00355230669268</v>
      </c>
      <c r="D17" s="281">
        <f>H104</f>
        <v>72.60915594541912</v>
      </c>
      <c r="E17" s="281">
        <f>H114</f>
        <v>24.21475958414555</v>
      </c>
      <c r="F17" s="281">
        <f>H114</f>
        <v>24.21475958414555</v>
      </c>
      <c r="G17" s="281">
        <f>H134</f>
        <v>24.21475958414555</v>
      </c>
      <c r="H17" s="282" t="e">
        <f>H144</f>
        <v>#NUM!</v>
      </c>
      <c r="I17" s="11"/>
      <c r="J17" s="11"/>
    </row>
    <row r="18" spans="1:10" ht="13.5" customHeight="1">
      <c r="A18" s="11"/>
      <c r="B18" s="11"/>
      <c r="C18" s="11"/>
      <c r="D18" s="11"/>
      <c r="E18" s="11"/>
      <c r="F18" s="11"/>
      <c r="G18" s="11"/>
      <c r="H18" s="11"/>
      <c r="I18" s="11"/>
      <c r="J18" s="11"/>
    </row>
    <row r="19" spans="1:10" ht="13.5" customHeight="1">
      <c r="A19" s="11"/>
      <c r="B19" s="11"/>
      <c r="C19" s="11"/>
      <c r="D19" s="11"/>
      <c r="E19" s="11"/>
      <c r="F19" s="11"/>
      <c r="G19" s="11"/>
      <c r="H19" s="11"/>
      <c r="I19" s="11"/>
      <c r="J19" s="11"/>
    </row>
    <row r="20" spans="1:11" ht="13.5" customHeight="1" thickBot="1">
      <c r="A20" s="370" t="s">
        <v>108</v>
      </c>
      <c r="B20" s="370"/>
      <c r="C20" s="370"/>
      <c r="D20" s="370"/>
      <c r="E20" s="370"/>
      <c r="F20" s="370"/>
      <c r="G20" s="370"/>
      <c r="H20" s="370"/>
      <c r="I20" s="283"/>
      <c r="J20" s="283"/>
      <c r="K20" s="287"/>
    </row>
    <row r="21" spans="1:11" ht="13.5" customHeight="1">
      <c r="A21" s="295" t="s">
        <v>34</v>
      </c>
      <c r="B21" s="296">
        <v>-116</v>
      </c>
      <c r="C21" s="296">
        <v>-112.5</v>
      </c>
      <c r="D21" s="296">
        <v>-109</v>
      </c>
      <c r="E21" s="296">
        <v>-104.82</v>
      </c>
      <c r="F21" s="296">
        <v>-99.08</v>
      </c>
      <c r="G21" s="296">
        <v>-95.74</v>
      </c>
      <c r="H21" s="288">
        <v>-92.04</v>
      </c>
      <c r="I21" s="283"/>
      <c r="J21" s="283"/>
      <c r="K21" s="287"/>
    </row>
    <row r="22" spans="1:11" ht="13.5" customHeight="1" thickBot="1">
      <c r="A22" s="294" t="s">
        <v>106</v>
      </c>
      <c r="B22" s="271">
        <v>0.9999934529366782</v>
      </c>
      <c r="C22" s="299">
        <v>0.9999012752450184</v>
      </c>
      <c r="D22" s="263">
        <v>0.9989854784360485</v>
      </c>
      <c r="E22" s="263">
        <v>0.9899898951201553</v>
      </c>
      <c r="F22" s="263">
        <v>0.9001367715440094</v>
      </c>
      <c r="G22" s="263">
        <v>0.7501809100752412</v>
      </c>
      <c r="H22" s="301">
        <v>0.5009302031424225</v>
      </c>
      <c r="I22" s="371" t="s">
        <v>107</v>
      </c>
      <c r="J22" s="372"/>
      <c r="K22" s="286">
        <v>0.9</v>
      </c>
    </row>
    <row r="23" spans="1:11" ht="13.5" customHeight="1">
      <c r="A23" s="289" t="s">
        <v>66</v>
      </c>
      <c r="B23" s="297">
        <v>45.205666666666666</v>
      </c>
      <c r="C23" s="297">
        <v>9.0135</v>
      </c>
      <c r="D23" s="297">
        <v>1.7975</v>
      </c>
      <c r="E23" s="297">
        <v>0.2643333333333333</v>
      </c>
      <c r="F23" s="300">
        <v>0.021666666666666667</v>
      </c>
      <c r="G23" s="300">
        <v>0.006833333333333334</v>
      </c>
      <c r="H23" s="290">
        <v>0.005166666666666667</v>
      </c>
      <c r="I23" s="283"/>
      <c r="J23" s="283"/>
      <c r="K23" s="287"/>
    </row>
    <row r="24" spans="1:11" ht="13.5" customHeight="1">
      <c r="A24" s="302" t="s">
        <v>68</v>
      </c>
      <c r="B24" s="303">
        <v>100.2</v>
      </c>
      <c r="C24" s="303">
        <v>20</v>
      </c>
      <c r="D24" s="303">
        <v>4</v>
      </c>
      <c r="E24" s="303">
        <v>0.6</v>
      </c>
      <c r="F24" s="303">
        <v>0.6</v>
      </c>
      <c r="G24" s="304">
        <v>0.1</v>
      </c>
      <c r="H24" s="305">
        <v>2.8</v>
      </c>
      <c r="I24" s="283"/>
      <c r="J24" s="283"/>
      <c r="K24" s="287"/>
    </row>
    <row r="25" spans="1:11" ht="13.5" customHeight="1">
      <c r="A25" s="302" t="s">
        <v>86</v>
      </c>
      <c r="B25" s="303">
        <v>5.280833333333334</v>
      </c>
      <c r="C25" s="303">
        <v>2.359166666666667</v>
      </c>
      <c r="D25" s="303">
        <v>1.0551666666666666</v>
      </c>
      <c r="E25" s="303">
        <v>0.4081666666666667</v>
      </c>
      <c r="F25" s="303">
        <v>0.4081666666666667</v>
      </c>
      <c r="G25" s="304">
        <v>0.07766666666666666</v>
      </c>
      <c r="H25" s="305">
        <v>0.18466666666666667</v>
      </c>
      <c r="I25" s="283"/>
      <c r="J25" s="283"/>
      <c r="K25" s="287"/>
    </row>
    <row r="26" spans="1:11" ht="13.5" customHeight="1">
      <c r="A26" s="289" t="s">
        <v>100</v>
      </c>
      <c r="B26" s="297">
        <v>15.693762183235869</v>
      </c>
      <c r="C26" s="297">
        <v>7.0353398310591295</v>
      </c>
      <c r="D26" s="297">
        <v>3.1699727095516574</v>
      </c>
      <c r="E26" s="297">
        <v>1.2372891487979207</v>
      </c>
      <c r="F26" s="297">
        <v>1.2372891487979207</v>
      </c>
      <c r="G26" s="297">
        <v>0.23229369720597792</v>
      </c>
      <c r="H26" s="291">
        <v>0.30960103963612734</v>
      </c>
      <c r="I26" s="283"/>
      <c r="J26" s="283"/>
      <c r="K26" s="287"/>
    </row>
    <row r="27" spans="1:11" ht="13.5" customHeight="1">
      <c r="A27" s="289" t="s">
        <v>98</v>
      </c>
      <c r="B27" s="297">
        <v>48.44187719298247</v>
      </c>
      <c r="C27" s="297">
        <v>24.24467901234568</v>
      </c>
      <c r="D27" s="297">
        <v>24.24467901234568</v>
      </c>
      <c r="E27" s="297">
        <v>24.24467901234568</v>
      </c>
      <c r="F27" s="297">
        <v>24.24467901234568</v>
      </c>
      <c r="G27" s="297">
        <v>24.24467901234568</v>
      </c>
      <c r="H27" s="291">
        <v>24.24467901234568</v>
      </c>
      <c r="I27" s="283"/>
      <c r="J27" s="283"/>
      <c r="K27" s="287"/>
    </row>
    <row r="28" spans="1:11" ht="13.5" customHeight="1" thickBot="1">
      <c r="A28" s="292" t="s">
        <v>99</v>
      </c>
      <c r="B28" s="298">
        <v>121.00355230669268</v>
      </c>
      <c r="C28" s="298">
        <v>48.41195776478233</v>
      </c>
      <c r="D28" s="298">
        <v>24.21475958414555</v>
      </c>
      <c r="E28" s="298">
        <v>24.21475958414555</v>
      </c>
      <c r="F28" s="298">
        <v>24.21475958414555</v>
      </c>
      <c r="G28" s="298">
        <v>24.21475958414555</v>
      </c>
      <c r="H28" s="293">
        <v>24.21475958414555</v>
      </c>
      <c r="I28" s="283"/>
      <c r="J28" s="283"/>
      <c r="K28" s="287"/>
    </row>
    <row r="29" spans="1:10" ht="13.5" customHeight="1">
      <c r="A29" s="11"/>
      <c r="B29" s="11"/>
      <c r="C29" s="11"/>
      <c r="D29" s="11"/>
      <c r="E29" s="11"/>
      <c r="F29" s="11"/>
      <c r="G29" s="11"/>
      <c r="H29" s="11"/>
      <c r="I29" s="11"/>
      <c r="J29" s="11"/>
    </row>
    <row r="30" spans="1:10" ht="13.5" customHeight="1">
      <c r="A30" s="11"/>
      <c r="B30" s="11"/>
      <c r="C30" s="11"/>
      <c r="D30" s="11"/>
      <c r="E30" s="11"/>
      <c r="F30" s="11"/>
      <c r="G30" s="11"/>
      <c r="H30" s="11"/>
      <c r="I30" s="11"/>
      <c r="J30" s="11"/>
    </row>
    <row r="31" spans="1:10" ht="13.5" customHeight="1">
      <c r="A31" s="11"/>
      <c r="B31" s="11"/>
      <c r="C31" s="11"/>
      <c r="D31" s="11"/>
      <c r="E31" s="11"/>
      <c r="F31" s="11"/>
      <c r="G31" s="11"/>
      <c r="H31" s="11"/>
      <c r="I31" s="11"/>
      <c r="J31" s="11"/>
    </row>
    <row r="32" spans="1:10" ht="13.5" customHeight="1">
      <c r="A32" s="11"/>
      <c r="B32" s="11"/>
      <c r="C32" s="11"/>
      <c r="D32" s="11"/>
      <c r="E32" s="11"/>
      <c r="F32" s="11"/>
      <c r="G32" s="11"/>
      <c r="H32" s="11"/>
      <c r="I32" s="11"/>
      <c r="J32" s="11"/>
    </row>
    <row r="33" spans="1:26" ht="13.5" customHeight="1">
      <c r="A33" s="14" t="s">
        <v>27</v>
      </c>
      <c r="B33" s="15">
        <f>IF(AND(E33&gt;13,E33&lt;52),$E$33*6+389,"ERROR")</f>
        <v>617</v>
      </c>
      <c r="D33" s="16" t="s">
        <v>28</v>
      </c>
      <c r="E33" s="17">
        <v>38</v>
      </c>
      <c r="J33" s="18"/>
      <c r="K33" s="19"/>
      <c r="L33" s="19"/>
      <c r="M33" s="19"/>
      <c r="N33" s="20"/>
      <c r="O33" s="18"/>
      <c r="P33" s="18"/>
      <c r="Q33" s="18"/>
      <c r="R33" s="18"/>
      <c r="S33" s="18"/>
      <c r="T33" s="18"/>
      <c r="U33" s="18"/>
      <c r="V33" s="18"/>
      <c r="W33" s="18"/>
      <c r="X33" s="18"/>
      <c r="Y33" s="18"/>
      <c r="Z33" s="18"/>
    </row>
    <row r="34" spans="1:26" ht="13.5" customHeight="1">
      <c r="A34" s="14"/>
      <c r="B34" s="21"/>
      <c r="J34" s="18"/>
      <c r="K34" s="22"/>
      <c r="U34" s="23"/>
      <c r="V34" s="23"/>
      <c r="W34" s="23"/>
      <c r="X34" s="23"/>
      <c r="Y34" s="23"/>
      <c r="Z34" s="23"/>
    </row>
    <row r="35" spans="1:26" ht="13.5" customHeight="1" thickBot="1">
      <c r="A35" s="21" t="s">
        <v>29</v>
      </c>
      <c r="B35" s="415" t="s">
        <v>30</v>
      </c>
      <c r="C35" s="416"/>
      <c r="D35" s="416"/>
      <c r="E35" s="416"/>
      <c r="F35" s="416"/>
      <c r="G35" s="416"/>
      <c r="H35" s="417"/>
      <c r="J35" s="18"/>
      <c r="K35" s="22"/>
      <c r="U35" s="23"/>
      <c r="V35" s="23"/>
      <c r="W35" s="23"/>
      <c r="X35" s="23"/>
      <c r="Y35" s="23"/>
      <c r="Z35" s="23"/>
    </row>
    <row r="36" spans="1:26" ht="13.5" customHeight="1">
      <c r="A36" s="24" t="s">
        <v>34</v>
      </c>
      <c r="B36" s="30">
        <v>-116</v>
      </c>
      <c r="C36" s="30">
        <v>-112.5</v>
      </c>
      <c r="D36" s="30">
        <v>-109</v>
      </c>
      <c r="E36" s="30">
        <v>-104.82</v>
      </c>
      <c r="F36" s="30">
        <v>-99.08</v>
      </c>
      <c r="G36" s="30">
        <v>-95.74</v>
      </c>
      <c r="H36" s="30">
        <v>-92.03</v>
      </c>
      <c r="J36" s="18"/>
      <c r="K36" s="22"/>
      <c r="U36" s="23"/>
      <c r="V36" s="23"/>
      <c r="W36" s="23"/>
      <c r="X36" s="23"/>
      <c r="Y36" s="23"/>
      <c r="Z36" s="23"/>
    </row>
    <row r="37" spans="1:26" ht="13.5" customHeight="1">
      <c r="A37" s="29" t="s">
        <v>35</v>
      </c>
      <c r="B37" s="30">
        <v>6</v>
      </c>
      <c r="C37" s="30">
        <v>6</v>
      </c>
      <c r="D37" s="30">
        <v>6</v>
      </c>
      <c r="E37" s="30">
        <v>6</v>
      </c>
      <c r="F37" s="30">
        <v>6</v>
      </c>
      <c r="G37" s="30">
        <v>6</v>
      </c>
      <c r="H37" s="30">
        <v>6</v>
      </c>
      <c r="J37" s="18"/>
      <c r="K37" s="22"/>
      <c r="U37" s="23"/>
      <c r="V37" s="23"/>
      <c r="W37" s="23"/>
      <c r="X37" s="23"/>
      <c r="Y37" s="23"/>
      <c r="Z37" s="23"/>
    </row>
    <row r="38" spans="1:26" ht="13.5" customHeight="1">
      <c r="A38" s="29" t="s">
        <v>36</v>
      </c>
      <c r="B38" s="30">
        <v>0</v>
      </c>
      <c r="C38" s="30">
        <v>0</v>
      </c>
      <c r="D38" s="30">
        <v>0</v>
      </c>
      <c r="E38" s="30">
        <v>0</v>
      </c>
      <c r="F38" s="30">
        <v>0</v>
      </c>
      <c r="G38" s="30">
        <v>0</v>
      </c>
      <c r="H38" s="30">
        <v>0</v>
      </c>
      <c r="J38" s="18"/>
      <c r="K38" s="22"/>
      <c r="U38" s="23"/>
      <c r="V38" s="23"/>
      <c r="W38" s="23"/>
      <c r="X38" s="23"/>
      <c r="Y38" s="23"/>
      <c r="Z38" s="23"/>
    </row>
    <row r="39" spans="1:26" ht="13.5" customHeight="1">
      <c r="A39" s="34" t="s">
        <v>37</v>
      </c>
      <c r="B39" s="35">
        <f aca="true" t="shared" si="8" ref="B39:H39">(300/$B$33)^2/(4*PI())</f>
        <v>0.01881318461824558</v>
      </c>
      <c r="C39" s="35">
        <f t="shared" si="8"/>
        <v>0.01881318461824558</v>
      </c>
      <c r="D39" s="35">
        <f t="shared" si="8"/>
        <v>0.01881318461824558</v>
      </c>
      <c r="E39" s="35">
        <f t="shared" si="8"/>
        <v>0.01881318461824558</v>
      </c>
      <c r="F39" s="35">
        <f t="shared" si="8"/>
        <v>0.01881318461824558</v>
      </c>
      <c r="G39" s="35">
        <f t="shared" si="8"/>
        <v>0.01881318461824558</v>
      </c>
      <c r="H39" s="35">
        <f t="shared" si="8"/>
        <v>0.01881318461824558</v>
      </c>
      <c r="J39" s="18"/>
      <c r="K39" s="22"/>
      <c r="U39" s="23"/>
      <c r="V39" s="23"/>
      <c r="W39" s="23"/>
      <c r="X39" s="23"/>
      <c r="Y39" s="23"/>
      <c r="Z39" s="23"/>
    </row>
    <row r="40" spans="1:26" ht="13.5" customHeight="1">
      <c r="A40" s="39" t="s">
        <v>38</v>
      </c>
      <c r="B40" s="40">
        <f aca="true" t="shared" si="9" ref="B40:H40">(B36-30)-B38-10*LOG10(B39)</f>
        <v>-128.74462317350745</v>
      </c>
      <c r="C40" s="40">
        <f t="shared" si="9"/>
        <v>-125.24462317350745</v>
      </c>
      <c r="D40" s="40">
        <f t="shared" si="9"/>
        <v>-121.74462317350745</v>
      </c>
      <c r="E40" s="40">
        <f t="shared" si="9"/>
        <v>-117.56462317350744</v>
      </c>
      <c r="F40" s="40">
        <f t="shared" si="9"/>
        <v>-111.82462317350743</v>
      </c>
      <c r="G40" s="40">
        <f t="shared" si="9"/>
        <v>-108.48462317350746</v>
      </c>
      <c r="H40" s="40">
        <f t="shared" si="9"/>
        <v>-104.77462317350745</v>
      </c>
      <c r="K40" s="22"/>
      <c r="U40" s="23"/>
      <c r="V40" s="23"/>
      <c r="W40" s="23"/>
      <c r="X40" s="23"/>
      <c r="Y40" s="23"/>
      <c r="Z40" s="23"/>
    </row>
    <row r="41" spans="1:26" ht="13.5" customHeight="1" thickBot="1">
      <c r="A41" s="44" t="s">
        <v>39</v>
      </c>
      <c r="B41" s="45">
        <f aca="true" t="shared" si="10" ref="B41:H41">B40+145.8</f>
        <v>17.055376826492562</v>
      </c>
      <c r="C41" s="45">
        <f t="shared" si="10"/>
        <v>20.555376826492562</v>
      </c>
      <c r="D41" s="45">
        <f t="shared" si="10"/>
        <v>24.055376826492562</v>
      </c>
      <c r="E41" s="45">
        <f t="shared" si="10"/>
        <v>28.23537682649257</v>
      </c>
      <c r="F41" s="45">
        <f t="shared" si="10"/>
        <v>33.97537682649258</v>
      </c>
      <c r="G41" s="45">
        <f t="shared" si="10"/>
        <v>37.31537682649255</v>
      </c>
      <c r="H41" s="45">
        <f t="shared" si="10"/>
        <v>41.02537682649256</v>
      </c>
      <c r="J41" s="18"/>
      <c r="K41" s="22"/>
      <c r="U41" s="23"/>
      <c r="V41" s="23"/>
      <c r="W41" s="23"/>
      <c r="X41" s="23"/>
      <c r="Y41" s="23"/>
      <c r="Z41" s="23"/>
    </row>
    <row r="42" spans="1:26" ht="13.5" customHeight="1" thickBot="1">
      <c r="A42" s="14"/>
      <c r="B42" s="21"/>
      <c r="C42" s="21"/>
      <c r="D42" s="21"/>
      <c r="E42" s="21"/>
      <c r="F42" s="21"/>
      <c r="G42" s="21"/>
      <c r="H42" s="21"/>
      <c r="J42" s="18"/>
      <c r="K42" s="22"/>
      <c r="N42" s="265"/>
      <c r="U42" s="23"/>
      <c r="V42" s="23"/>
      <c r="W42" s="23"/>
      <c r="X42" s="23"/>
      <c r="Y42" s="23"/>
      <c r="Z42" s="23"/>
    </row>
    <row r="43" spans="1:26" ht="13.5" customHeight="1">
      <c r="A43" s="50" t="s">
        <v>40</v>
      </c>
      <c r="B43" s="190">
        <f aca="true" t="shared" si="11" ref="B43:H43">41-20*LOG10(615/$B$33)</f>
        <v>41.0282009651565</v>
      </c>
      <c r="C43" s="190">
        <f t="shared" si="11"/>
        <v>41.0282009651565</v>
      </c>
      <c r="D43" s="190">
        <f t="shared" si="11"/>
        <v>41.0282009651565</v>
      </c>
      <c r="E43" s="190">
        <f t="shared" si="11"/>
        <v>41.0282009651565</v>
      </c>
      <c r="F43" s="190">
        <f t="shared" si="11"/>
        <v>41.0282009651565</v>
      </c>
      <c r="G43" s="190">
        <f t="shared" si="11"/>
        <v>41.0282009651565</v>
      </c>
      <c r="H43" s="190">
        <f t="shared" si="11"/>
        <v>41.0282009651565</v>
      </c>
      <c r="I43" s="53" t="s">
        <v>41</v>
      </c>
      <c r="U43" s="23"/>
      <c r="V43" s="23"/>
      <c r="W43" s="23"/>
      <c r="X43" s="23"/>
      <c r="Y43" s="23"/>
      <c r="Z43" s="23"/>
    </row>
    <row r="44" spans="1:26" ht="13.5" customHeight="1">
      <c r="A44" s="54" t="s">
        <v>42</v>
      </c>
      <c r="B44" s="55">
        <f aca="true" t="shared" si="12" ref="B44:H44">B41</f>
        <v>17.055376826492562</v>
      </c>
      <c r="C44" s="55">
        <f t="shared" si="12"/>
        <v>20.555376826492562</v>
      </c>
      <c r="D44" s="55">
        <f t="shared" si="12"/>
        <v>24.055376826492562</v>
      </c>
      <c r="E44" s="55">
        <f t="shared" si="12"/>
        <v>28.23537682649257</v>
      </c>
      <c r="F44" s="55">
        <f t="shared" si="12"/>
        <v>33.97537682649258</v>
      </c>
      <c r="G44" s="55">
        <f t="shared" si="12"/>
        <v>37.31537682649255</v>
      </c>
      <c r="H44" s="55">
        <f t="shared" si="12"/>
        <v>41.02537682649256</v>
      </c>
      <c r="I44" s="59" t="s">
        <v>41</v>
      </c>
      <c r="U44" s="23"/>
      <c r="V44" s="23"/>
      <c r="W44" s="23"/>
      <c r="X44" s="23"/>
      <c r="Y44" s="23"/>
      <c r="Z44" s="23"/>
    </row>
    <row r="45" spans="1:26" ht="13.5" customHeight="1">
      <c r="A45" s="259" t="s">
        <v>43</v>
      </c>
      <c r="B45" s="260">
        <f aca="true" t="shared" si="13" ref="B45:H45">B43-B41</f>
        <v>23.97282413866394</v>
      </c>
      <c r="C45" s="260">
        <f t="shared" si="13"/>
        <v>20.47282413866394</v>
      </c>
      <c r="D45" s="260">
        <f t="shared" si="13"/>
        <v>16.97282413866394</v>
      </c>
      <c r="E45" s="260">
        <f t="shared" si="13"/>
        <v>12.792824138663931</v>
      </c>
      <c r="F45" s="260">
        <f t="shared" si="13"/>
        <v>7.052824138663922</v>
      </c>
      <c r="G45" s="260">
        <f t="shared" si="13"/>
        <v>3.7128241386639473</v>
      </c>
      <c r="H45" s="260">
        <f t="shared" si="13"/>
        <v>0.0028241386639393795</v>
      </c>
      <c r="I45" s="61" t="s">
        <v>20</v>
      </c>
      <c r="U45" s="23"/>
      <c r="V45" s="23"/>
      <c r="W45" s="23"/>
      <c r="X45" s="23"/>
      <c r="Y45" s="23"/>
      <c r="Z45" s="23"/>
    </row>
    <row r="46" spans="1:26" ht="13.5" customHeight="1" thickBot="1">
      <c r="A46" s="261" t="s">
        <v>106</v>
      </c>
      <c r="B46" s="271">
        <f aca="true" t="shared" si="14" ref="B46:H46">NORMSDIST(B45/5.5)</f>
        <v>0.9999934529366782</v>
      </c>
      <c r="C46" s="272">
        <f t="shared" si="14"/>
        <v>0.9999012752450184</v>
      </c>
      <c r="D46" s="263">
        <f t="shared" si="14"/>
        <v>0.9989854784360485</v>
      </c>
      <c r="E46" s="263">
        <f t="shared" si="14"/>
        <v>0.9899898951201553</v>
      </c>
      <c r="F46" s="262">
        <f t="shared" si="14"/>
        <v>0.9001367715440094</v>
      </c>
      <c r="G46" s="263">
        <f t="shared" si="14"/>
        <v>0.7501809100752412</v>
      </c>
      <c r="H46" s="263">
        <f t="shared" si="14"/>
        <v>0.5002048498664098</v>
      </c>
      <c r="U46" s="23"/>
      <c r="V46" s="23"/>
      <c r="W46" s="23"/>
      <c r="X46" s="23"/>
      <c r="Y46" s="23"/>
      <c r="Z46" s="23"/>
    </row>
    <row r="47" spans="1:26" ht="13.5" customHeight="1">
      <c r="A47" s="62"/>
      <c r="B47" s="14"/>
      <c r="C47" s="63"/>
      <c r="J47" s="18"/>
      <c r="K47" s="22"/>
      <c r="U47" s="19"/>
      <c r="V47" s="64"/>
      <c r="W47" s="64"/>
      <c r="X47" s="64"/>
      <c r="Y47" s="64"/>
      <c r="Z47" s="64"/>
    </row>
    <row r="48" spans="1:26" ht="13.5" customHeight="1" thickBot="1">
      <c r="A48" s="65" t="s">
        <v>44</v>
      </c>
      <c r="B48" s="415" t="s">
        <v>30</v>
      </c>
      <c r="C48" s="416"/>
      <c r="D48" s="416"/>
      <c r="E48" s="416"/>
      <c r="F48" s="416"/>
      <c r="G48" s="416"/>
      <c r="H48" s="417"/>
      <c r="J48" s="18"/>
      <c r="K48" s="22"/>
      <c r="V48" s="64"/>
      <c r="W48" s="64"/>
      <c r="X48" s="67"/>
      <c r="Y48" s="64"/>
      <c r="Z48" s="64"/>
    </row>
    <row r="49" spans="1:26" ht="13.5" customHeight="1">
      <c r="A49" s="68" t="s">
        <v>45</v>
      </c>
      <c r="B49" s="322"/>
      <c r="C49" s="257"/>
      <c r="D49" s="323"/>
      <c r="E49" s="257">
        <v>0</v>
      </c>
      <c r="F49" s="324"/>
      <c r="G49" s="324"/>
      <c r="H49" s="325"/>
      <c r="I49" s="69"/>
      <c r="J49" s="18"/>
      <c r="K49" s="22"/>
      <c r="V49" s="70"/>
      <c r="W49" s="70"/>
      <c r="X49" s="70"/>
      <c r="Y49" s="70"/>
      <c r="Z49" s="70"/>
    </row>
    <row r="50" spans="1:26" ht="13.5" customHeight="1">
      <c r="A50" s="34" t="s">
        <v>37</v>
      </c>
      <c r="B50" s="274"/>
      <c r="C50" s="36"/>
      <c r="D50" s="109"/>
      <c r="E50" s="36">
        <f>(300/$B$33)^2/(4*PI())</f>
        <v>0.01881318461824558</v>
      </c>
      <c r="F50" s="71"/>
      <c r="G50" s="109"/>
      <c r="H50" s="326"/>
      <c r="V50" s="72"/>
      <c r="W50" s="73"/>
      <c r="X50" s="18"/>
      <c r="Y50" s="18"/>
      <c r="Z50" s="18"/>
    </row>
    <row r="51" spans="1:26" ht="13.5" customHeight="1">
      <c r="A51" s="34" t="s">
        <v>46</v>
      </c>
      <c r="B51" s="274"/>
      <c r="C51" s="244"/>
      <c r="D51" s="109"/>
      <c r="E51" s="244">
        <f>90*(1/3)+290*(2/3)</f>
        <v>223.33333333333331</v>
      </c>
      <c r="F51" s="109"/>
      <c r="G51" s="109"/>
      <c r="H51" s="326"/>
      <c r="V51" s="73"/>
      <c r="W51" s="73"/>
      <c r="X51" s="73"/>
      <c r="Y51" s="73"/>
      <c r="Z51" s="73"/>
    </row>
    <row r="52" spans="1:26" ht="27.75" customHeight="1">
      <c r="A52" s="189" t="s">
        <v>47</v>
      </c>
      <c r="B52" s="274"/>
      <c r="C52" s="247"/>
      <c r="D52" s="109"/>
      <c r="E52" s="247">
        <v>-99</v>
      </c>
      <c r="F52" s="76"/>
      <c r="G52" s="76"/>
      <c r="H52" s="327"/>
      <c r="I52" s="76"/>
      <c r="J52" s="76"/>
      <c r="W52" s="73"/>
      <c r="X52" s="73"/>
      <c r="Y52" s="73"/>
      <c r="Z52" s="73"/>
    </row>
    <row r="53" spans="1:26" ht="26.25" customHeight="1">
      <c r="A53" s="74" t="s">
        <v>48</v>
      </c>
      <c r="B53" s="274"/>
      <c r="C53" s="248"/>
      <c r="D53" s="109"/>
      <c r="E53" s="248">
        <f>10^((E52-145.8+10*LOG(E50)+E49+168.6-10*LOG10(B37))/10)</f>
        <v>7.521614428973094E-11</v>
      </c>
      <c r="F53" s="76"/>
      <c r="G53" s="109"/>
      <c r="H53" s="326"/>
      <c r="J53" s="76"/>
      <c r="K53" s="76"/>
      <c r="W53" s="73"/>
      <c r="X53" s="73"/>
      <c r="Y53" s="73"/>
      <c r="Z53" s="73"/>
    </row>
    <row r="54" spans="1:26" ht="13.5" customHeight="1">
      <c r="A54" s="209" t="s">
        <v>93</v>
      </c>
      <c r="B54" s="274"/>
      <c r="C54" s="246"/>
      <c r="D54" s="109"/>
      <c r="E54" s="246">
        <v>10</v>
      </c>
      <c r="F54" s="109"/>
      <c r="G54" s="109"/>
      <c r="H54" s="326"/>
      <c r="K54" s="202"/>
      <c r="L54" s="76"/>
      <c r="M54" s="18"/>
      <c r="W54" s="73"/>
      <c r="X54" s="73"/>
      <c r="Y54" s="73"/>
      <c r="Z54" s="73"/>
    </row>
    <row r="55" spans="1:26" ht="13.5" customHeight="1">
      <c r="A55" s="77" t="s">
        <v>49</v>
      </c>
      <c r="B55" s="274"/>
      <c r="C55" s="245"/>
      <c r="D55" s="109"/>
      <c r="E55" s="245">
        <v>0.5</v>
      </c>
      <c r="F55" s="109"/>
      <c r="G55" s="109"/>
      <c r="H55" s="326"/>
      <c r="K55" s="202"/>
      <c r="M55" s="18"/>
      <c r="W55" s="73"/>
      <c r="X55" s="73"/>
      <c r="Y55" s="73"/>
      <c r="Z55" s="73"/>
    </row>
    <row r="56" spans="1:26" ht="13.5" customHeight="1">
      <c r="A56" s="34" t="s">
        <v>50</v>
      </c>
      <c r="B56" s="274"/>
      <c r="C56" s="245"/>
      <c r="D56" s="109"/>
      <c r="E56" s="245">
        <v>4</v>
      </c>
      <c r="F56" s="109"/>
      <c r="G56" s="76"/>
      <c r="H56" s="327"/>
      <c r="I56" s="76"/>
      <c r="J56" s="76"/>
      <c r="K56" s="202"/>
      <c r="L56" s="64"/>
      <c r="M56" s="18"/>
      <c r="W56" s="73"/>
      <c r="X56" s="73"/>
      <c r="Y56" s="73"/>
      <c r="Z56" s="73"/>
    </row>
    <row r="57" spans="1:26" ht="13.5" customHeight="1">
      <c r="A57" s="77" t="s">
        <v>51</v>
      </c>
      <c r="B57" s="274"/>
      <c r="C57" s="245"/>
      <c r="D57" s="109"/>
      <c r="E57" s="245">
        <v>2</v>
      </c>
      <c r="F57" s="109"/>
      <c r="G57" s="109"/>
      <c r="H57" s="326"/>
      <c r="L57" s="70"/>
      <c r="M57" s="18"/>
      <c r="W57" s="73"/>
      <c r="X57" s="73"/>
      <c r="Y57" s="73"/>
      <c r="Z57" s="73"/>
    </row>
    <row r="58" spans="1:26" ht="13.5" customHeight="1">
      <c r="A58" s="77" t="s">
        <v>52</v>
      </c>
      <c r="B58" s="274"/>
      <c r="C58" s="245"/>
      <c r="D58" s="109"/>
      <c r="E58" s="245">
        <v>6</v>
      </c>
      <c r="F58" s="109"/>
      <c r="G58" s="109"/>
      <c r="H58" s="326"/>
      <c r="I58" s="19"/>
      <c r="J58" s="18"/>
      <c r="K58" s="22"/>
      <c r="L58" s="72"/>
      <c r="W58" s="73"/>
      <c r="X58" s="73"/>
      <c r="Y58" s="73"/>
      <c r="Z58" s="73"/>
    </row>
    <row r="59" spans="1:26" ht="13.5" customHeight="1">
      <c r="A59" s="77" t="s">
        <v>53</v>
      </c>
      <c r="B59" s="274"/>
      <c r="C59" s="235"/>
      <c r="D59" s="109"/>
      <c r="E59" s="235">
        <f>E49-(E55+E56+E57)-10*LOG10((E51+E53)*10^(-(E55+E56+E57)/10)+290*(1-10^(-(E55+E56+E57)/10))+290*(10^(E58/10)-1))</f>
        <v>-37.06747100272945</v>
      </c>
      <c r="F59" s="109"/>
      <c r="G59" s="109"/>
      <c r="H59" s="328"/>
      <c r="I59" s="69"/>
      <c r="J59" s="18"/>
      <c r="K59" s="18"/>
      <c r="L59" s="71"/>
      <c r="W59" s="73"/>
      <c r="X59" s="73"/>
      <c r="Y59" s="73"/>
      <c r="Z59" s="73"/>
    </row>
    <row r="60" spans="1:26" ht="13.5" customHeight="1" thickBot="1">
      <c r="A60" s="195" t="s">
        <v>87</v>
      </c>
      <c r="B60" s="275"/>
      <c r="C60" s="249"/>
      <c r="D60" s="109"/>
      <c r="E60" s="249">
        <f>10*LOG10(((E51+E53)*10^(-(E55+E56+E57)/10)+290*(1-10^(-(E55+E56+E57)/10))+290*(10^(E58/10)-1)+290)/290)</f>
        <v>6.9281228460925295</v>
      </c>
      <c r="F60" s="109"/>
      <c r="G60" s="109"/>
      <c r="H60" s="329"/>
      <c r="I60" s="69"/>
      <c r="J60" s="18"/>
      <c r="K60" s="18"/>
      <c r="L60" s="71"/>
      <c r="W60" s="73"/>
      <c r="X60" s="73"/>
      <c r="Y60" s="73"/>
      <c r="Z60" s="73"/>
    </row>
    <row r="61" spans="1:26" ht="12.75" customHeight="1" thickBot="1">
      <c r="A61" s="78" t="s">
        <v>54</v>
      </c>
      <c r="B61" s="79">
        <f aca="true" t="shared" si="15" ref="B61:H61">B40+168.6-10*LOG10(B37)+10*LOG10($E50)+$E59</f>
        <v>-22.248983506565885</v>
      </c>
      <c r="C61" s="80">
        <f t="shared" si="15"/>
        <v>-18.748983506565885</v>
      </c>
      <c r="D61" s="81">
        <f t="shared" si="15"/>
        <v>-15.248983506565885</v>
      </c>
      <c r="E61" s="273">
        <f t="shared" si="15"/>
        <v>-11.068983506565878</v>
      </c>
      <c r="F61" s="264">
        <f t="shared" si="15"/>
        <v>-5.328983506565869</v>
      </c>
      <c r="G61" s="264">
        <f t="shared" si="15"/>
        <v>-1.9889835065658943</v>
      </c>
      <c r="H61" s="82">
        <f t="shared" si="15"/>
        <v>1.7210164934341137</v>
      </c>
      <c r="I61" s="83" t="s">
        <v>20</v>
      </c>
      <c r="M61" s="84"/>
      <c r="Q61" s="85"/>
      <c r="W61" s="73"/>
      <c r="X61" s="18"/>
      <c r="Y61" s="18"/>
      <c r="Z61" s="18"/>
    </row>
    <row r="62" spans="1:26" ht="12.75" customHeight="1">
      <c r="A62" s="86"/>
      <c r="B62" s="87"/>
      <c r="C62" s="87"/>
      <c r="D62" s="87"/>
      <c r="E62" s="87"/>
      <c r="M62" s="84"/>
      <c r="Q62" s="88"/>
      <c r="W62" s="73"/>
      <c r="X62" s="18"/>
      <c r="Y62" s="18"/>
      <c r="Z62" s="18"/>
    </row>
    <row r="63" spans="1:26" ht="13.5" customHeight="1">
      <c r="A63" s="22"/>
      <c r="B63" s="71"/>
      <c r="C63" s="71"/>
      <c r="D63" s="71"/>
      <c r="E63" s="71"/>
      <c r="H63" s="71"/>
      <c r="I63" s="71"/>
      <c r="J63" s="90"/>
      <c r="K63" s="84"/>
      <c r="M63" s="18"/>
      <c r="Q63" s="88"/>
      <c r="W63" s="18"/>
      <c r="X63" s="18"/>
      <c r="Y63" s="18"/>
      <c r="Z63" s="18"/>
    </row>
    <row r="64" spans="1:26" ht="12.75" customHeight="1" thickBot="1">
      <c r="A64" s="91" t="s">
        <v>90</v>
      </c>
      <c r="B64" s="71"/>
      <c r="C64" s="71"/>
      <c r="D64" s="71"/>
      <c r="E64" s="71"/>
      <c r="H64" s="71"/>
      <c r="I64" s="71"/>
      <c r="J64" s="90"/>
      <c r="K64" s="84"/>
      <c r="M64" s="22"/>
      <c r="Q64" s="92"/>
      <c r="W64" s="18"/>
      <c r="X64" s="18"/>
      <c r="Y64" s="18"/>
      <c r="Z64" s="18"/>
    </row>
    <row r="65" spans="1:26" ht="12.75" customHeight="1">
      <c r="A65" s="93" t="s">
        <v>55</v>
      </c>
      <c r="B65" s="94">
        <f>$I$10</f>
        <v>0.99</v>
      </c>
      <c r="C65" s="103"/>
      <c r="D65" s="103"/>
      <c r="E65" s="103"/>
      <c r="I65" s="71"/>
      <c r="J65" s="90"/>
      <c r="K65" s="73"/>
      <c r="M65" s="18"/>
      <c r="Q65" s="97"/>
      <c r="W65" s="18"/>
      <c r="X65" s="18"/>
      <c r="Y65" s="18"/>
      <c r="Z65" s="18"/>
    </row>
    <row r="66" spans="1:26" ht="12.75" customHeight="1" thickBot="1">
      <c r="A66" s="98" t="s">
        <v>94</v>
      </c>
      <c r="B66" s="99">
        <f>$I$11</f>
        <v>0.01</v>
      </c>
      <c r="C66" s="103"/>
      <c r="D66" s="103"/>
      <c r="E66" s="103"/>
      <c r="H66" s="71"/>
      <c r="I66" s="71"/>
      <c r="J66" s="18"/>
      <c r="K66" s="18"/>
      <c r="M66" s="18"/>
      <c r="Q66" s="92"/>
      <c r="W66" s="18"/>
      <c r="X66" s="18"/>
      <c r="Y66" s="18"/>
      <c r="Z66" s="18"/>
    </row>
    <row r="67" spans="1:26" ht="12.75" customHeight="1">
      <c r="A67" s="102"/>
      <c r="B67" s="103"/>
      <c r="C67" s="103"/>
      <c r="D67" s="103"/>
      <c r="E67" s="103"/>
      <c r="F67" s="22"/>
      <c r="H67" s="71"/>
      <c r="I67" s="71"/>
      <c r="J67" s="18"/>
      <c r="K67" s="18"/>
      <c r="M67" s="18"/>
      <c r="Q67" s="92"/>
      <c r="W67" s="18"/>
      <c r="X67" s="18"/>
      <c r="Y67" s="18"/>
      <c r="Z67" s="18"/>
    </row>
    <row r="68" spans="1:26" ht="12.75" customHeight="1" thickBot="1">
      <c r="A68" s="91" t="s">
        <v>88</v>
      </c>
      <c r="B68" s="418" t="s">
        <v>91</v>
      </c>
      <c r="C68" s="419"/>
      <c r="D68" s="419"/>
      <c r="E68" s="269">
        <f>I8</f>
        <v>2</v>
      </c>
      <c r="G68" s="69"/>
      <c r="H68" s="71"/>
      <c r="I68" s="71"/>
      <c r="J68" s="18"/>
      <c r="K68" s="18"/>
      <c r="M68" s="18"/>
      <c r="W68" s="18"/>
      <c r="X68" s="18"/>
      <c r="Y68" s="18"/>
      <c r="Z68" s="18"/>
    </row>
    <row r="69" spans="1:26" ht="12.75" customHeight="1">
      <c r="A69" s="93" t="s">
        <v>55</v>
      </c>
      <c r="B69" s="270">
        <f>1-(1-B65)/$E$68</f>
        <v>0.995</v>
      </c>
      <c r="C69" s="103"/>
      <c r="D69" s="103"/>
      <c r="E69" s="103"/>
      <c r="H69" s="71"/>
      <c r="I69" s="71"/>
      <c r="J69" s="18"/>
      <c r="K69" s="18"/>
      <c r="M69" s="18"/>
      <c r="W69" s="18"/>
      <c r="X69" s="18"/>
      <c r="Y69" s="18"/>
      <c r="Z69" s="18"/>
    </row>
    <row r="70" spans="1:26" ht="12.75" customHeight="1" thickBot="1">
      <c r="A70" s="98" t="s">
        <v>94</v>
      </c>
      <c r="B70" s="204">
        <f>B66/$E$68</f>
        <v>0.005</v>
      </c>
      <c r="C70" s="268"/>
      <c r="D70" s="268"/>
      <c r="E70" s="268"/>
      <c r="H70" s="71"/>
      <c r="I70" s="71"/>
      <c r="J70" s="18"/>
      <c r="K70" s="18"/>
      <c r="M70" s="18"/>
      <c r="Q70" s="92"/>
      <c r="W70" s="18"/>
      <c r="X70" s="18"/>
      <c r="Y70" s="18"/>
      <c r="Z70" s="18"/>
    </row>
    <row r="71" spans="1:26" ht="12.75" customHeight="1">
      <c r="A71" s="102"/>
      <c r="E71" s="103"/>
      <c r="G71" s="89"/>
      <c r="H71" s="71"/>
      <c r="I71" s="71"/>
      <c r="J71" s="18"/>
      <c r="K71" s="18"/>
      <c r="M71" s="18"/>
      <c r="Q71" s="92"/>
      <c r="W71" s="18"/>
      <c r="X71" s="18"/>
      <c r="Y71" s="18"/>
      <c r="Z71" s="18"/>
    </row>
    <row r="72" spans="1:26" ht="12.75" customHeight="1" thickBot="1">
      <c r="A72" s="91" t="s">
        <v>89</v>
      </c>
      <c r="B72" s="420" t="s">
        <v>92</v>
      </c>
      <c r="C72" s="421"/>
      <c r="D72" s="421"/>
      <c r="E72" s="269">
        <f>I6</f>
        <v>5</v>
      </c>
      <c r="G72" s="89"/>
      <c r="H72" s="71"/>
      <c r="I72" s="71"/>
      <c r="J72" s="18"/>
      <c r="K72" s="18"/>
      <c r="M72" s="18"/>
      <c r="Q72" s="92"/>
      <c r="W72" s="18"/>
      <c r="X72" s="18"/>
      <c r="Y72" s="18"/>
      <c r="Z72" s="18"/>
    </row>
    <row r="73" spans="1:26" ht="12.75" customHeight="1">
      <c r="A73" s="93" t="s">
        <v>55</v>
      </c>
      <c r="B73" s="270">
        <f>1-(1-B69)^(1/$E$72)</f>
        <v>0.6534275784224267</v>
      </c>
      <c r="C73" s="103"/>
      <c r="D73" s="103"/>
      <c r="E73" s="103"/>
      <c r="F73" s="71"/>
      <c r="H73" s="71"/>
      <c r="I73" s="71"/>
      <c r="J73" s="18"/>
      <c r="K73" s="18"/>
      <c r="M73" s="18"/>
      <c r="Q73" s="92"/>
      <c r="W73" s="18"/>
      <c r="X73" s="18"/>
      <c r="Y73" s="18"/>
      <c r="Z73" s="18"/>
    </row>
    <row r="74" spans="1:26" ht="12.75" customHeight="1" thickBot="1">
      <c r="A74" s="98" t="s">
        <v>94</v>
      </c>
      <c r="B74" s="203">
        <f>1-(1-B70)^(1/$E$72)</f>
        <v>0.0010020060210801374</v>
      </c>
      <c r="C74" s="160"/>
      <c r="D74" s="160"/>
      <c r="E74" s="160"/>
      <c r="G74" s="71"/>
      <c r="H74" s="71"/>
      <c r="I74" s="71"/>
      <c r="J74" s="18"/>
      <c r="K74" s="18"/>
      <c r="M74" s="18"/>
      <c r="Q74" s="92"/>
      <c r="W74" s="18"/>
      <c r="X74" s="18"/>
      <c r="Y74" s="18"/>
      <c r="Z74" s="18"/>
    </row>
    <row r="75" spans="1:26" ht="12.75" customHeight="1">
      <c r="A75" s="102"/>
      <c r="B75" s="103"/>
      <c r="C75" s="103"/>
      <c r="D75" s="103"/>
      <c r="E75" s="103"/>
      <c r="G75" s="71"/>
      <c r="H75" s="71"/>
      <c r="I75" s="71"/>
      <c r="J75" s="18"/>
      <c r="K75" s="18"/>
      <c r="M75" s="18"/>
      <c r="Q75" s="92"/>
      <c r="W75" s="18"/>
      <c r="X75" s="18"/>
      <c r="Y75" s="18"/>
      <c r="Z75" s="18"/>
    </row>
    <row r="76" spans="1:26" ht="13.5" customHeight="1">
      <c r="A76" s="22"/>
      <c r="B76" s="71"/>
      <c r="C76" s="71"/>
      <c r="D76" s="71"/>
      <c r="E76" s="71"/>
      <c r="F76" s="104"/>
      <c r="G76" s="71"/>
      <c r="H76" s="71"/>
      <c r="I76" s="71"/>
      <c r="J76" s="18"/>
      <c r="K76" s="18"/>
      <c r="M76" s="18"/>
      <c r="Q76" s="92"/>
      <c r="T76" s="18"/>
      <c r="U76" s="18"/>
      <c r="V76" s="105"/>
      <c r="W76" s="18"/>
      <c r="X76" s="18"/>
      <c r="Y76" s="18"/>
      <c r="Z76" s="18"/>
    </row>
    <row r="77" spans="1:26" ht="15.75" customHeight="1">
      <c r="A77" s="407" t="s">
        <v>56</v>
      </c>
      <c r="B77" s="407"/>
      <c r="C77" s="407"/>
      <c r="D77" s="407"/>
      <c r="E77" s="407"/>
      <c r="F77" s="18"/>
      <c r="N77" s="12"/>
      <c r="T77" s="18"/>
      <c r="U77" s="18"/>
      <c r="V77" s="105"/>
      <c r="W77" s="18"/>
      <c r="X77" s="18"/>
      <c r="Y77" s="18"/>
      <c r="Z77" s="18"/>
    </row>
    <row r="78" spans="1:26" s="109" customFormat="1" ht="39.75" customHeight="1" thickBot="1">
      <c r="A78" s="106" t="s">
        <v>57</v>
      </c>
      <c r="B78" s="107" t="s">
        <v>58</v>
      </c>
      <c r="C78" s="107" t="s">
        <v>59</v>
      </c>
      <c r="D78" s="107" t="s">
        <v>60</v>
      </c>
      <c r="E78" s="108" t="s">
        <v>62</v>
      </c>
      <c r="F78" s="108" t="s">
        <v>63</v>
      </c>
      <c r="G78" s="108" t="s">
        <v>64</v>
      </c>
      <c r="H78" s="389" t="s">
        <v>65</v>
      </c>
      <c r="I78" s="389"/>
      <c r="J78" s="239" t="s">
        <v>61</v>
      </c>
      <c r="K78" s="108" t="s">
        <v>81</v>
      </c>
      <c r="L78" s="238"/>
      <c r="M78" s="239"/>
      <c r="U78" s="18"/>
      <c r="V78" s="18"/>
      <c r="W78" s="18"/>
      <c r="X78" s="18"/>
      <c r="Y78" s="18"/>
      <c r="Z78" s="18"/>
    </row>
    <row r="79" spans="1:14" ht="12.75">
      <c r="A79" s="110" t="s">
        <v>66</v>
      </c>
      <c r="B79" s="111">
        <f>B$61</f>
        <v>-22.248983506565885</v>
      </c>
      <c r="C79" s="112">
        <v>0</v>
      </c>
      <c r="D79" s="111">
        <f aca="true" t="shared" si="16" ref="D79:D84">B79-C79</f>
        <v>-22.248983506565885</v>
      </c>
      <c r="E79" s="114"/>
      <c r="F79" s="228">
        <f>2*(NORMSINV($B$74*$B$46)-(10^(D79/10)+1)*NORMSINV($B$73/$B$46))^2/10^(D79/5)</f>
        <v>684912.3121230608</v>
      </c>
      <c r="G79" s="115">
        <f>ROUNDUP(F79,0)/($B$37*1000)</f>
        <v>114.15216666666667</v>
      </c>
      <c r="H79" s="109"/>
      <c r="I79" s="109"/>
      <c r="J79" s="142">
        <v>1</v>
      </c>
      <c r="K79" s="170">
        <f>4.5*684/286</f>
        <v>10.762237762237762</v>
      </c>
      <c r="L79" s="153"/>
      <c r="M79" s="97"/>
      <c r="N79" s="12"/>
    </row>
    <row r="80" spans="1:14" ht="12.75">
      <c r="A80" s="116" t="s">
        <v>68</v>
      </c>
      <c r="B80" s="117">
        <f>B$61-11.2+10*LOG10(B$37/0.01)</f>
        <v>-5.667471002729446</v>
      </c>
      <c r="C80" s="117">
        <f>(4.5-1.3)*NORMSINV($C$85)</f>
        <v>5.263529601506889</v>
      </c>
      <c r="D80" s="117">
        <f t="shared" si="16"/>
        <v>-10.931000604236335</v>
      </c>
      <c r="E80" s="240"/>
      <c r="F80" s="241">
        <f>2*(NORMSINV($B$74*$B$46*$C$85)-(10^(D80/10)+1)*NORMSINV($B$73/($B$46*$C$85)))^2/10^(D80/5)</f>
        <v>4055.0982575228036</v>
      </c>
      <c r="G80" s="242">
        <f>ROUNDUP(F80,0)/(0.01*1000)</f>
        <v>405.6</v>
      </c>
      <c r="H80" s="236"/>
      <c r="I80" s="71"/>
      <c r="J80" s="113">
        <v>1</v>
      </c>
      <c r="K80" s="173" t="s">
        <v>82</v>
      </c>
      <c r="L80" s="153"/>
      <c r="M80" s="97"/>
      <c r="N80" s="12"/>
    </row>
    <row r="81" spans="1:14" ht="12.75">
      <c r="A81" s="116" t="s">
        <v>86</v>
      </c>
      <c r="B81" s="117">
        <f>B$61</f>
        <v>-22.248983506565885</v>
      </c>
      <c r="C81" s="117">
        <f>(4.5-1.3)*NORMSINV($C$85)</f>
        <v>5.263529601506889</v>
      </c>
      <c r="D81" s="117">
        <f t="shared" si="16"/>
        <v>-27.512513108072774</v>
      </c>
      <c r="E81" s="160">
        <f>10^(-11.2/10)</f>
        <v>0.07585775750291839</v>
      </c>
      <c r="F81" s="241">
        <f>(NORMSINV($B$74*$B$46*$C$85)-SQRT(10^(D81/10)+1)*NORMSINV($B$73/($B$46*$C$85)))^2/(E81*(10^(D81/10)))</f>
        <v>96079.26504234476</v>
      </c>
      <c r="G81" s="242">
        <f>ROUNDUP(F81,0)/($B$37*1000)</f>
        <v>16.013333333333332</v>
      </c>
      <c r="H81" s="237"/>
      <c r="I81" s="71"/>
      <c r="J81" s="113">
        <v>2</v>
      </c>
      <c r="K81" s="19"/>
      <c r="L81" s="153"/>
      <c r="M81" s="97"/>
      <c r="N81" s="12"/>
    </row>
    <row r="82" spans="1:26" ht="12.75" customHeight="1">
      <c r="A82" s="116" t="s">
        <v>100</v>
      </c>
      <c r="B82" s="121">
        <f>B$61</f>
        <v>-22.248983506565885</v>
      </c>
      <c r="C82" s="71">
        <f>C79</f>
        <v>0</v>
      </c>
      <c r="D82" s="117">
        <f t="shared" si="16"/>
        <v>-22.248983506565885</v>
      </c>
      <c r="E82" s="122">
        <v>1</v>
      </c>
      <c r="F82" s="229">
        <f>(1/4)*(NORMSINV($B$74*$B$46)-SQRT(10^(D82/10)+1)*NORMSINV($B$73/$B$46))^2/(E82*(10^(D82/10)))</f>
        <v>509.7453862187101</v>
      </c>
      <c r="G82" s="119">
        <f>ROUNDUP(F82,0)*(4/$K$79)/1000</f>
        <v>0.189551656920078</v>
      </c>
      <c r="H82" s="123">
        <f>(ROUNDUP(F82,0)*832/$K$79+4/$K$79)/1000</f>
        <v>39.42711630929175</v>
      </c>
      <c r="I82" s="124" t="s">
        <v>67</v>
      </c>
      <c r="J82" s="113">
        <v>2</v>
      </c>
      <c r="K82" s="19"/>
      <c r="L82" s="19"/>
      <c r="M82" s="154"/>
      <c r="N82" s="12"/>
      <c r="U82" s="125"/>
      <c r="V82" s="18"/>
      <c r="W82" s="18"/>
      <c r="X82" s="18"/>
      <c r="Y82" s="18"/>
      <c r="Z82" s="18"/>
    </row>
    <row r="83" spans="1:14" ht="12.75">
      <c r="A83" s="116" t="s">
        <v>98</v>
      </c>
      <c r="B83" s="121">
        <f>B$61</f>
        <v>-22.248983506565885</v>
      </c>
      <c r="C83" s="71">
        <f>C79</f>
        <v>0</v>
      </c>
      <c r="D83" s="117">
        <f t="shared" si="16"/>
        <v>-22.248983506565885</v>
      </c>
      <c r="E83" s="122">
        <v>1</v>
      </c>
      <c r="F83" s="229">
        <f>(1/511)*(NORMSINV($B$74*$B$46)-SQRT(10^(D83/10)+1)*NORMSINV($B$73/$B$46))^2/(E83*(10^(D83/10)))</f>
        <v>3.9901791484830533</v>
      </c>
      <c r="G83" s="119">
        <f>ROUNDUP(F83,0)*(511/$K$79)/1000</f>
        <v>0.18992332683560756</v>
      </c>
      <c r="H83" s="126">
        <f>(ROUNDUP(F83,0)*(313*832/$K$79)+511/$K$79)/1000</f>
        <v>96.83627355425602</v>
      </c>
      <c r="I83" s="71" t="s">
        <v>67</v>
      </c>
      <c r="J83" s="113">
        <v>2</v>
      </c>
      <c r="K83" s="19"/>
      <c r="L83" s="153"/>
      <c r="M83" s="97"/>
      <c r="N83" s="12"/>
    </row>
    <row r="84" spans="1:14" ht="13.5" thickBot="1">
      <c r="A84" s="143" t="s">
        <v>99</v>
      </c>
      <c r="B84" s="146">
        <f>B$61</f>
        <v>-22.248983506565885</v>
      </c>
      <c r="C84" s="182">
        <f>C79</f>
        <v>0</v>
      </c>
      <c r="D84" s="146">
        <f t="shared" si="16"/>
        <v>-22.248983506565885</v>
      </c>
      <c r="E84" s="147">
        <v>1</v>
      </c>
      <c r="F84" s="233">
        <f>(1/(3*63))*(NORMSINV($B$74*$B$46)-SQRT(10^(D84/10)+1)*NORMSINV($B$73/$B$46))^2/(E84*(10^(D84/10)))</f>
        <v>10.788262142194924</v>
      </c>
      <c r="G84" s="148">
        <f>ROUNDUP(F84,0)*(3*63/$K$79)/1000</f>
        <v>0.19317543859649122</v>
      </c>
      <c r="H84" s="266">
        <f>(ROUNDUP(F84,0)*(313*832/$K$79)+3*63/$K$79)/1000</f>
        <v>266.18674139051336</v>
      </c>
      <c r="I84" s="145" t="s">
        <v>67</v>
      </c>
      <c r="J84" s="267">
        <v>2</v>
      </c>
      <c r="K84" s="19"/>
      <c r="L84" s="153"/>
      <c r="M84" s="97"/>
      <c r="N84" s="12"/>
    </row>
    <row r="85" spans="1:8" ht="12.75">
      <c r="A85" s="149"/>
      <c r="B85" s="150" t="s">
        <v>76</v>
      </c>
      <c r="C85" s="210">
        <v>0.95</v>
      </c>
      <c r="D85" s="152"/>
      <c r="E85" s="19"/>
      <c r="F85" s="153"/>
      <c r="G85" s="154"/>
      <c r="H85" s="97"/>
    </row>
    <row r="86" spans="1:8" ht="12.75">
      <c r="A86" s="149"/>
      <c r="B86" s="150"/>
      <c r="C86" s="103"/>
      <c r="D86" s="152"/>
      <c r="E86" s="19"/>
      <c r="F86" s="153"/>
      <c r="G86" s="154"/>
      <c r="H86" s="97"/>
    </row>
    <row r="87" ht="12.75"/>
    <row r="88" spans="1:9" ht="64.5" thickBot="1">
      <c r="A88" s="106" t="s">
        <v>57</v>
      </c>
      <c r="B88" s="107" t="s">
        <v>58</v>
      </c>
      <c r="C88" s="107" t="s">
        <v>59</v>
      </c>
      <c r="D88" s="107" t="s">
        <v>60</v>
      </c>
      <c r="E88" s="108" t="s">
        <v>62</v>
      </c>
      <c r="F88" s="108" t="s">
        <v>63</v>
      </c>
      <c r="G88" s="108" t="s">
        <v>64</v>
      </c>
      <c r="H88" s="389" t="s">
        <v>65</v>
      </c>
      <c r="I88" s="389"/>
    </row>
    <row r="89" spans="1:9" ht="12.75">
      <c r="A89" s="110" t="s">
        <v>66</v>
      </c>
      <c r="B89" s="111">
        <f>C$61</f>
        <v>-18.748983506565885</v>
      </c>
      <c r="C89" s="112">
        <v>0</v>
      </c>
      <c r="D89" s="111">
        <f aca="true" t="shared" si="17" ref="D89:D94">B89-C89</f>
        <v>-18.748983506565885</v>
      </c>
      <c r="E89" s="114"/>
      <c r="F89" s="228">
        <f>2*(NORMSINV($B$74*$C$46)-(10^(D89/10)+1)*NORMSINV($B$73/$C$46))^2/10^(D89/5)</f>
        <v>136899.37808744676</v>
      </c>
      <c r="G89" s="115">
        <f>ROUNDUP(F89,0)/($B$37*1000)</f>
        <v>22.816666666666666</v>
      </c>
      <c r="H89" s="109"/>
      <c r="I89" s="109"/>
    </row>
    <row r="90" spans="1:9" ht="12.75">
      <c r="A90" s="116" t="s">
        <v>68</v>
      </c>
      <c r="B90" s="117">
        <f>C$61-11.2+10*LOG10(C$37/0.01)</f>
        <v>-2.1674710027294495</v>
      </c>
      <c r="C90" s="117">
        <f>(4.5-1.3)*NORMSINV($C$85)</f>
        <v>5.263529601506889</v>
      </c>
      <c r="D90" s="117">
        <f t="shared" si="17"/>
        <v>-7.431000604236338</v>
      </c>
      <c r="E90" s="240"/>
      <c r="F90" s="241">
        <f>2*(NORMSINV($B$74*$C$46*$C$85)-(10^(D90/10)+1)*NORMSINV($B$73/($C$46*$C$85)))^2/10^(D90/5)</f>
        <v>831.205238901638</v>
      </c>
      <c r="G90" s="242">
        <f>ROUNDUP(F90,0)/(0.01*1000)</f>
        <v>83.2</v>
      </c>
      <c r="H90" s="236"/>
      <c r="I90" s="71"/>
    </row>
    <row r="91" spans="1:9" ht="12.75">
      <c r="A91" s="116" t="s">
        <v>86</v>
      </c>
      <c r="B91" s="117">
        <f>C$61</f>
        <v>-18.748983506565885</v>
      </c>
      <c r="C91" s="117">
        <f>(4.5-1.3)*NORMSINV($C$85)</f>
        <v>5.263529601506889</v>
      </c>
      <c r="D91" s="117">
        <f t="shared" si="17"/>
        <v>-24.012513108072774</v>
      </c>
      <c r="E91" s="160">
        <f>10^(-11.2/10)</f>
        <v>0.07585775750291839</v>
      </c>
      <c r="F91" s="241">
        <f>(NORMSINV($B$74*$C$46*$C$85)-SQRT(10^(D91/10)+1)*NORMSINV($B$73/($C$46*$C$85)))^2/(E91*(10^(D91/10)))</f>
        <v>42937.600456424254</v>
      </c>
      <c r="G91" s="242">
        <f>ROUNDUP(F91,0)/($B$37*1000)</f>
        <v>7.156333333333333</v>
      </c>
      <c r="H91" s="237"/>
      <c r="I91" s="71"/>
    </row>
    <row r="92" spans="1:9" ht="12.75">
      <c r="A92" s="116" t="s">
        <v>100</v>
      </c>
      <c r="B92" s="121">
        <f>C$61</f>
        <v>-18.748983506565885</v>
      </c>
      <c r="C92" s="71">
        <f>C89</f>
        <v>0</v>
      </c>
      <c r="D92" s="117">
        <f t="shared" si="17"/>
        <v>-18.748983506565885</v>
      </c>
      <c r="E92" s="122">
        <v>1</v>
      </c>
      <c r="F92" s="229">
        <f>(1/4)*(NORMSINV($B$74*$C$46)-SQRT(10^(D92/10)+1)*NORMSINV($B$73/$C$46))^2/(E92*(10^(D92/10)))</f>
        <v>227.905822401411</v>
      </c>
      <c r="G92" s="119">
        <f>ROUNDUP(F92,0)*(4/$K$79)/1000</f>
        <v>0.08474074074074074</v>
      </c>
      <c r="H92" s="123">
        <f>(ROUNDUP(F92,0)*832/$K$79+4/$K$79)/1000</f>
        <v>17.626445743989606</v>
      </c>
      <c r="I92" s="134" t="s">
        <v>67</v>
      </c>
    </row>
    <row r="93" spans="1:9" ht="12.75">
      <c r="A93" s="116" t="s">
        <v>98</v>
      </c>
      <c r="B93" s="121">
        <f>C$61</f>
        <v>-18.748983506565885</v>
      </c>
      <c r="C93" s="71">
        <f>C89</f>
        <v>0</v>
      </c>
      <c r="D93" s="117">
        <f t="shared" si="17"/>
        <v>-18.748983506565885</v>
      </c>
      <c r="E93" s="122">
        <v>1</v>
      </c>
      <c r="F93" s="229">
        <f>(1/511)*(NORMSINV($B$74*$C$46)-SQRT(10^(D93/10)+1)*NORMSINV($B$73/$C$46))^2/(E93*(10^(D93/10)))</f>
        <v>1.7839986097957805</v>
      </c>
      <c r="G93" s="119">
        <f>ROUNDUP(F93,0)*(511/$K$79)/1000</f>
        <v>0.09496166341780378</v>
      </c>
      <c r="H93" s="126">
        <f>(ROUNDUP(F93,0)*(313*832/$K$79)+511/$K$79)/1000</f>
        <v>48.44187719298247</v>
      </c>
      <c r="I93" s="121" t="s">
        <v>67</v>
      </c>
    </row>
    <row r="94" spans="1:9" ht="13.5" thickBot="1">
      <c r="A94" s="143" t="s">
        <v>99</v>
      </c>
      <c r="B94" s="146">
        <f>C$61</f>
        <v>-18.748983506565885</v>
      </c>
      <c r="C94" s="182">
        <f>C89</f>
        <v>0</v>
      </c>
      <c r="D94" s="146">
        <f t="shared" si="17"/>
        <v>-18.748983506565885</v>
      </c>
      <c r="E94" s="147">
        <v>1</v>
      </c>
      <c r="F94" s="233">
        <f>(1/(3*63))*(NORMSINV($B$74*$C$46)-SQRT(10^(D94/10)+1)*NORMSINV($B$73/$C$46))^2/(E94*(10^(D94/10)))</f>
        <v>4.823403648707111</v>
      </c>
      <c r="G94" s="148">
        <f>ROUNDUP(F94,0)*(3*63/$K$79)/1000</f>
        <v>0.08780701754385965</v>
      </c>
      <c r="H94" s="266">
        <f>(ROUNDUP(F94,0)*(313*832/$K$79)+3*63/$K$79)/1000</f>
        <v>121.00355230669268</v>
      </c>
      <c r="I94" s="144" t="s">
        <v>67</v>
      </c>
    </row>
    <row r="95" spans="1:8" ht="12.75">
      <c r="A95" s="149"/>
      <c r="B95" s="150" t="s">
        <v>76</v>
      </c>
      <c r="C95" s="210">
        <f>$C$85</f>
        <v>0.95</v>
      </c>
      <c r="D95" s="152"/>
      <c r="E95" s="19"/>
      <c r="F95" s="153"/>
      <c r="G95" s="154"/>
      <c r="H95" s="97"/>
    </row>
    <row r="98" spans="1:9" ht="39" thickBot="1">
      <c r="A98" s="106" t="s">
        <v>57</v>
      </c>
      <c r="B98" s="107" t="s">
        <v>58</v>
      </c>
      <c r="C98" s="107" t="s">
        <v>59</v>
      </c>
      <c r="D98" s="107" t="s">
        <v>60</v>
      </c>
      <c r="E98" s="108" t="s">
        <v>62</v>
      </c>
      <c r="F98" s="108" t="s">
        <v>63</v>
      </c>
      <c r="G98" s="108" t="s">
        <v>64</v>
      </c>
      <c r="H98" s="389" t="s">
        <v>65</v>
      </c>
      <c r="I98" s="389"/>
    </row>
    <row r="99" spans="1:9" ht="12.75">
      <c r="A99" s="110" t="s">
        <v>66</v>
      </c>
      <c r="B99" s="111">
        <f>D$61</f>
        <v>-15.248983506565885</v>
      </c>
      <c r="C99" s="112">
        <v>0</v>
      </c>
      <c r="D99" s="111">
        <f aca="true" t="shared" si="18" ref="D99:D104">B99-C99</f>
        <v>-15.248983506565885</v>
      </c>
      <c r="E99" s="114"/>
      <c r="F99" s="228">
        <f>2*(NORMSINV($B$74*$D$46)-(10^(D99/10)+1)*NORMSINV($B$73/$D$46))^2/10^(D99/5)</f>
        <v>27448.01593856589</v>
      </c>
      <c r="G99" s="115">
        <f>ROUNDUP(F99,0)/($B$37*1000)</f>
        <v>4.574833333333333</v>
      </c>
      <c r="H99" s="109"/>
      <c r="I99" s="109"/>
    </row>
    <row r="100" spans="1:9" ht="12.75">
      <c r="A100" s="116" t="s">
        <v>68</v>
      </c>
      <c r="B100" s="117">
        <f>D$61-11.2+10*LOG10(D$37/0.01)</f>
        <v>1.3325289972705505</v>
      </c>
      <c r="C100" s="117">
        <f>(4.5-1.3)*NORMSINV($C$85)</f>
        <v>5.263529601506889</v>
      </c>
      <c r="D100" s="117">
        <f t="shared" si="18"/>
        <v>-3.9310006042363383</v>
      </c>
      <c r="E100" s="240"/>
      <c r="F100" s="241">
        <f>2*(NORMSINV($B$74*$D$46*$C$85)-(10^(D100/10)+1)*NORMSINV($B$73/($D$46*$C$85)))^2/10^(D100/5)</f>
        <v>176.11313672210565</v>
      </c>
      <c r="G100" s="242">
        <f>ROUNDUP(F100,0)/(0.01*1000)</f>
        <v>17.7</v>
      </c>
      <c r="H100" s="236"/>
      <c r="I100" s="71"/>
    </row>
    <row r="101" spans="1:9" ht="12.75">
      <c r="A101" s="116" t="s">
        <v>86</v>
      </c>
      <c r="B101" s="117">
        <f>D$61</f>
        <v>-15.248983506565885</v>
      </c>
      <c r="C101" s="117">
        <f>(4.5-1.3)*NORMSINV($C$85)</f>
        <v>5.263529601506889</v>
      </c>
      <c r="D101" s="117">
        <f t="shared" si="18"/>
        <v>-20.512513108072774</v>
      </c>
      <c r="E101" s="160">
        <f>10^(-11.2/10)</f>
        <v>0.07585775750291839</v>
      </c>
      <c r="F101" s="241">
        <f>(NORMSINV($B$74*$D$46*$C$85)-SQRT(10^(D101/10)+1)*NORMSINV($B$73/($D$46*$C$85)))^2/(E101*(10^(D101/10)))</f>
        <v>19213.008787908024</v>
      </c>
      <c r="G101" s="242">
        <f>ROUNDUP(F101,0)/($B$37*1000)</f>
        <v>3.2023333333333333</v>
      </c>
      <c r="H101" s="237"/>
      <c r="I101" s="71"/>
    </row>
    <row r="102" spans="1:9" ht="12.75">
      <c r="A102" s="116" t="s">
        <v>100</v>
      </c>
      <c r="B102" s="121">
        <f>D$61</f>
        <v>-15.248983506565885</v>
      </c>
      <c r="C102" s="71">
        <f>C99</f>
        <v>0</v>
      </c>
      <c r="D102" s="117">
        <f t="shared" si="18"/>
        <v>-15.248983506565885</v>
      </c>
      <c r="E102" s="122">
        <v>1</v>
      </c>
      <c r="F102" s="229">
        <f>(1/4)*(NORMSINV($B$74*$D$46)-SQRT(10^(D102/10)+1)*NORMSINV($B$73/$D$46))^2/(E102*(10^(D102/10)))</f>
        <v>102.10360104693386</v>
      </c>
      <c r="G102" s="119">
        <f>ROUNDUP(F102,0)*(4/$K$79)/1000</f>
        <v>0.03828200129954516</v>
      </c>
      <c r="H102" s="123">
        <f>(ROUNDUP(F102,0)*832/$K$79+4/$K$79)/1000</f>
        <v>7.963027940220923</v>
      </c>
      <c r="I102" s="134" t="s">
        <v>67</v>
      </c>
    </row>
    <row r="103" spans="1:9" ht="12.75">
      <c r="A103" s="116" t="s">
        <v>98</v>
      </c>
      <c r="B103" s="121">
        <f>D$61</f>
        <v>-15.248983506565885</v>
      </c>
      <c r="C103" s="71">
        <f>C99</f>
        <v>0</v>
      </c>
      <c r="D103" s="117">
        <f t="shared" si="18"/>
        <v>-15.248983506565885</v>
      </c>
      <c r="E103" s="122">
        <v>1</v>
      </c>
      <c r="F103" s="229">
        <f>(1/511)*(NORMSINV($B$74*$D$46)-SQRT(10^(D103/10)+1)*NORMSINV($B$73/$D$46))^2/(E103*(10^(D103/10)))</f>
        <v>0.7992454093693453</v>
      </c>
      <c r="G103" s="119">
        <f>ROUNDUP(F103,0)*(511/$K$79)/1000</f>
        <v>0.04748083170890189</v>
      </c>
      <c r="H103" s="126">
        <f>(ROUNDUP(F103,0)*(313*832/$K$79)+511/$K$79)/1000</f>
        <v>24.24467901234568</v>
      </c>
      <c r="I103" s="121" t="s">
        <v>67</v>
      </c>
    </row>
    <row r="104" spans="1:9" ht="13.5" thickBot="1">
      <c r="A104" s="143" t="s">
        <v>99</v>
      </c>
      <c r="B104" s="146">
        <f>D$61</f>
        <v>-15.248983506565885</v>
      </c>
      <c r="C104" s="182">
        <f>C99</f>
        <v>0</v>
      </c>
      <c r="D104" s="146">
        <f t="shared" si="18"/>
        <v>-15.248983506565885</v>
      </c>
      <c r="E104" s="147">
        <v>1</v>
      </c>
      <c r="F104" s="233">
        <f>(1/(3*63))*(NORMSINV($B$74*$D$46)-SQRT(10^(D104/10)+1)*NORMSINV($B$73/$D$46))^2/(E104*(10^(D104/10)))</f>
        <v>2.1609227734800815</v>
      </c>
      <c r="G104" s="148">
        <f>ROUNDUP(F104,0)*(3*63/$K$79)/1000</f>
        <v>0.05268421052631579</v>
      </c>
      <c r="H104" s="266">
        <f>(ROUNDUP(F104,0)*(313*832/$K$79)+3*63/$K$79)/1000</f>
        <v>72.60915594541912</v>
      </c>
      <c r="I104" s="144" t="s">
        <v>67</v>
      </c>
    </row>
    <row r="105" spans="1:8" ht="12.75">
      <c r="A105" s="149"/>
      <c r="B105" s="150" t="s">
        <v>76</v>
      </c>
      <c r="C105" s="210">
        <f>$C$85</f>
        <v>0.95</v>
      </c>
      <c r="D105" s="152"/>
      <c r="E105" s="19"/>
      <c r="F105" s="153"/>
      <c r="G105" s="154"/>
      <c r="H105" s="97"/>
    </row>
    <row r="108" spans="1:9" ht="39" thickBot="1">
      <c r="A108" s="106" t="s">
        <v>57</v>
      </c>
      <c r="B108" s="107" t="s">
        <v>58</v>
      </c>
      <c r="C108" s="107" t="s">
        <v>59</v>
      </c>
      <c r="D108" s="107" t="s">
        <v>60</v>
      </c>
      <c r="E108" s="108" t="s">
        <v>62</v>
      </c>
      <c r="F108" s="108" t="s">
        <v>63</v>
      </c>
      <c r="G108" s="108" t="s">
        <v>64</v>
      </c>
      <c r="H108" s="389" t="s">
        <v>65</v>
      </c>
      <c r="I108" s="389"/>
    </row>
    <row r="109" spans="1:9" ht="12.75">
      <c r="A109" s="110" t="s">
        <v>66</v>
      </c>
      <c r="B109" s="111">
        <f>E$61</f>
        <v>-11.068983506565878</v>
      </c>
      <c r="C109" s="112">
        <v>0</v>
      </c>
      <c r="D109" s="111">
        <f aca="true" t="shared" si="19" ref="D109:D114">B109-C109</f>
        <v>-11.068983506565878</v>
      </c>
      <c r="E109" s="114"/>
      <c r="F109" s="228">
        <f>2*(NORMSINV($B$74*$E$46)-(10^(D109/10)+1)*NORMSINV($B$73/$E$46))^2/10^(D109/5)</f>
        <v>4094.4112583141377</v>
      </c>
      <c r="G109" s="115">
        <f>ROUNDUP(F109,0)/($B$37*1000)</f>
        <v>0.6825</v>
      </c>
      <c r="H109" s="109"/>
      <c r="I109" s="109"/>
    </row>
    <row r="110" spans="1:9" ht="12.75">
      <c r="A110" s="116" t="s">
        <v>68</v>
      </c>
      <c r="B110" s="117">
        <f>E$61-11.2+10*LOG10(E$37/0.01)</f>
        <v>5.512528997270557</v>
      </c>
      <c r="C110" s="117">
        <f>(4.5-1.3)*NORMSINV($C$85)</f>
        <v>5.263529601506889</v>
      </c>
      <c r="D110" s="117">
        <f t="shared" si="19"/>
        <v>0.24899939576366847</v>
      </c>
      <c r="E110" s="240"/>
      <c r="F110" s="241">
        <f>2*(NORMSINV($B$74*$E$46*$C$85)-(10^(D110/10)+1)*NORMSINV($B$73/($E$46*$C$85)))^2/10^(D110/5)</f>
        <v>30.81351651969588</v>
      </c>
      <c r="G110" s="242">
        <f>ROUNDUP(F110,0)/(0.01*1000)</f>
        <v>3.1</v>
      </c>
      <c r="H110" s="236"/>
      <c r="I110" s="71"/>
    </row>
    <row r="111" spans="1:9" ht="12.75">
      <c r="A111" s="116" t="s">
        <v>86</v>
      </c>
      <c r="B111" s="117">
        <f>E$61</f>
        <v>-11.068983506565878</v>
      </c>
      <c r="C111" s="117">
        <f>(4.5-1.3)*NORMSINV($C$85)</f>
        <v>5.263529601506889</v>
      </c>
      <c r="D111" s="117">
        <f t="shared" si="19"/>
        <v>-16.332513108072767</v>
      </c>
      <c r="E111" s="160">
        <f>10^(-11.2/10)</f>
        <v>0.07585775750291839</v>
      </c>
      <c r="F111" s="241">
        <f>(NORMSINV($B$74*$E$46*$C$85)-SQRT(10^(D111/10)+1)*NORMSINV($B$73/($E$46*$C$85)))^2/(E111*(10^(D111/10)))</f>
        <v>7437.534792831192</v>
      </c>
      <c r="G111" s="242">
        <f>ROUNDUP(F111,0)/($B$37*1000)</f>
        <v>1.2396666666666667</v>
      </c>
      <c r="H111" s="237"/>
      <c r="I111" s="71"/>
    </row>
    <row r="112" spans="1:9" ht="12.75">
      <c r="A112" s="116" t="s">
        <v>100</v>
      </c>
      <c r="B112" s="121">
        <f>E$61</f>
        <v>-11.068983506565878</v>
      </c>
      <c r="C112" s="71">
        <f>C109</f>
        <v>0</v>
      </c>
      <c r="D112" s="117">
        <f t="shared" si="19"/>
        <v>-11.068983506565878</v>
      </c>
      <c r="E112" s="122">
        <v>1</v>
      </c>
      <c r="F112" s="229">
        <f>(1/4)*(NORMSINV($B$74*$E$46)-SQRT(10^(D112/10)+1)*NORMSINV($B$73/$E$46))^2/(E112*(10^(D112/10)))</f>
        <v>39.64233908810273</v>
      </c>
      <c r="G112" s="119">
        <f>ROUNDUP(F112,0)*(4/$K$79)/1000</f>
        <v>0.014866796621182588</v>
      </c>
      <c r="H112" s="123">
        <f>(ROUNDUP(F112,0)*832/$K$79+4/$K$79)/1000</f>
        <v>3.0926653671215076</v>
      </c>
      <c r="I112" s="134" t="s">
        <v>67</v>
      </c>
    </row>
    <row r="113" spans="1:9" ht="12.75">
      <c r="A113" s="116" t="s">
        <v>98</v>
      </c>
      <c r="B113" s="121">
        <f>E$61</f>
        <v>-11.068983506565878</v>
      </c>
      <c r="C113" s="71">
        <f>C109</f>
        <v>0</v>
      </c>
      <c r="D113" s="117">
        <f t="shared" si="19"/>
        <v>-11.068983506565878</v>
      </c>
      <c r="E113" s="122">
        <v>1</v>
      </c>
      <c r="F113" s="229">
        <f>(1/511)*(NORMSINV($B$74*$E$46)-SQRT(10^(D113/10)+1)*NORMSINV($B$73/$E$46))^2/(E113*(10^(D113/10)))</f>
        <v>0.3103118519616652</v>
      </c>
      <c r="G113" s="119">
        <f>ROUNDUP(F113,0)*(511/$K$79)/1000</f>
        <v>0.04748083170890189</v>
      </c>
      <c r="H113" s="126">
        <f>(ROUNDUP(F113,0)*(313*832/$K$79)+511/$K$79)/1000</f>
        <v>24.24467901234568</v>
      </c>
      <c r="I113" s="121" t="s">
        <v>67</v>
      </c>
    </row>
    <row r="114" spans="1:9" ht="13.5" thickBot="1">
      <c r="A114" s="143" t="s">
        <v>99</v>
      </c>
      <c r="B114" s="146">
        <f>E$61</f>
        <v>-11.068983506565878</v>
      </c>
      <c r="C114" s="182">
        <f>C109</f>
        <v>0</v>
      </c>
      <c r="D114" s="146">
        <f t="shared" si="19"/>
        <v>-11.068983506565878</v>
      </c>
      <c r="E114" s="147">
        <v>1</v>
      </c>
      <c r="F114" s="233">
        <f>(1/(3*63))*(NORMSINV($B$74*$E$46)-SQRT(10^(D114/10)+1)*NORMSINV($B$73/$E$46))^2/(E114*(10^(D114/10)))</f>
        <v>0.8389913034519096</v>
      </c>
      <c r="G114" s="148">
        <f>ROUNDUP(F114,0)*(3*63/$K$79)/1000</f>
        <v>0.01756140350877193</v>
      </c>
      <c r="H114" s="266">
        <f>(ROUNDUP(F114,0)*(313*832/$K$79)+3*63/$K$79)/1000</f>
        <v>24.21475958414555</v>
      </c>
      <c r="I114" s="144" t="s">
        <v>67</v>
      </c>
    </row>
    <row r="115" spans="1:8" ht="12.75">
      <c r="A115" s="149"/>
      <c r="B115" s="150" t="s">
        <v>76</v>
      </c>
      <c r="C115" s="210">
        <f>$C$85</f>
        <v>0.95</v>
      </c>
      <c r="D115" s="152"/>
      <c r="E115" s="19"/>
      <c r="F115" s="153"/>
      <c r="G115" s="154"/>
      <c r="H115" s="97"/>
    </row>
    <row r="118" spans="1:9" ht="39" thickBot="1">
      <c r="A118" s="106" t="s">
        <v>57</v>
      </c>
      <c r="B118" s="107" t="s">
        <v>58</v>
      </c>
      <c r="C118" s="107" t="s">
        <v>59</v>
      </c>
      <c r="D118" s="107" t="s">
        <v>60</v>
      </c>
      <c r="E118" s="108" t="s">
        <v>62</v>
      </c>
      <c r="F118" s="108" t="s">
        <v>63</v>
      </c>
      <c r="G118" s="108" t="s">
        <v>64</v>
      </c>
      <c r="H118" s="389" t="s">
        <v>65</v>
      </c>
      <c r="I118" s="389"/>
    </row>
    <row r="119" spans="1:9" ht="12.75">
      <c r="A119" s="110" t="s">
        <v>66</v>
      </c>
      <c r="B119" s="111">
        <f>F$61</f>
        <v>-5.328983506565869</v>
      </c>
      <c r="C119" s="112">
        <v>0</v>
      </c>
      <c r="D119" s="111">
        <f aca="true" t="shared" si="20" ref="D119:D124">B119-C119</f>
        <v>-5.328983506565869</v>
      </c>
      <c r="E119" s="114"/>
      <c r="F119" s="228">
        <f>2*(NORMSINV($B$74*$F$46)-(10^(D119/10)+1)*NORMSINV($B$73/$F$46))^2/10^(D119/5)</f>
        <v>353.48461568391815</v>
      </c>
      <c r="G119" s="115">
        <f>ROUNDUP(F119,0)/($B$37*1000)</f>
        <v>0.059</v>
      </c>
      <c r="H119" s="109"/>
      <c r="I119" s="109"/>
    </row>
    <row r="120" spans="1:9" ht="12.75">
      <c r="A120" s="116" t="s">
        <v>68</v>
      </c>
      <c r="B120" s="117">
        <f>F$61-11.2+10*LOG10(F$37/0.01)</f>
        <v>11.252528997270566</v>
      </c>
      <c r="C120" s="117">
        <f>(4.5-1.3)*NORMSINV($C$85)</f>
        <v>5.263529601506889</v>
      </c>
      <c r="D120" s="117">
        <f t="shared" si="20"/>
        <v>5.988999395763678</v>
      </c>
      <c r="E120" s="240"/>
      <c r="F120" s="241">
        <f>2*(NORMSINV($B$74*$F$46*$C$85)-(10^(D120/10)+1)*NORMSINV($B$73/($F$46*$C$85)))^2/10^(D120/5)</f>
        <v>5.716077723605695</v>
      </c>
      <c r="G120" s="242">
        <f>ROUNDUP(F120,0)/(0.01*1000)</f>
        <v>0.6</v>
      </c>
      <c r="H120" s="236"/>
      <c r="I120" s="71"/>
    </row>
    <row r="121" spans="1:9" ht="12.75">
      <c r="A121" s="116" t="s">
        <v>86</v>
      </c>
      <c r="B121" s="117">
        <f>F$61</f>
        <v>-5.328983506565869</v>
      </c>
      <c r="C121" s="117">
        <f>(4.5-1.3)*NORMSINV($C$85)</f>
        <v>5.263529601506889</v>
      </c>
      <c r="D121" s="117">
        <f t="shared" si="20"/>
        <v>-10.592513108072758</v>
      </c>
      <c r="E121" s="160">
        <f>10^(-11.2/10)</f>
        <v>0.07585775750291839</v>
      </c>
      <c r="F121" s="241">
        <f>(NORMSINV($B$74*$F$46*$C$85)-SQRT(10^(D121/10)+1)*NORMSINV($B$73/($F$46*$C$85)))^2/(E121*(10^(D121/10)))</f>
        <v>2282.060573261719</v>
      </c>
      <c r="G121" s="242">
        <f>ROUNDUP(F121,0)/($B$37*1000)</f>
        <v>0.3805</v>
      </c>
      <c r="H121" s="237"/>
      <c r="I121" s="71"/>
    </row>
    <row r="122" spans="1:9" ht="12.75">
      <c r="A122" s="116" t="s">
        <v>100</v>
      </c>
      <c r="B122" s="121">
        <f>F$61</f>
        <v>-5.328983506565869</v>
      </c>
      <c r="C122" s="71">
        <f>C119</f>
        <v>0</v>
      </c>
      <c r="D122" s="117">
        <f t="shared" si="20"/>
        <v>-5.328983506565869</v>
      </c>
      <c r="E122" s="122">
        <v>1</v>
      </c>
      <c r="F122" s="229">
        <f>(1/4)*(NORMSINV($B$74*$F$46)-SQRT(10^(D122/10)+1)*NORMSINV($B$73/$F$46))^2/(E122*(10^(D122/10)))</f>
        <v>12.338167013812749</v>
      </c>
      <c r="G122" s="119">
        <f>ROUNDUP(F122,0)*(4/$K$79)/1000</f>
        <v>0.004831708901884341</v>
      </c>
      <c r="H122" s="123">
        <f>(ROUNDUP(F122,0)*832/$K$79+4/$K$79)/1000</f>
        <v>1.0053671215074724</v>
      </c>
      <c r="I122" s="134" t="s">
        <v>67</v>
      </c>
    </row>
    <row r="123" spans="1:9" ht="12.75">
      <c r="A123" s="116" t="s">
        <v>98</v>
      </c>
      <c r="B123" s="121">
        <f>F$61</f>
        <v>-5.328983506565869</v>
      </c>
      <c r="C123" s="71">
        <f>C119</f>
        <v>0</v>
      </c>
      <c r="D123" s="117">
        <f t="shared" si="20"/>
        <v>-5.328983506565869</v>
      </c>
      <c r="E123" s="122">
        <v>1</v>
      </c>
      <c r="F123" s="229">
        <f>(1/511)*(NORMSINV($B$74*$F$46)-SQRT(10^(D123/10)+1)*NORMSINV($B$73/$F$46))^2/(E123*(10^(D123/10)))</f>
        <v>0.09658056370890605</v>
      </c>
      <c r="G123" s="119">
        <f>ROUNDUP(F123,0)*(511/$K$79)/1000</f>
        <v>0.04748083170890189</v>
      </c>
      <c r="H123" s="126">
        <f>(ROUNDUP(F123,0)*(313*832/$K$79)+511/$K$79)/1000</f>
        <v>24.24467901234568</v>
      </c>
      <c r="I123" s="121" t="s">
        <v>67</v>
      </c>
    </row>
    <row r="124" spans="1:9" ht="13.5" thickBot="1">
      <c r="A124" s="143" t="s">
        <v>99</v>
      </c>
      <c r="B124" s="146">
        <f>F$61</f>
        <v>-5.328983506565869</v>
      </c>
      <c r="C124" s="182">
        <f>C119</f>
        <v>0</v>
      </c>
      <c r="D124" s="146">
        <f t="shared" si="20"/>
        <v>-5.328983506565869</v>
      </c>
      <c r="E124" s="147">
        <v>1</v>
      </c>
      <c r="F124" s="233">
        <f>(1/(3*63))*(NORMSINV($B$74*$F$46)-SQRT(10^(D124/10)+1)*NORMSINV($B$73/$F$46))^2/(E124*(10^(D124/10)))</f>
        <v>0.2611252278055608</v>
      </c>
      <c r="G124" s="148">
        <f>ROUNDUP(F124,0)*(3*63/$K$79)/1000</f>
        <v>0.01756140350877193</v>
      </c>
      <c r="H124" s="266">
        <f>(ROUNDUP(F124,0)*(313*832/$K$79)+3*63/$K$79)/1000</f>
        <v>24.21475958414555</v>
      </c>
      <c r="I124" s="144" t="s">
        <v>67</v>
      </c>
    </row>
    <row r="125" spans="1:8" ht="12.75">
      <c r="A125" s="149"/>
      <c r="B125" s="150" t="s">
        <v>76</v>
      </c>
      <c r="C125" s="210">
        <f>$C$85</f>
        <v>0.95</v>
      </c>
      <c r="D125" s="152"/>
      <c r="E125" s="19"/>
      <c r="F125" s="153"/>
      <c r="G125" s="154"/>
      <c r="H125" s="97"/>
    </row>
    <row r="128" spans="1:9" ht="39" thickBot="1">
      <c r="A128" s="106" t="s">
        <v>57</v>
      </c>
      <c r="B128" s="107" t="s">
        <v>58</v>
      </c>
      <c r="C128" s="107" t="s">
        <v>59</v>
      </c>
      <c r="D128" s="107" t="s">
        <v>60</v>
      </c>
      <c r="E128" s="108" t="s">
        <v>62</v>
      </c>
      <c r="F128" s="108" t="s">
        <v>63</v>
      </c>
      <c r="G128" s="108" t="s">
        <v>64</v>
      </c>
      <c r="H128" s="389" t="s">
        <v>65</v>
      </c>
      <c r="I128" s="389"/>
    </row>
    <row r="129" spans="1:9" ht="12.75">
      <c r="A129" s="110" t="s">
        <v>66</v>
      </c>
      <c r="B129" s="111">
        <f>G$61</f>
        <v>-1.9889835065658943</v>
      </c>
      <c r="C129" s="112">
        <v>0</v>
      </c>
      <c r="D129" s="111">
        <f aca="true" t="shared" si="21" ref="D129:D134">B129-C129</f>
        <v>-1.9889835065658943</v>
      </c>
      <c r="E129" s="114"/>
      <c r="F129" s="228">
        <f>2*(NORMSINV($B$74*$G$46)-(10^(D129/10)+1)*NORMSINV($B$73/$G$46))^2/10^(D129/5)</f>
        <v>126.00601060967472</v>
      </c>
      <c r="G129" s="115">
        <f>ROUNDUP(F129,0)/($B$37*1000)</f>
        <v>0.021166666666666667</v>
      </c>
      <c r="H129" s="109"/>
      <c r="I129" s="109"/>
    </row>
    <row r="130" spans="1:9" ht="12.75">
      <c r="A130" s="116" t="s">
        <v>68</v>
      </c>
      <c r="B130" s="117">
        <f>G$61-11.2+10*LOG10(G$37/0.01)</f>
        <v>14.592528997270541</v>
      </c>
      <c r="C130" s="117">
        <f>(4.5-1.3)*NORMSINV($C$85)</f>
        <v>5.263529601506889</v>
      </c>
      <c r="D130" s="117">
        <f t="shared" si="21"/>
        <v>9.328999395763653</v>
      </c>
      <c r="E130" s="240"/>
      <c r="F130" s="241">
        <f>2*(NORMSINV($B$74*$G$46*$C$85)-(10^(D130/10)+1)*NORMSINV($B$73/($G$46*$C$85)))^2/10^(D130/5)</f>
        <v>7.357874363093383</v>
      </c>
      <c r="G130" s="242">
        <f>ROUNDUP(F130,0)/(0.01*1000)</f>
        <v>0.8</v>
      </c>
      <c r="H130" s="236"/>
      <c r="I130" s="71"/>
    </row>
    <row r="131" spans="1:9" ht="12.75">
      <c r="A131" s="116" t="s">
        <v>86</v>
      </c>
      <c r="B131" s="117">
        <f>G$61</f>
        <v>-1.9889835065658943</v>
      </c>
      <c r="C131" s="117">
        <f>(4.5-1.3)*NORMSINV($C$85)</f>
        <v>5.263529601506889</v>
      </c>
      <c r="D131" s="117">
        <f t="shared" si="21"/>
        <v>-7.252513108072783</v>
      </c>
      <c r="E131" s="160">
        <f>10^(-11.2/10)</f>
        <v>0.07585775750291839</v>
      </c>
      <c r="F131" s="241">
        <f>(NORMSINV($B$74*$G$46*$C$85)-SQRT(10^(D131/10)+1)*NORMSINV($B$73/($G$46*$C$85)))^2/(E131*(10^(D131/10)))</f>
        <v>1545.476042192842</v>
      </c>
      <c r="G131" s="242">
        <f>ROUNDUP(F131,0)/($B$37*1000)</f>
        <v>0.25766666666666665</v>
      </c>
      <c r="H131" s="237"/>
      <c r="I131" s="71"/>
    </row>
    <row r="132" spans="1:9" ht="12.75">
      <c r="A132" s="116" t="s">
        <v>100</v>
      </c>
      <c r="B132" s="121">
        <f>G$61</f>
        <v>-1.9889835065658943</v>
      </c>
      <c r="C132" s="71">
        <f>C129</f>
        <v>0</v>
      </c>
      <c r="D132" s="117">
        <f t="shared" si="21"/>
        <v>-1.9889835065658943</v>
      </c>
      <c r="E132" s="122">
        <v>1</v>
      </c>
      <c r="F132" s="229">
        <f>(1/4)*(NORMSINV($B$74*$G$46)-SQRT(10^(D132/10)+1)*NORMSINV($B$73/$G$46))^2/(E132*(10^(D132/10)))</f>
        <v>8.433858529828516</v>
      </c>
      <c r="G132" s="119">
        <f>ROUNDUP(F132,0)*(4/$K$79)/1000</f>
        <v>0.0033450292397660822</v>
      </c>
      <c r="H132" s="123">
        <f>(ROUNDUP(F132,0)*832/$K$79+4/$K$79)/1000</f>
        <v>0.6961377517868745</v>
      </c>
      <c r="I132" s="134" t="s">
        <v>67</v>
      </c>
    </row>
    <row r="133" spans="1:9" ht="12.75">
      <c r="A133" s="116" t="s">
        <v>98</v>
      </c>
      <c r="B133" s="121">
        <f>G$61</f>
        <v>-1.9889835065658943</v>
      </c>
      <c r="C133" s="71">
        <f>C129</f>
        <v>0</v>
      </c>
      <c r="D133" s="117">
        <f t="shared" si="21"/>
        <v>-1.9889835065658943</v>
      </c>
      <c r="E133" s="122">
        <v>1</v>
      </c>
      <c r="F133" s="229">
        <f>(1/511)*(NORMSINV($B$74*$G$46)-SQRT(10^(D133/10)+1)*NORMSINV($B$73/$G$46))^2/(E133*(10^(D133/10)))</f>
        <v>0.06601846207302166</v>
      </c>
      <c r="G133" s="119">
        <f>ROUNDUP(F133,0)*(511/$K$79)/1000</f>
        <v>0.04748083170890189</v>
      </c>
      <c r="H133" s="126">
        <f>(ROUNDUP(F133,0)*(313*832/$K$79)+511/$K$79)/1000</f>
        <v>24.24467901234568</v>
      </c>
      <c r="I133" s="121" t="s">
        <v>67</v>
      </c>
    </row>
    <row r="134" spans="1:9" ht="13.5" thickBot="1">
      <c r="A134" s="143" t="s">
        <v>99</v>
      </c>
      <c r="B134" s="146">
        <f>G$61</f>
        <v>-1.9889835065658943</v>
      </c>
      <c r="C134" s="182">
        <f>C129</f>
        <v>0</v>
      </c>
      <c r="D134" s="146">
        <f t="shared" si="21"/>
        <v>-1.9889835065658943</v>
      </c>
      <c r="E134" s="147">
        <v>1</v>
      </c>
      <c r="F134" s="233">
        <f>(1/(3*63))*(NORMSINV($B$74*$G$46)-SQRT(10^(D134/10)+1)*NORMSINV($B$73/$G$46))^2/(E134*(10^(D134/10)))</f>
        <v>0.17849436041965114</v>
      </c>
      <c r="G134" s="148">
        <f>ROUNDUP(F134,0)*(3*63/$K$79)/1000</f>
        <v>0.01756140350877193</v>
      </c>
      <c r="H134" s="266">
        <f>(ROUNDUP(F134,0)*(313*832/$K$79)+3*63/$K$79)/1000</f>
        <v>24.21475958414555</v>
      </c>
      <c r="I134" s="144" t="s">
        <v>67</v>
      </c>
    </row>
    <row r="135" spans="1:8" ht="12.75">
      <c r="A135" s="149"/>
      <c r="B135" s="150" t="s">
        <v>76</v>
      </c>
      <c r="C135" s="210">
        <f>$C$85</f>
        <v>0.95</v>
      </c>
      <c r="D135" s="152"/>
      <c r="E135" s="19"/>
      <c r="F135" s="153"/>
      <c r="G135" s="154"/>
      <c r="H135" s="97"/>
    </row>
    <row r="136" ht="12.75">
      <c r="F136" s="223"/>
    </row>
    <row r="138" spans="1:9" ht="39" thickBot="1">
      <c r="A138" s="106" t="s">
        <v>57</v>
      </c>
      <c r="B138" s="107" t="s">
        <v>58</v>
      </c>
      <c r="C138" s="107" t="s">
        <v>59</v>
      </c>
      <c r="D138" s="107" t="s">
        <v>60</v>
      </c>
      <c r="E138" s="108" t="s">
        <v>62</v>
      </c>
      <c r="F138" s="108" t="s">
        <v>63</v>
      </c>
      <c r="G138" s="108" t="s">
        <v>64</v>
      </c>
      <c r="H138" s="389" t="s">
        <v>65</v>
      </c>
      <c r="I138" s="389"/>
    </row>
    <row r="139" spans="1:9" ht="12.75">
      <c r="A139" s="110" t="s">
        <v>66</v>
      </c>
      <c r="B139" s="111">
        <f>H$61</f>
        <v>1.7210164934341137</v>
      </c>
      <c r="C139" s="112">
        <v>0</v>
      </c>
      <c r="D139" s="111">
        <f aca="true" t="shared" si="22" ref="D139:D144">B139-C139</f>
        <v>1.7210164934341137</v>
      </c>
      <c r="E139" s="114"/>
      <c r="F139" s="228" t="e">
        <f>2*(NORMSINV($B$74*$H$46)-(10^(D139/10)+1)*NORMSINV($B$73/$H$46))^2/10^(D139/5)</f>
        <v>#NUM!</v>
      </c>
      <c r="G139" s="115" t="e">
        <f>ROUNDUP(F139,0)/($B$37*1000)</f>
        <v>#NUM!</v>
      </c>
      <c r="H139" s="109"/>
      <c r="I139" s="109"/>
    </row>
    <row r="140" spans="1:9" ht="12.75">
      <c r="A140" s="116" t="s">
        <v>68</v>
      </c>
      <c r="B140" s="117">
        <f>H$61-11.2+10*LOG10(H$37/0.01)</f>
        <v>18.30252899727055</v>
      </c>
      <c r="C140" s="117">
        <f>(4.5-1.3)*NORMSINV($C$85)</f>
        <v>5.263529601506889</v>
      </c>
      <c r="D140" s="117">
        <f t="shared" si="22"/>
        <v>13.03899939576366</v>
      </c>
      <c r="E140" s="240"/>
      <c r="F140" s="241" t="e">
        <f>2*(NORMSINV($B$74*$H$46*$C$85)-(10^(D140/10)+1)*NORMSINV($B$73/($H$46*$C$85)))^2/10^(D140/5)</f>
        <v>#NUM!</v>
      </c>
      <c r="G140" s="242" t="e">
        <f>ROUNDUP(F140,0)/(0.01*1000)</f>
        <v>#NUM!</v>
      </c>
      <c r="H140" s="236"/>
      <c r="I140" s="71"/>
    </row>
    <row r="141" spans="1:9" ht="12.75">
      <c r="A141" s="116" t="s">
        <v>86</v>
      </c>
      <c r="B141" s="117">
        <f>H$61</f>
        <v>1.7210164934341137</v>
      </c>
      <c r="C141" s="117">
        <f>(4.5-1.3)*NORMSINV($C$85)</f>
        <v>5.263529601506889</v>
      </c>
      <c r="D141" s="117">
        <f t="shared" si="22"/>
        <v>-3.542513108072775</v>
      </c>
      <c r="E141" s="160">
        <f>10^(-11.2/10)</f>
        <v>0.07585775750291839</v>
      </c>
      <c r="F141" s="241" t="e">
        <f>(NORMSINV($B$74*$H$46*$C$85)-SQRT(10^(D141/10)+1)*NORMSINV($B$73/($H$46*$C$85)))^2/(E141*(10^(D141/10)))</f>
        <v>#NUM!</v>
      </c>
      <c r="G141" s="242" t="e">
        <f>ROUNDUP(F141,0)/($B$37*1000)</f>
        <v>#NUM!</v>
      </c>
      <c r="H141" s="237"/>
      <c r="I141" s="71"/>
    </row>
    <row r="142" spans="1:9" ht="12.75">
      <c r="A142" s="116" t="s">
        <v>100</v>
      </c>
      <c r="B142" s="121">
        <f>H$61</f>
        <v>1.7210164934341137</v>
      </c>
      <c r="C142" s="71">
        <f>C139</f>
        <v>0</v>
      </c>
      <c r="D142" s="117">
        <f t="shared" si="22"/>
        <v>1.7210164934341137</v>
      </c>
      <c r="E142" s="122">
        <v>1</v>
      </c>
      <c r="F142" s="229" t="e">
        <f>(1/4)*(NORMSINV($B$74*$H$46)-SQRT(10^(D142/10)+1)*NORMSINV($B$73/$H$46))^2/(E142*(10^(D142/10)))</f>
        <v>#NUM!</v>
      </c>
      <c r="G142" s="119" t="e">
        <f>ROUNDUP(F142,0)*(4/$K$79)/1000</f>
        <v>#NUM!</v>
      </c>
      <c r="H142" s="123" t="e">
        <f>(ROUNDUP(F142,0)*832/$K$79+4/$K$79)/1000</f>
        <v>#NUM!</v>
      </c>
      <c r="I142" s="134" t="s">
        <v>67</v>
      </c>
    </row>
    <row r="143" spans="1:9" ht="12.75">
      <c r="A143" s="116" t="s">
        <v>98</v>
      </c>
      <c r="B143" s="121">
        <f>H$61</f>
        <v>1.7210164934341137</v>
      </c>
      <c r="C143" s="71">
        <f>C139</f>
        <v>0</v>
      </c>
      <c r="D143" s="117">
        <f t="shared" si="22"/>
        <v>1.7210164934341137</v>
      </c>
      <c r="E143" s="122">
        <v>1</v>
      </c>
      <c r="F143" s="229" t="e">
        <f>(1/511)*(NORMSINV($B$74*$H$46)-SQRT(10^(D143/10)+1)*NORMSINV($B$73/$H$46))^2/(E143*(10^(D143/10)))</f>
        <v>#NUM!</v>
      </c>
      <c r="G143" s="119" t="e">
        <f>ROUNDUP(F143,0)*(511/$K$79)/1000</f>
        <v>#NUM!</v>
      </c>
      <c r="H143" s="126" t="e">
        <f>(ROUNDUP(F143,0)*(313*832/$K$79)+511/$K$79)/1000</f>
        <v>#NUM!</v>
      </c>
      <c r="I143" s="121" t="s">
        <v>67</v>
      </c>
    </row>
    <row r="144" spans="1:9" ht="13.5" thickBot="1">
      <c r="A144" s="143" t="s">
        <v>99</v>
      </c>
      <c r="B144" s="146">
        <f>H$61</f>
        <v>1.7210164934341137</v>
      </c>
      <c r="C144" s="182">
        <f>C139</f>
        <v>0</v>
      </c>
      <c r="D144" s="146">
        <f t="shared" si="22"/>
        <v>1.7210164934341137</v>
      </c>
      <c r="E144" s="147">
        <v>1</v>
      </c>
      <c r="F144" s="233" t="e">
        <f>(1/(3*63))*(NORMSINV($B$74*$H$46)-SQRT(10^(D144/10)+1)*NORMSINV($B$73/$H$46))^2/(E144*(10^(D144/10)))</f>
        <v>#NUM!</v>
      </c>
      <c r="G144" s="148" t="e">
        <f>ROUNDUP(F144,0)*(3*63/$K$79)/1000</f>
        <v>#NUM!</v>
      </c>
      <c r="H144" s="266" t="e">
        <f>(ROUNDUP(F144,0)*(313*832/$K$79)+3*63/$K$79)/1000</f>
        <v>#NUM!</v>
      </c>
      <c r="I144" s="144" t="s">
        <v>67</v>
      </c>
    </row>
    <row r="145" spans="1:8" ht="12.75">
      <c r="A145" s="149"/>
      <c r="B145" s="150" t="s">
        <v>76</v>
      </c>
      <c r="C145" s="210">
        <f>$C$85</f>
        <v>0.95</v>
      </c>
      <c r="D145" s="152"/>
      <c r="E145" s="19"/>
      <c r="F145" s="153"/>
      <c r="G145" s="154"/>
      <c r="H145" s="97"/>
    </row>
    <row r="148" spans="5:7" ht="12.75">
      <c r="E148" s="332">
        <f>$B$73</f>
        <v>0.6534275784224267</v>
      </c>
      <c r="G148" s="330">
        <f>$H$46</f>
        <v>0.5002048498664098</v>
      </c>
    </row>
    <row r="149" ht="12.75">
      <c r="F149" s="331">
        <f>$B$73/$H$46</f>
        <v>1.306319957907122</v>
      </c>
    </row>
  </sheetData>
  <mergeCells count="17">
    <mergeCell ref="H98:I98"/>
    <mergeCell ref="B35:H35"/>
    <mergeCell ref="A77:E77"/>
    <mergeCell ref="B68:D68"/>
    <mergeCell ref="B72:D72"/>
    <mergeCell ref="H78:I78"/>
    <mergeCell ref="H88:I88"/>
    <mergeCell ref="A1:J1"/>
    <mergeCell ref="H138:I138"/>
    <mergeCell ref="A3:H3"/>
    <mergeCell ref="I5:J5"/>
    <mergeCell ref="I22:J22"/>
    <mergeCell ref="A20:H20"/>
    <mergeCell ref="H108:I108"/>
    <mergeCell ref="H118:I118"/>
    <mergeCell ref="H128:I128"/>
    <mergeCell ref="B48:H4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J64"/>
  <sheetViews>
    <sheetView zoomScale="75" zoomScaleNormal="75" workbookViewId="0" topLeftCell="A1">
      <selection activeCell="J2" sqref="J2"/>
    </sheetView>
  </sheetViews>
  <sheetFormatPr defaultColWidth="9.140625" defaultRowHeight="12.75"/>
  <cols>
    <col min="1" max="1" width="32.7109375" style="0" customWidth="1"/>
    <col min="2" max="2" width="10.57421875" style="0" bestFit="1" customWidth="1"/>
    <col min="3" max="9" width="9.28125" style="0" bestFit="1" customWidth="1"/>
  </cols>
  <sheetData>
    <row r="1" spans="1:10" ht="38.25" customHeight="1">
      <c r="A1" s="405" t="s">
        <v>129</v>
      </c>
      <c r="B1" s="405"/>
      <c r="C1" s="405"/>
      <c r="D1" s="405"/>
      <c r="E1" s="405"/>
      <c r="F1" s="405"/>
      <c r="G1" s="405"/>
      <c r="H1" s="405"/>
      <c r="I1" s="405"/>
      <c r="J1" s="405"/>
    </row>
    <row r="3" ht="13.5" thickBot="1"/>
    <row r="4" spans="1:9" ht="12.75">
      <c r="A4" s="377" t="s">
        <v>131</v>
      </c>
      <c r="B4" s="346">
        <v>1</v>
      </c>
      <c r="C4" s="346">
        <v>2</v>
      </c>
      <c r="D4" s="346">
        <v>3</v>
      </c>
      <c r="E4" s="346">
        <v>4</v>
      </c>
      <c r="F4" s="346">
        <v>5</v>
      </c>
      <c r="G4" s="346">
        <v>6</v>
      </c>
      <c r="H4" s="346">
        <v>7</v>
      </c>
      <c r="I4" s="347">
        <v>8</v>
      </c>
    </row>
    <row r="5" spans="1:9" ht="12.75">
      <c r="A5" s="422" t="s">
        <v>130</v>
      </c>
      <c r="B5" s="357">
        <v>0.99</v>
      </c>
      <c r="C5" s="340">
        <f>1-(1-$B5)^(1/C$4)</f>
        <v>0.8999999999999999</v>
      </c>
      <c r="D5" s="340">
        <f aca="true" t="shared" si="0" ref="D5:I8">1-(1-$B5)^(1/D$4)</f>
        <v>0.7845565309968116</v>
      </c>
      <c r="E5" s="340">
        <f t="shared" si="0"/>
        <v>0.683772233983162</v>
      </c>
      <c r="F5" s="340">
        <f t="shared" si="0"/>
        <v>0.6018928294465027</v>
      </c>
      <c r="G5" s="340">
        <f t="shared" si="0"/>
        <v>0.535841116638722</v>
      </c>
      <c r="H5" s="340">
        <f t="shared" si="0"/>
        <v>0.4820525320768788</v>
      </c>
      <c r="I5" s="341">
        <f t="shared" si="0"/>
        <v>0.4376586748096509</v>
      </c>
    </row>
    <row r="6" spans="1:9" ht="12.75">
      <c r="A6" s="423"/>
      <c r="B6" s="340">
        <v>0.999</v>
      </c>
      <c r="C6" s="360">
        <f>1-(1-$B6)^(1/C$4)</f>
        <v>0.9683772233983162</v>
      </c>
      <c r="D6" s="340">
        <f t="shared" si="0"/>
        <v>0.8999999999999999</v>
      </c>
      <c r="E6" s="340">
        <f t="shared" si="0"/>
        <v>0.8221720589961077</v>
      </c>
      <c r="F6" s="340">
        <f t="shared" si="0"/>
        <v>0.748811356849042</v>
      </c>
      <c r="G6" s="340">
        <f t="shared" si="0"/>
        <v>0.683772233983162</v>
      </c>
      <c r="H6" s="340">
        <f t="shared" si="0"/>
        <v>0.6272406279685059</v>
      </c>
      <c r="I6" s="341">
        <f t="shared" si="0"/>
        <v>0.5783034965714178</v>
      </c>
    </row>
    <row r="7" spans="1:9" ht="12.75">
      <c r="A7" s="423"/>
      <c r="B7" s="360">
        <v>0.9999</v>
      </c>
      <c r="C7" s="360">
        <f>1-(1-$B7)^(1/C$4)</f>
        <v>0.9900000000000005</v>
      </c>
      <c r="D7" s="360">
        <f t="shared" si="0"/>
        <v>0.9535841116638739</v>
      </c>
      <c r="E7" s="340">
        <f t="shared" si="0"/>
        <v>0.9000000000000028</v>
      </c>
      <c r="F7" s="340">
        <f t="shared" si="0"/>
        <v>0.8415106807538921</v>
      </c>
      <c r="G7" s="340">
        <f t="shared" si="0"/>
        <v>0.7845565309968155</v>
      </c>
      <c r="H7" s="340">
        <f t="shared" si="0"/>
        <v>0.7317304204720316</v>
      </c>
      <c r="I7" s="341">
        <f t="shared" si="0"/>
        <v>0.6837722339831664</v>
      </c>
    </row>
    <row r="8" spans="1:9" ht="13.5" thickBot="1">
      <c r="A8" s="424"/>
      <c r="B8" s="374">
        <v>0.99999</v>
      </c>
      <c r="C8" s="374">
        <f>1-(1-$B8)^(1/C$4)</f>
        <v>0.9968377223398388</v>
      </c>
      <c r="D8" s="385">
        <f t="shared" si="0"/>
        <v>0.9784556530997138</v>
      </c>
      <c r="E8" s="385">
        <f t="shared" si="0"/>
        <v>0.9437658674810291</v>
      </c>
      <c r="F8" s="375">
        <f t="shared" si="0"/>
        <v>0.9000000000000911</v>
      </c>
      <c r="G8" s="375">
        <f t="shared" si="0"/>
        <v>0.8532200732379044</v>
      </c>
      <c r="H8" s="375">
        <f t="shared" si="0"/>
        <v>0.8069302271118005</v>
      </c>
      <c r="I8" s="376">
        <f t="shared" si="0"/>
        <v>0.7628626294339693</v>
      </c>
    </row>
    <row r="11" spans="1:4" ht="12.75">
      <c r="A11" s="363" t="s">
        <v>118</v>
      </c>
      <c r="B11" s="364">
        <v>0.99</v>
      </c>
      <c r="C11" s="351"/>
      <c r="D11" s="359"/>
    </row>
    <row r="12" spans="1:4" ht="12.75">
      <c r="A12" s="352" t="s">
        <v>123</v>
      </c>
      <c r="B12" s="360">
        <f>1-(1-B11)*B14</f>
        <v>0.991</v>
      </c>
      <c r="C12" s="353"/>
      <c r="D12" s="359"/>
    </row>
    <row r="13" spans="1:3" ht="12.75">
      <c r="A13" s="352" t="s">
        <v>120</v>
      </c>
      <c r="B13" s="358">
        <v>41</v>
      </c>
      <c r="C13" s="353" t="s">
        <v>41</v>
      </c>
    </row>
    <row r="14" spans="1:3" ht="12.75">
      <c r="A14" s="352" t="s">
        <v>121</v>
      </c>
      <c r="B14" s="357">
        <v>0.9</v>
      </c>
      <c r="C14" s="353"/>
    </row>
    <row r="15" spans="1:3" ht="12.75">
      <c r="A15" s="352" t="s">
        <v>122</v>
      </c>
      <c r="B15" s="357">
        <v>0.5</v>
      </c>
      <c r="C15" s="353"/>
    </row>
    <row r="16" spans="1:3" ht="12.75">
      <c r="A16" s="354" t="s">
        <v>119</v>
      </c>
      <c r="B16" s="355">
        <v>5.5</v>
      </c>
      <c r="C16" s="356" t="s">
        <v>20</v>
      </c>
    </row>
    <row r="17" ht="13.5" thickBot="1">
      <c r="B17" s="339"/>
    </row>
    <row r="18" spans="1:9" ht="12.75">
      <c r="A18" s="348" t="s">
        <v>92</v>
      </c>
      <c r="B18" s="346">
        <v>1</v>
      </c>
      <c r="C18" s="346">
        <v>2</v>
      </c>
      <c r="D18" s="346">
        <v>3</v>
      </c>
      <c r="E18" s="346">
        <v>4</v>
      </c>
      <c r="F18" s="346">
        <v>5</v>
      </c>
      <c r="G18" s="346">
        <v>6</v>
      </c>
      <c r="H18" s="346">
        <v>7</v>
      </c>
      <c r="I18" s="347">
        <v>8</v>
      </c>
    </row>
    <row r="19" spans="1:9" ht="12.75">
      <c r="A19" s="349" t="s">
        <v>123</v>
      </c>
      <c r="B19" s="340">
        <f>1-(1-$B12)^(1/B$18)</f>
        <v>0.991</v>
      </c>
      <c r="C19" s="340">
        <f aca="true" t="shared" si="1" ref="C19:I19">1-(1-$B12)^(1/C$18)</f>
        <v>0.9051316701949486</v>
      </c>
      <c r="D19" s="340">
        <f t="shared" si="1"/>
        <v>0.7919916176948095</v>
      </c>
      <c r="E19" s="340">
        <f t="shared" si="1"/>
        <v>0.6919929711758976</v>
      </c>
      <c r="F19" s="340">
        <f t="shared" si="1"/>
        <v>0.610194015908381</v>
      </c>
      <c r="G19" s="340">
        <f t="shared" si="1"/>
        <v>0.5439206403429437</v>
      </c>
      <c r="H19" s="340">
        <f t="shared" si="1"/>
        <v>0.48979004289247674</v>
      </c>
      <c r="I19" s="341">
        <f t="shared" si="1"/>
        <v>0.4450161904847112</v>
      </c>
    </row>
    <row r="20" spans="1:9" ht="27.75" customHeight="1">
      <c r="A20" s="349" t="s">
        <v>124</v>
      </c>
      <c r="B20" s="342">
        <f>$B16*NORMSINV(B19)</f>
        <v>13.01087650062982</v>
      </c>
      <c r="C20" s="342">
        <f aca="true" t="shared" si="2" ref="C20:I20">$B16*NORMSINV(C19)</f>
        <v>7.21247715773643</v>
      </c>
      <c r="D20" s="342">
        <f t="shared" si="2"/>
        <v>4.473429839890741</v>
      </c>
      <c r="E20" s="342">
        <f t="shared" si="2"/>
        <v>2.7582871098275064</v>
      </c>
      <c r="F20" s="342">
        <f t="shared" si="2"/>
        <v>1.5390332919196226</v>
      </c>
      <c r="G20" s="342">
        <f t="shared" si="2"/>
        <v>0.6067381264074356</v>
      </c>
      <c r="H20" s="342">
        <f t="shared" si="2"/>
        <v>-0.14077500054554548</v>
      </c>
      <c r="I20" s="343">
        <f t="shared" si="2"/>
        <v>-0.7604501206515124</v>
      </c>
    </row>
    <row r="21" spans="1:9" ht="27" customHeight="1">
      <c r="A21" s="349" t="s">
        <v>125</v>
      </c>
      <c r="B21" s="342">
        <f>$B13-B20</f>
        <v>27.98912349937018</v>
      </c>
      <c r="C21" s="342">
        <f aca="true" t="shared" si="3" ref="C21:I21">$B13-C20</f>
        <v>33.78752284226357</v>
      </c>
      <c r="D21" s="342">
        <f t="shared" si="3"/>
        <v>36.52657016010926</v>
      </c>
      <c r="E21" s="342">
        <f t="shared" si="3"/>
        <v>38.241712890172494</v>
      </c>
      <c r="F21" s="342">
        <f t="shared" si="3"/>
        <v>39.46096670808038</v>
      </c>
      <c r="G21" s="342">
        <f t="shared" si="3"/>
        <v>40.393261873592564</v>
      </c>
      <c r="H21" s="342">
        <f t="shared" si="3"/>
        <v>41.140775000545545</v>
      </c>
      <c r="I21" s="343">
        <f t="shared" si="3"/>
        <v>41.76045012065151</v>
      </c>
    </row>
    <row r="22" spans="1:9" ht="27" customHeight="1" thickBot="1">
      <c r="A22" s="350" t="s">
        <v>126</v>
      </c>
      <c r="B22" s="344">
        <f>B21-'Sensing time'!$B$10+'Sensing time'!$B$5</f>
        <v>-105.06625332712238</v>
      </c>
      <c r="C22" s="344">
        <f>C21-'Sensing time'!$B$10+'Sensing time'!$B$5</f>
        <v>-99.26785398422899</v>
      </c>
      <c r="D22" s="344">
        <f>D21-'Sensing time'!$B$10+'Sensing time'!$B$5</f>
        <v>-96.5288066663833</v>
      </c>
      <c r="E22" s="344">
        <f>E21-'Sensing time'!$B$10+'Sensing time'!$B$5</f>
        <v>-94.81366393632007</v>
      </c>
      <c r="F22" s="344">
        <f>F21-'Sensing time'!$B$10+'Sensing time'!$B$5</f>
        <v>-93.59441011841218</v>
      </c>
      <c r="G22" s="344">
        <f>G21-'Sensing time'!$B$10+'Sensing time'!$B$5</f>
        <v>-92.6621149529</v>
      </c>
      <c r="H22" s="344">
        <f>H21-'Sensing time'!$B$10+'Sensing time'!$B$5</f>
        <v>-91.91460182594702</v>
      </c>
      <c r="I22" s="345">
        <f>I21-'Sensing time'!$B$10+'Sensing time'!$B$5</f>
        <v>-91.29492670584105</v>
      </c>
    </row>
    <row r="25" spans="1:4" ht="12.75">
      <c r="A25" s="363" t="s">
        <v>118</v>
      </c>
      <c r="B25" s="364">
        <v>0.999</v>
      </c>
      <c r="C25" s="351"/>
      <c r="D25" s="359"/>
    </row>
    <row r="26" spans="1:4" ht="12.75">
      <c r="A26" s="352" t="s">
        <v>123</v>
      </c>
      <c r="B26" s="360">
        <f>1-(1-B25)*B28</f>
        <v>0.9991</v>
      </c>
      <c r="C26" s="353"/>
      <c r="D26" s="359"/>
    </row>
    <row r="27" spans="1:3" ht="12.75">
      <c r="A27" s="352" t="s">
        <v>120</v>
      </c>
      <c r="B27" s="358">
        <v>41</v>
      </c>
      <c r="C27" s="353" t="s">
        <v>41</v>
      </c>
    </row>
    <row r="28" spans="1:3" ht="12.75">
      <c r="A28" s="352" t="s">
        <v>121</v>
      </c>
      <c r="B28" s="357">
        <v>0.9</v>
      </c>
      <c r="C28" s="353"/>
    </row>
    <row r="29" spans="1:3" ht="12.75">
      <c r="A29" s="352" t="s">
        <v>122</v>
      </c>
      <c r="B29" s="357">
        <v>0.5</v>
      </c>
      <c r="C29" s="353"/>
    </row>
    <row r="30" spans="1:3" ht="12.75">
      <c r="A30" s="354" t="s">
        <v>119</v>
      </c>
      <c r="B30" s="355">
        <v>5.5</v>
      </c>
      <c r="C30" s="356" t="s">
        <v>20</v>
      </c>
    </row>
    <row r="31" ht="13.5" thickBot="1">
      <c r="B31" s="339"/>
    </row>
    <row r="32" spans="1:9" ht="12.75">
      <c r="A32" s="348" t="s">
        <v>92</v>
      </c>
      <c r="B32" s="346">
        <v>1</v>
      </c>
      <c r="C32" s="346">
        <v>2</v>
      </c>
      <c r="D32" s="346">
        <v>3</v>
      </c>
      <c r="E32" s="346">
        <v>4</v>
      </c>
      <c r="F32" s="346">
        <v>5</v>
      </c>
      <c r="G32" s="346">
        <v>6</v>
      </c>
      <c r="H32" s="346">
        <v>7</v>
      </c>
      <c r="I32" s="347">
        <v>8</v>
      </c>
    </row>
    <row r="33" spans="1:9" ht="12.75">
      <c r="A33" s="349" t="s">
        <v>123</v>
      </c>
      <c r="B33" s="360">
        <f>1-(1-$B26)^(1/B$18)</f>
        <v>0.9991</v>
      </c>
      <c r="C33" s="360">
        <f aca="true" t="shared" si="4" ref="C33:I33">1-(1-$B26)^(1/C$18)</f>
        <v>0.9699999999999998</v>
      </c>
      <c r="D33" s="360">
        <f t="shared" si="4"/>
        <v>0.9034510615394367</v>
      </c>
      <c r="E33" s="360">
        <f t="shared" si="4"/>
        <v>0.8267949192431117</v>
      </c>
      <c r="F33" s="360">
        <f t="shared" si="4"/>
        <v>0.7540490514150631</v>
      </c>
      <c r="G33" s="360">
        <f t="shared" si="4"/>
        <v>0.6892767494046135</v>
      </c>
      <c r="H33" s="360">
        <f t="shared" si="4"/>
        <v>0.6328092036471826</v>
      </c>
      <c r="I33" s="361">
        <f t="shared" si="4"/>
        <v>0.5838208549712176</v>
      </c>
    </row>
    <row r="34" spans="1:9" ht="27" customHeight="1">
      <c r="A34" s="349" t="s">
        <v>124</v>
      </c>
      <c r="B34" s="342">
        <f>$B30*NORMSINV(B33)</f>
        <v>17.167621990665793</v>
      </c>
      <c r="C34" s="342">
        <f aca="true" t="shared" si="5" ref="C34:I34">$B30*NORMSINV(C33)</f>
        <v>10.344342626922298</v>
      </c>
      <c r="D34" s="342">
        <f t="shared" si="5"/>
        <v>7.158078005886637</v>
      </c>
      <c r="E34" s="342">
        <f t="shared" si="5"/>
        <v>5.178661695026676</v>
      </c>
      <c r="F34" s="342">
        <f t="shared" si="5"/>
        <v>3.7800782592967153</v>
      </c>
      <c r="G34" s="342">
        <f t="shared" si="5"/>
        <v>2.715905793593265</v>
      </c>
      <c r="H34" s="342">
        <f t="shared" si="5"/>
        <v>1.8661660305951955</v>
      </c>
      <c r="I34" s="343">
        <f t="shared" si="5"/>
        <v>1.1642293884506216</v>
      </c>
    </row>
    <row r="35" spans="1:9" ht="25.5">
      <c r="A35" s="349" t="s">
        <v>125</v>
      </c>
      <c r="B35" s="342">
        <f>$B27-B34</f>
        <v>23.832378009334207</v>
      </c>
      <c r="C35" s="342">
        <f aca="true" t="shared" si="6" ref="C35:I35">$B27-C34</f>
        <v>30.655657373077702</v>
      </c>
      <c r="D35" s="342">
        <f t="shared" si="6"/>
        <v>33.84192199411336</v>
      </c>
      <c r="E35" s="342">
        <f t="shared" si="6"/>
        <v>35.821338304973324</v>
      </c>
      <c r="F35" s="342">
        <f t="shared" si="6"/>
        <v>37.219921740703285</v>
      </c>
      <c r="G35" s="342">
        <f t="shared" si="6"/>
        <v>38.284094206406735</v>
      </c>
      <c r="H35" s="342">
        <f t="shared" si="6"/>
        <v>39.133833969404805</v>
      </c>
      <c r="I35" s="343">
        <f t="shared" si="6"/>
        <v>39.83577061154938</v>
      </c>
    </row>
    <row r="36" spans="1:9" ht="26.25" thickBot="1">
      <c r="A36" s="350" t="s">
        <v>126</v>
      </c>
      <c r="B36" s="344">
        <f>B35-'Sensing time'!$B$10+'Sensing time'!$B$5</f>
        <v>-109.22299881715836</v>
      </c>
      <c r="C36" s="344">
        <f>C35-'Sensing time'!$B$10+'Sensing time'!$B$5</f>
        <v>-102.39971945341486</v>
      </c>
      <c r="D36" s="344">
        <f>D35-'Sensing time'!$B$10+'Sensing time'!$B$5</f>
        <v>-99.2134548323792</v>
      </c>
      <c r="E36" s="344">
        <f>E35-'Sensing time'!$B$10+'Sensing time'!$B$5</f>
        <v>-97.23403852151924</v>
      </c>
      <c r="F36" s="344">
        <f>F35-'Sensing time'!$B$10+'Sensing time'!$B$5</f>
        <v>-95.83545508578928</v>
      </c>
      <c r="G36" s="344">
        <f>G35-'Sensing time'!$B$10+'Sensing time'!$B$5</f>
        <v>-94.77128262008583</v>
      </c>
      <c r="H36" s="344">
        <f>H35-'Sensing time'!$B$10+'Sensing time'!$B$5</f>
        <v>-93.92154285708776</v>
      </c>
      <c r="I36" s="345">
        <f>I35-'Sensing time'!$B$10+'Sensing time'!$B$5</f>
        <v>-93.21960621494318</v>
      </c>
    </row>
    <row r="39" spans="1:4" ht="12.75">
      <c r="A39" s="363" t="s">
        <v>118</v>
      </c>
      <c r="B39" s="365">
        <v>0.9999</v>
      </c>
      <c r="C39" s="351"/>
      <c r="D39" s="359"/>
    </row>
    <row r="40" spans="1:4" ht="12.75">
      <c r="A40" s="352" t="s">
        <v>123</v>
      </c>
      <c r="B40" s="362">
        <f>1-(1-B39)*B42</f>
        <v>0.99991</v>
      </c>
      <c r="C40" s="353"/>
      <c r="D40" s="359"/>
    </row>
    <row r="41" spans="1:3" ht="12.75">
      <c r="A41" s="352" t="s">
        <v>120</v>
      </c>
      <c r="B41" s="358">
        <v>41</v>
      </c>
      <c r="C41" s="353" t="s">
        <v>41</v>
      </c>
    </row>
    <row r="42" spans="1:3" ht="12.75">
      <c r="A42" s="352" t="s">
        <v>121</v>
      </c>
      <c r="B42" s="357">
        <v>0.9</v>
      </c>
      <c r="C42" s="353"/>
    </row>
    <row r="43" spans="1:3" ht="12.75">
      <c r="A43" s="352" t="s">
        <v>122</v>
      </c>
      <c r="B43" s="357">
        <v>0.5</v>
      </c>
      <c r="C43" s="353"/>
    </row>
    <row r="44" spans="1:3" ht="12.75">
      <c r="A44" s="354" t="s">
        <v>119</v>
      </c>
      <c r="B44" s="355">
        <v>5.5</v>
      </c>
      <c r="C44" s="356" t="s">
        <v>20</v>
      </c>
    </row>
    <row r="45" ht="13.5" thickBot="1">
      <c r="B45" s="339"/>
    </row>
    <row r="46" spans="1:9" ht="12.75">
      <c r="A46" s="348" t="s">
        <v>92</v>
      </c>
      <c r="B46" s="346">
        <v>1</v>
      </c>
      <c r="C46" s="346">
        <v>2</v>
      </c>
      <c r="D46" s="346">
        <v>3</v>
      </c>
      <c r="E46" s="346">
        <v>4</v>
      </c>
      <c r="F46" s="346">
        <v>5</v>
      </c>
      <c r="G46" s="346">
        <v>6</v>
      </c>
      <c r="H46" s="346">
        <v>7</v>
      </c>
      <c r="I46" s="347">
        <v>8</v>
      </c>
    </row>
    <row r="47" spans="1:9" ht="12.75">
      <c r="A47" s="349" t="s">
        <v>123</v>
      </c>
      <c r="B47" s="360">
        <f>1-(1-$B40)^(1/B$18)</f>
        <v>0.99991</v>
      </c>
      <c r="C47" s="360">
        <f aca="true" t="shared" si="7" ref="C47:I47">1-(1-$B40)^(1/C$18)</f>
        <v>0.990513167019493</v>
      </c>
      <c r="D47" s="360">
        <f t="shared" si="7"/>
        <v>0.9551859525344226</v>
      </c>
      <c r="E47" s="360">
        <f t="shared" si="7"/>
        <v>0.902599625357461</v>
      </c>
      <c r="F47" s="360">
        <f t="shared" si="7"/>
        <v>0.8448154426084521</v>
      </c>
      <c r="G47" s="360">
        <f t="shared" si="7"/>
        <v>0.7883067136974405</v>
      </c>
      <c r="H47" s="360">
        <f t="shared" si="7"/>
        <v>0.7357380446069797</v>
      </c>
      <c r="I47" s="361">
        <f t="shared" si="7"/>
        <v>0.6879096690979694</v>
      </c>
    </row>
    <row r="48" spans="1:9" ht="27" customHeight="1">
      <c r="A48" s="349" t="s">
        <v>124</v>
      </c>
      <c r="B48" s="342">
        <f aca="true" t="shared" si="8" ref="B48:I48">$B44*NORMSINV(B47)</f>
        <v>20.604347810149193</v>
      </c>
      <c r="C48" s="342">
        <f t="shared" si="8"/>
        <v>12.903228707727976</v>
      </c>
      <c r="D48" s="342">
        <f t="shared" si="8"/>
        <v>9.335494723927695</v>
      </c>
      <c r="E48" s="342">
        <f t="shared" si="8"/>
        <v>7.130790891096694</v>
      </c>
      <c r="F48" s="342">
        <f t="shared" si="8"/>
        <v>5.5794646414142335</v>
      </c>
      <c r="G48" s="342">
        <f t="shared" si="8"/>
        <v>4.403079856274417</v>
      </c>
      <c r="H48" s="342">
        <f t="shared" si="8"/>
        <v>3.4664327586142463</v>
      </c>
      <c r="I48" s="343">
        <f t="shared" si="8"/>
        <v>2.6946338493871735</v>
      </c>
    </row>
    <row r="49" spans="1:9" ht="25.5">
      <c r="A49" s="349" t="s">
        <v>125</v>
      </c>
      <c r="B49" s="342">
        <f aca="true" t="shared" si="9" ref="B49:I49">$B41-B48</f>
        <v>20.395652189850807</v>
      </c>
      <c r="C49" s="342">
        <f t="shared" si="9"/>
        <v>28.096771292272024</v>
      </c>
      <c r="D49" s="342">
        <f t="shared" si="9"/>
        <v>31.664505276072305</v>
      </c>
      <c r="E49" s="342">
        <f t="shared" si="9"/>
        <v>33.869209108903306</v>
      </c>
      <c r="F49" s="342">
        <f t="shared" si="9"/>
        <v>35.42053535858577</v>
      </c>
      <c r="G49" s="342">
        <f t="shared" si="9"/>
        <v>36.59692014372558</v>
      </c>
      <c r="H49" s="342">
        <f t="shared" si="9"/>
        <v>37.533567241385754</v>
      </c>
      <c r="I49" s="343">
        <f t="shared" si="9"/>
        <v>38.30536615061283</v>
      </c>
    </row>
    <row r="50" spans="1:9" ht="26.25" thickBot="1">
      <c r="A50" s="350" t="s">
        <v>126</v>
      </c>
      <c r="B50" s="344">
        <f>B49-'Sensing time'!$B$10+'Sensing time'!$B$5</f>
        <v>-112.65972463664176</v>
      </c>
      <c r="C50" s="344">
        <f>C49-'Sensing time'!$B$10+'Sensing time'!$B$5</f>
        <v>-104.95860553422054</v>
      </c>
      <c r="D50" s="344">
        <f>D49-'Sensing time'!$B$10+'Sensing time'!$B$5</f>
        <v>-101.39087155042026</v>
      </c>
      <c r="E50" s="344">
        <f>E49-'Sensing time'!$B$10+'Sensing time'!$B$5</f>
        <v>-99.18616771758926</v>
      </c>
      <c r="F50" s="344">
        <f>F49-'Sensing time'!$B$10+'Sensing time'!$B$5</f>
        <v>-97.6348414679068</v>
      </c>
      <c r="G50" s="344">
        <f>G49-'Sensing time'!$B$10+'Sensing time'!$B$5</f>
        <v>-96.45845668276698</v>
      </c>
      <c r="H50" s="344">
        <f>H49-'Sensing time'!$B$10+'Sensing time'!$B$5</f>
        <v>-95.52180958510681</v>
      </c>
      <c r="I50" s="345">
        <f>I49-'Sensing time'!$B$10+'Sensing time'!$B$5</f>
        <v>-94.75001067587974</v>
      </c>
    </row>
    <row r="53" spans="1:4" ht="12.75">
      <c r="A53" s="363" t="s">
        <v>118</v>
      </c>
      <c r="B53" s="366">
        <v>0.99999</v>
      </c>
      <c r="C53" s="351"/>
      <c r="D53" s="359"/>
    </row>
    <row r="54" spans="1:4" ht="12.75">
      <c r="A54" s="352" t="s">
        <v>123</v>
      </c>
      <c r="B54" s="367">
        <f>1-(1-B53)*B56</f>
        <v>0.9999910000000001</v>
      </c>
      <c r="C54" s="353"/>
      <c r="D54" s="359"/>
    </row>
    <row r="55" spans="1:3" ht="12.75">
      <c r="A55" s="352" t="s">
        <v>120</v>
      </c>
      <c r="B55" s="358">
        <v>41</v>
      </c>
      <c r="C55" s="353" t="s">
        <v>41</v>
      </c>
    </row>
    <row r="56" spans="1:3" ht="12.75">
      <c r="A56" s="352" t="s">
        <v>121</v>
      </c>
      <c r="B56" s="357">
        <v>0.9</v>
      </c>
      <c r="C56" s="353"/>
    </row>
    <row r="57" spans="1:3" ht="12.75">
      <c r="A57" s="352" t="s">
        <v>122</v>
      </c>
      <c r="B57" s="357">
        <v>0.5</v>
      </c>
      <c r="C57" s="353"/>
    </row>
    <row r="58" spans="1:3" ht="12.75">
      <c r="A58" s="354" t="s">
        <v>119</v>
      </c>
      <c r="B58" s="355">
        <v>5.5</v>
      </c>
      <c r="C58" s="356" t="s">
        <v>20</v>
      </c>
    </row>
    <row r="59" ht="13.5" thickBot="1">
      <c r="B59" s="339"/>
    </row>
    <row r="60" spans="1:9" ht="12.75">
      <c r="A60" s="348" t="s">
        <v>92</v>
      </c>
      <c r="B60" s="346">
        <v>1</v>
      </c>
      <c r="C60" s="346">
        <v>2</v>
      </c>
      <c r="D60" s="346">
        <v>3</v>
      </c>
      <c r="E60" s="346">
        <v>4</v>
      </c>
      <c r="F60" s="346">
        <v>5</v>
      </c>
      <c r="G60" s="346">
        <v>6</v>
      </c>
      <c r="H60" s="346">
        <v>7</v>
      </c>
      <c r="I60" s="347">
        <v>8</v>
      </c>
    </row>
    <row r="61" spans="1:9" ht="12.75">
      <c r="A61" s="349" t="s">
        <v>123</v>
      </c>
      <c r="B61" s="360">
        <f>1-(1-$B54)^(1/B$18)</f>
        <v>0.9999910000000001</v>
      </c>
      <c r="C61" s="360">
        <f aca="true" t="shared" si="10" ref="C61:I61">1-(1-$B54)^(1/C$18)</f>
        <v>0.9970000000000124</v>
      </c>
      <c r="D61" s="360">
        <f t="shared" si="10"/>
        <v>0.9791991617695381</v>
      </c>
      <c r="E61" s="360">
        <f t="shared" si="10"/>
        <v>0.9452277442495964</v>
      </c>
      <c r="F61" s="360">
        <f t="shared" si="10"/>
        <v>0.9020851637640639</v>
      </c>
      <c r="G61" s="360">
        <f t="shared" si="10"/>
        <v>0.8557750429694575</v>
      </c>
      <c r="H61" s="360">
        <f t="shared" si="10"/>
        <v>0.8098144567846083</v>
      </c>
      <c r="I61" s="361">
        <f t="shared" si="10"/>
        <v>0.7659652680681698</v>
      </c>
    </row>
    <row r="62" spans="1:9" ht="38.25">
      <c r="A62" s="349" t="s">
        <v>124</v>
      </c>
      <c r="B62" s="342">
        <f aca="true" t="shared" si="11" ref="B62:I62">$B58*NORMSINV(B61)</f>
        <v>23.562461137771606</v>
      </c>
      <c r="C62" s="342">
        <f t="shared" si="11"/>
        <v>15.11270966148004</v>
      </c>
      <c r="D62" s="342">
        <f t="shared" si="11"/>
        <v>11.206175258848816</v>
      </c>
      <c r="E62" s="342">
        <f t="shared" si="11"/>
        <v>8.801332569419174</v>
      </c>
      <c r="F62" s="342">
        <f t="shared" si="11"/>
        <v>7.114383606676711</v>
      </c>
      <c r="G62" s="342">
        <f t="shared" si="11"/>
        <v>5.8384046042192494</v>
      </c>
      <c r="H62" s="342">
        <f t="shared" si="11"/>
        <v>4.82466703033424</v>
      </c>
      <c r="I62" s="343">
        <f t="shared" si="11"/>
        <v>3.9909343740873737</v>
      </c>
    </row>
    <row r="63" spans="1:9" ht="25.5">
      <c r="A63" s="349" t="s">
        <v>125</v>
      </c>
      <c r="B63" s="342">
        <f aca="true" t="shared" si="12" ref="B63:I63">$B55-B62</f>
        <v>17.437538862228394</v>
      </c>
      <c r="C63" s="342">
        <f t="shared" si="12"/>
        <v>25.88729033851996</v>
      </c>
      <c r="D63" s="342">
        <f t="shared" si="12"/>
        <v>29.793824741151184</v>
      </c>
      <c r="E63" s="342">
        <f t="shared" si="12"/>
        <v>32.19866743058083</v>
      </c>
      <c r="F63" s="342">
        <f t="shared" si="12"/>
        <v>33.88561639332329</v>
      </c>
      <c r="G63" s="342">
        <f t="shared" si="12"/>
        <v>35.16159539578075</v>
      </c>
      <c r="H63" s="342">
        <f t="shared" si="12"/>
        <v>36.17533296966576</v>
      </c>
      <c r="I63" s="343">
        <f t="shared" si="12"/>
        <v>37.009065625912626</v>
      </c>
    </row>
    <row r="64" spans="1:9" ht="26.25" thickBot="1">
      <c r="A64" s="350" t="s">
        <v>126</v>
      </c>
      <c r="B64" s="344">
        <f>B63-'Sensing time'!$B$10+'Sensing time'!$B$5</f>
        <v>-115.61783796426417</v>
      </c>
      <c r="C64" s="344">
        <f>C63-'Sensing time'!$B$10+'Sensing time'!$B$5</f>
        <v>-107.1680864879726</v>
      </c>
      <c r="D64" s="344">
        <f>D63-'Sensing time'!$B$10+'Sensing time'!$B$5</f>
        <v>-103.26155208534138</v>
      </c>
      <c r="E64" s="344">
        <f>E63-'Sensing time'!$B$10+'Sensing time'!$B$5</f>
        <v>-100.85670939591174</v>
      </c>
      <c r="F64" s="344">
        <f>F63-'Sensing time'!$B$10+'Sensing time'!$B$5</f>
        <v>-99.16976043316927</v>
      </c>
      <c r="G64" s="344">
        <f>G63-'Sensing time'!$B$10+'Sensing time'!$B$5</f>
        <v>-97.89378143071181</v>
      </c>
      <c r="H64" s="344">
        <f>H63-'Sensing time'!$B$10+'Sensing time'!$B$5</f>
        <v>-96.8800438568268</v>
      </c>
      <c r="I64" s="345">
        <f>I63-'Sensing time'!$B$10+'Sensing time'!$B$5</f>
        <v>-96.04631120057994</v>
      </c>
    </row>
  </sheetData>
  <mergeCells count="2">
    <mergeCell ref="A1:J1"/>
    <mergeCell ref="A5:A8"/>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J64"/>
  <sheetViews>
    <sheetView zoomScale="75" zoomScaleNormal="75" workbookViewId="0" topLeftCell="A1">
      <selection activeCell="J2" sqref="J2"/>
    </sheetView>
  </sheetViews>
  <sheetFormatPr defaultColWidth="9.140625" defaultRowHeight="12.75"/>
  <cols>
    <col min="1" max="1" width="32.7109375" style="0" customWidth="1"/>
    <col min="2" max="2" width="10.57421875" style="0" bestFit="1" customWidth="1"/>
    <col min="3" max="9" width="9.28125" style="0" bestFit="1" customWidth="1"/>
  </cols>
  <sheetData>
    <row r="1" spans="1:10" ht="38.25" customHeight="1">
      <c r="A1" s="405" t="s">
        <v>129</v>
      </c>
      <c r="B1" s="405"/>
      <c r="C1" s="405"/>
      <c r="D1" s="405"/>
      <c r="E1" s="405"/>
      <c r="F1" s="405"/>
      <c r="G1" s="405"/>
      <c r="H1" s="405"/>
      <c r="I1" s="405"/>
      <c r="J1" s="405"/>
    </row>
    <row r="3" ht="13.5" thickBot="1"/>
    <row r="4" spans="1:9" ht="12.75">
      <c r="A4" s="377" t="s">
        <v>131</v>
      </c>
      <c r="B4" s="346">
        <v>1</v>
      </c>
      <c r="C4" s="346">
        <v>2</v>
      </c>
      <c r="D4" s="346">
        <v>3</v>
      </c>
      <c r="E4" s="346">
        <v>4</v>
      </c>
      <c r="F4" s="346">
        <v>5</v>
      </c>
      <c r="G4" s="346">
        <v>6</v>
      </c>
      <c r="H4" s="346">
        <v>7</v>
      </c>
      <c r="I4" s="347">
        <v>8</v>
      </c>
    </row>
    <row r="5" spans="1:9" ht="12.75">
      <c r="A5" s="422" t="s">
        <v>130</v>
      </c>
      <c r="B5" s="357">
        <v>0.99</v>
      </c>
      <c r="C5" s="340">
        <f>1-(1-$B5)^(1/C$4)</f>
        <v>0.8999999999999999</v>
      </c>
      <c r="D5" s="340">
        <f aca="true" t="shared" si="0" ref="D5:I8">1-(1-$B5)^(1/D$4)</f>
        <v>0.7845565309968116</v>
      </c>
      <c r="E5" s="340">
        <f t="shared" si="0"/>
        <v>0.683772233983162</v>
      </c>
      <c r="F5" s="340">
        <f t="shared" si="0"/>
        <v>0.6018928294465027</v>
      </c>
      <c r="G5" s="340">
        <f t="shared" si="0"/>
        <v>0.535841116638722</v>
      </c>
      <c r="H5" s="340">
        <f t="shared" si="0"/>
        <v>0.4820525320768788</v>
      </c>
      <c r="I5" s="341">
        <f t="shared" si="0"/>
        <v>0.4376586748096509</v>
      </c>
    </row>
    <row r="6" spans="1:9" ht="12.75">
      <c r="A6" s="423"/>
      <c r="B6" s="340">
        <v>0.999</v>
      </c>
      <c r="C6" s="360">
        <f>1-(1-$B6)^(1/C$4)</f>
        <v>0.9683772233983162</v>
      </c>
      <c r="D6" s="340">
        <f t="shared" si="0"/>
        <v>0.8999999999999999</v>
      </c>
      <c r="E6" s="340">
        <f t="shared" si="0"/>
        <v>0.8221720589961077</v>
      </c>
      <c r="F6" s="340">
        <f t="shared" si="0"/>
        <v>0.748811356849042</v>
      </c>
      <c r="G6" s="340">
        <f t="shared" si="0"/>
        <v>0.683772233983162</v>
      </c>
      <c r="H6" s="340">
        <f t="shared" si="0"/>
        <v>0.6272406279685059</v>
      </c>
      <c r="I6" s="341">
        <f t="shared" si="0"/>
        <v>0.5783034965714178</v>
      </c>
    </row>
    <row r="7" spans="1:9" ht="12.75">
      <c r="A7" s="423"/>
      <c r="B7" s="360">
        <v>0.9999</v>
      </c>
      <c r="C7" s="360">
        <f>1-(1-$B7)^(1/C$4)</f>
        <v>0.9900000000000005</v>
      </c>
      <c r="D7" s="360">
        <f t="shared" si="0"/>
        <v>0.9535841116638739</v>
      </c>
      <c r="E7" s="340">
        <f t="shared" si="0"/>
        <v>0.9000000000000028</v>
      </c>
      <c r="F7" s="340">
        <f t="shared" si="0"/>
        <v>0.8415106807538921</v>
      </c>
      <c r="G7" s="340">
        <f t="shared" si="0"/>
        <v>0.7845565309968155</v>
      </c>
      <c r="H7" s="340">
        <f t="shared" si="0"/>
        <v>0.7317304204720316</v>
      </c>
      <c r="I7" s="341">
        <f t="shared" si="0"/>
        <v>0.6837722339831664</v>
      </c>
    </row>
    <row r="8" spans="1:9" ht="13.5" thickBot="1">
      <c r="A8" s="424"/>
      <c r="B8" s="374">
        <v>0.99999</v>
      </c>
      <c r="C8" s="374">
        <f>1-(1-$B8)^(1/C$4)</f>
        <v>0.9968377223398388</v>
      </c>
      <c r="D8" s="385">
        <f t="shared" si="0"/>
        <v>0.9784556530997138</v>
      </c>
      <c r="E8" s="385">
        <f t="shared" si="0"/>
        <v>0.9437658674810291</v>
      </c>
      <c r="F8" s="375">
        <f t="shared" si="0"/>
        <v>0.9000000000000911</v>
      </c>
      <c r="G8" s="375">
        <f t="shared" si="0"/>
        <v>0.8532200732379044</v>
      </c>
      <c r="H8" s="375">
        <f t="shared" si="0"/>
        <v>0.8069302271118005</v>
      </c>
      <c r="I8" s="376">
        <f t="shared" si="0"/>
        <v>0.7628626294339693</v>
      </c>
    </row>
    <row r="11" spans="1:4" ht="12.75">
      <c r="A11" s="363" t="s">
        <v>118</v>
      </c>
      <c r="B11" s="364">
        <v>0.99</v>
      </c>
      <c r="C11" s="351"/>
      <c r="D11" s="359"/>
    </row>
    <row r="12" spans="1:4" ht="12.75">
      <c r="A12" s="352" t="s">
        <v>123</v>
      </c>
      <c r="B12" s="360">
        <f>1-(1-B11)*B14</f>
        <v>0.995</v>
      </c>
      <c r="C12" s="353"/>
      <c r="D12" s="359"/>
    </row>
    <row r="13" spans="1:3" ht="12.75">
      <c r="A13" s="352" t="s">
        <v>120</v>
      </c>
      <c r="B13" s="358">
        <v>64</v>
      </c>
      <c r="C13" s="353" t="s">
        <v>41</v>
      </c>
    </row>
    <row r="14" spans="1:3" ht="12.75">
      <c r="A14" s="352" t="s">
        <v>121</v>
      </c>
      <c r="B14" s="357">
        <v>0.5</v>
      </c>
      <c r="C14" s="353"/>
    </row>
    <row r="15" spans="1:3" ht="12.75">
      <c r="A15" s="352" t="s">
        <v>122</v>
      </c>
      <c r="B15" s="357">
        <v>0.5</v>
      </c>
      <c r="C15" s="353"/>
    </row>
    <row r="16" spans="1:3" ht="12.75">
      <c r="A16" s="354" t="s">
        <v>119</v>
      </c>
      <c r="B16" s="355">
        <v>7</v>
      </c>
      <c r="C16" s="356" t="s">
        <v>20</v>
      </c>
    </row>
    <row r="17" ht="13.5" thickBot="1">
      <c r="B17" s="339"/>
    </row>
    <row r="18" spans="1:9" ht="12.75">
      <c r="A18" s="348" t="s">
        <v>92</v>
      </c>
      <c r="B18" s="346">
        <v>1</v>
      </c>
      <c r="C18" s="346">
        <v>2</v>
      </c>
      <c r="D18" s="346">
        <v>3</v>
      </c>
      <c r="E18" s="346">
        <v>4</v>
      </c>
      <c r="F18" s="346">
        <v>5</v>
      </c>
      <c r="G18" s="346">
        <v>6</v>
      </c>
      <c r="H18" s="346">
        <v>7</v>
      </c>
      <c r="I18" s="347">
        <v>8</v>
      </c>
    </row>
    <row r="19" spans="1:9" ht="12.75">
      <c r="A19" s="349" t="s">
        <v>123</v>
      </c>
      <c r="B19" s="340">
        <f aca="true" t="shared" si="1" ref="B19:I19">1-(1-$B12)^(1/B$18)</f>
        <v>0.995</v>
      </c>
      <c r="C19" s="340">
        <f t="shared" si="1"/>
        <v>0.9292893218813452</v>
      </c>
      <c r="D19" s="340">
        <f t="shared" si="1"/>
        <v>0.8290024053323302</v>
      </c>
      <c r="E19" s="340">
        <f t="shared" si="1"/>
        <v>0.7340852051527504</v>
      </c>
      <c r="F19" s="340">
        <f t="shared" si="1"/>
        <v>0.6534275784224267</v>
      </c>
      <c r="G19" s="340">
        <f t="shared" si="1"/>
        <v>0.5864814457999861</v>
      </c>
      <c r="H19" s="340">
        <f t="shared" si="1"/>
        <v>0.5308827214564584</v>
      </c>
      <c r="I19" s="341">
        <f t="shared" si="1"/>
        <v>0.48433073113937697</v>
      </c>
    </row>
    <row r="20" spans="1:9" ht="27.75" customHeight="1">
      <c r="A20" s="349" t="s">
        <v>124</v>
      </c>
      <c r="B20" s="342">
        <f aca="true" t="shared" si="2" ref="B20:I20">$B16*NORMSINV(B19)</f>
        <v>18.030841602012515</v>
      </c>
      <c r="C20" s="342">
        <f t="shared" si="2"/>
        <v>10.293647392245475</v>
      </c>
      <c r="D20" s="342">
        <f t="shared" si="2"/>
        <v>6.651616786257364</v>
      </c>
      <c r="E20" s="342">
        <f t="shared" si="2"/>
        <v>4.376513516035629</v>
      </c>
      <c r="F20" s="342">
        <f t="shared" si="2"/>
        <v>2.7621376830211375</v>
      </c>
      <c r="G20" s="342">
        <f t="shared" si="2"/>
        <v>1.529526798549341</v>
      </c>
      <c r="H20" s="342">
        <f t="shared" si="2"/>
        <v>0.5424226401373744</v>
      </c>
      <c r="I20" s="343">
        <f t="shared" si="2"/>
        <v>-0.27500732358021196</v>
      </c>
    </row>
    <row r="21" spans="1:9" ht="27" customHeight="1">
      <c r="A21" s="349" t="s">
        <v>125</v>
      </c>
      <c r="B21" s="342">
        <f aca="true" t="shared" si="3" ref="B21:I21">$B13-B20</f>
        <v>45.969158397987485</v>
      </c>
      <c r="C21" s="342">
        <f t="shared" si="3"/>
        <v>53.706352607754525</v>
      </c>
      <c r="D21" s="342">
        <f t="shared" si="3"/>
        <v>57.348383213742636</v>
      </c>
      <c r="E21" s="342">
        <f t="shared" si="3"/>
        <v>59.62348648396437</v>
      </c>
      <c r="F21" s="342">
        <f t="shared" si="3"/>
        <v>61.23786231697886</v>
      </c>
      <c r="G21" s="342">
        <f t="shared" si="3"/>
        <v>62.47047320145066</v>
      </c>
      <c r="H21" s="342">
        <f t="shared" si="3"/>
        <v>63.457577359862626</v>
      </c>
      <c r="I21" s="343">
        <f t="shared" si="3"/>
        <v>64.27500732358021</v>
      </c>
    </row>
    <row r="22" spans="1:9" ht="27" customHeight="1" thickBot="1">
      <c r="A22" s="350" t="s">
        <v>126</v>
      </c>
      <c r="B22" s="344">
        <f>B21-'Sensing time'!$B$10+'Sensing time'!$B$5</f>
        <v>-87.08621842850508</v>
      </c>
      <c r="C22" s="344">
        <f>C21-'Sensing time'!$B$10+'Sensing time'!$B$5</f>
        <v>-79.34902421873804</v>
      </c>
      <c r="D22" s="344">
        <f>D21-'Sensing time'!$B$10+'Sensing time'!$B$5</f>
        <v>-75.70699361274993</v>
      </c>
      <c r="E22" s="344">
        <f>E21-'Sensing time'!$B$10+'Sensing time'!$B$5</f>
        <v>-73.43189034252819</v>
      </c>
      <c r="F22" s="344">
        <f>F21-'Sensing time'!$B$10+'Sensing time'!$B$5</f>
        <v>-71.8175145095137</v>
      </c>
      <c r="G22" s="344">
        <f>G21-'Sensing time'!$B$10+'Sensing time'!$B$5</f>
        <v>-70.5849036250419</v>
      </c>
      <c r="H22" s="344">
        <f>H21-'Sensing time'!$B$10+'Sensing time'!$B$5</f>
        <v>-69.59779946662994</v>
      </c>
      <c r="I22" s="345">
        <f>I21-'Sensing time'!$B$10+'Sensing time'!$B$5</f>
        <v>-68.78036950291235</v>
      </c>
    </row>
    <row r="25" spans="1:4" ht="12.75">
      <c r="A25" s="363" t="s">
        <v>118</v>
      </c>
      <c r="B25" s="364">
        <v>0.999</v>
      </c>
      <c r="C25" s="351"/>
      <c r="D25" s="359"/>
    </row>
    <row r="26" spans="1:4" ht="12.75">
      <c r="A26" s="352" t="s">
        <v>123</v>
      </c>
      <c r="B26" s="360">
        <f>1-(1-B25)*B28</f>
        <v>0.9995</v>
      </c>
      <c r="C26" s="353"/>
      <c r="D26" s="359"/>
    </row>
    <row r="27" spans="1:3" ht="12.75">
      <c r="A27" s="352" t="s">
        <v>120</v>
      </c>
      <c r="B27" s="358">
        <v>64</v>
      </c>
      <c r="C27" s="353" t="s">
        <v>41</v>
      </c>
    </row>
    <row r="28" spans="1:3" ht="12.75">
      <c r="A28" s="352" t="s">
        <v>121</v>
      </c>
      <c r="B28" s="357">
        <v>0.5</v>
      </c>
      <c r="C28" s="353"/>
    </row>
    <row r="29" spans="1:3" ht="12.75">
      <c r="A29" s="352" t="s">
        <v>122</v>
      </c>
      <c r="B29" s="357">
        <v>0.5</v>
      </c>
      <c r="C29" s="353"/>
    </row>
    <row r="30" spans="1:3" ht="12.75">
      <c r="A30" s="354" t="s">
        <v>119</v>
      </c>
      <c r="B30" s="355">
        <v>7</v>
      </c>
      <c r="C30" s="356" t="s">
        <v>20</v>
      </c>
    </row>
    <row r="31" ht="13.5" thickBot="1">
      <c r="B31" s="339"/>
    </row>
    <row r="32" spans="1:9" ht="12.75">
      <c r="A32" s="348" t="s">
        <v>92</v>
      </c>
      <c r="B32" s="346">
        <v>1</v>
      </c>
      <c r="C32" s="346">
        <v>2</v>
      </c>
      <c r="D32" s="346">
        <v>3</v>
      </c>
      <c r="E32" s="346">
        <v>4</v>
      </c>
      <c r="F32" s="346">
        <v>5</v>
      </c>
      <c r="G32" s="346">
        <v>6</v>
      </c>
      <c r="H32" s="346">
        <v>7</v>
      </c>
      <c r="I32" s="347">
        <v>8</v>
      </c>
    </row>
    <row r="33" spans="1:9" ht="12.75">
      <c r="A33" s="349" t="s">
        <v>123</v>
      </c>
      <c r="B33" s="360">
        <f aca="true" t="shared" si="4" ref="B33:I33">1-(1-$B26)^(1/B$18)</f>
        <v>0.9995</v>
      </c>
      <c r="C33" s="360">
        <f t="shared" si="4"/>
        <v>0.9776393202250033</v>
      </c>
      <c r="D33" s="360">
        <f t="shared" si="4"/>
        <v>0.9206299474015929</v>
      </c>
      <c r="E33" s="360">
        <f t="shared" si="4"/>
        <v>0.850465121877882</v>
      </c>
      <c r="F33" s="360">
        <f t="shared" si="4"/>
        <v>0.7813275852113493</v>
      </c>
      <c r="G33" s="360">
        <f t="shared" si="4"/>
        <v>0.7182730886152211</v>
      </c>
      <c r="H33" s="360">
        <f t="shared" si="4"/>
        <v>0.6623830156749277</v>
      </c>
      <c r="I33" s="361">
        <f t="shared" si="4"/>
        <v>0.6133026013507229</v>
      </c>
    </row>
    <row r="34" spans="1:9" ht="27" customHeight="1">
      <c r="A34" s="349" t="s">
        <v>124</v>
      </c>
      <c r="B34" s="342">
        <f aca="true" t="shared" si="5" ref="B34:I34">$B30*NORMSINV(B33)</f>
        <v>23.033353500068188</v>
      </c>
      <c r="C34" s="342">
        <f t="shared" si="5"/>
        <v>14.050847312319092</v>
      </c>
      <c r="D34" s="342">
        <f t="shared" si="5"/>
        <v>9.865248102869373</v>
      </c>
      <c r="E34" s="342">
        <f t="shared" si="5"/>
        <v>7.269004527188372</v>
      </c>
      <c r="F34" s="342">
        <f t="shared" si="5"/>
        <v>5.436784249468474</v>
      </c>
      <c r="G34" s="342">
        <f t="shared" si="5"/>
        <v>4.044032948513632</v>
      </c>
      <c r="H34" s="342">
        <f t="shared" si="5"/>
        <v>2.9328305117815034</v>
      </c>
      <c r="I34" s="343">
        <f t="shared" si="5"/>
        <v>2.0155584934400395</v>
      </c>
    </row>
    <row r="35" spans="1:9" ht="25.5">
      <c r="A35" s="349" t="s">
        <v>125</v>
      </c>
      <c r="B35" s="342">
        <f aca="true" t="shared" si="6" ref="B35:I35">$B27-B34</f>
        <v>40.96664649993181</v>
      </c>
      <c r="C35" s="342">
        <f t="shared" si="6"/>
        <v>49.94915268768091</v>
      </c>
      <c r="D35" s="342">
        <f t="shared" si="6"/>
        <v>54.13475189713063</v>
      </c>
      <c r="E35" s="342">
        <f t="shared" si="6"/>
        <v>56.73099547281163</v>
      </c>
      <c r="F35" s="342">
        <f t="shared" si="6"/>
        <v>58.563215750531526</v>
      </c>
      <c r="G35" s="342">
        <f t="shared" si="6"/>
        <v>59.95596705148637</v>
      </c>
      <c r="H35" s="342">
        <f t="shared" si="6"/>
        <v>61.0671694882185</v>
      </c>
      <c r="I35" s="343">
        <f t="shared" si="6"/>
        <v>61.98444150655996</v>
      </c>
    </row>
    <row r="36" spans="1:9" ht="26.25" thickBot="1">
      <c r="A36" s="350" t="s">
        <v>126</v>
      </c>
      <c r="B36" s="344">
        <f>B35-'Sensing time'!$B$10+'Sensing time'!$B$5</f>
        <v>-92.08873032656075</v>
      </c>
      <c r="C36" s="344">
        <f>C35-'Sensing time'!$B$10+'Sensing time'!$B$5</f>
        <v>-83.10622413881165</v>
      </c>
      <c r="D36" s="344">
        <f>D35-'Sensing time'!$B$10+'Sensing time'!$B$5</f>
        <v>-78.92062492936194</v>
      </c>
      <c r="E36" s="344">
        <f>E35-'Sensing time'!$B$10+'Sensing time'!$B$5</f>
        <v>-76.32438135368093</v>
      </c>
      <c r="F36" s="344">
        <f>F35-'Sensing time'!$B$10+'Sensing time'!$B$5</f>
        <v>-74.49216107596104</v>
      </c>
      <c r="G36" s="344">
        <f>G35-'Sensing time'!$B$10+'Sensing time'!$B$5</f>
        <v>-73.0994097750062</v>
      </c>
      <c r="H36" s="344">
        <f>H35-'Sensing time'!$B$10+'Sensing time'!$B$5</f>
        <v>-71.98820733827407</v>
      </c>
      <c r="I36" s="345">
        <f>I35-'Sensing time'!$B$10+'Sensing time'!$B$5</f>
        <v>-71.0709353199326</v>
      </c>
    </row>
    <row r="39" spans="1:4" ht="12.75">
      <c r="A39" s="363" t="s">
        <v>118</v>
      </c>
      <c r="B39" s="365">
        <v>0.9999</v>
      </c>
      <c r="C39" s="351"/>
      <c r="D39" s="359"/>
    </row>
    <row r="40" spans="1:4" ht="12.75">
      <c r="A40" s="352" t="s">
        <v>123</v>
      </c>
      <c r="B40" s="362">
        <f>1-(1-B39)*B42</f>
        <v>0.99995</v>
      </c>
      <c r="C40" s="353"/>
      <c r="D40" s="359"/>
    </row>
    <row r="41" spans="1:3" ht="12.75">
      <c r="A41" s="352" t="s">
        <v>120</v>
      </c>
      <c r="B41" s="358">
        <v>64</v>
      </c>
      <c r="C41" s="353" t="s">
        <v>41</v>
      </c>
    </row>
    <row r="42" spans="1:3" ht="12.75">
      <c r="A42" s="352" t="s">
        <v>121</v>
      </c>
      <c r="B42" s="357">
        <v>0.5</v>
      </c>
      <c r="C42" s="353"/>
    </row>
    <row r="43" spans="1:3" ht="12.75">
      <c r="A43" s="352" t="s">
        <v>122</v>
      </c>
      <c r="B43" s="357">
        <v>0.5</v>
      </c>
      <c r="C43" s="353"/>
    </row>
    <row r="44" spans="1:3" ht="12.75">
      <c r="A44" s="354" t="s">
        <v>119</v>
      </c>
      <c r="B44" s="355">
        <v>7</v>
      </c>
      <c r="C44" s="356" t="s">
        <v>20</v>
      </c>
    </row>
    <row r="45" ht="13.5" thickBot="1">
      <c r="B45" s="339"/>
    </row>
    <row r="46" spans="1:9" ht="12.75">
      <c r="A46" s="348" t="s">
        <v>92</v>
      </c>
      <c r="B46" s="346">
        <v>1</v>
      </c>
      <c r="C46" s="346">
        <v>2</v>
      </c>
      <c r="D46" s="346">
        <v>3</v>
      </c>
      <c r="E46" s="346">
        <v>4</v>
      </c>
      <c r="F46" s="346">
        <v>5</v>
      </c>
      <c r="G46" s="346">
        <v>6</v>
      </c>
      <c r="H46" s="346">
        <v>7</v>
      </c>
      <c r="I46" s="347">
        <v>8</v>
      </c>
    </row>
    <row r="47" spans="1:9" ht="12.75">
      <c r="A47" s="349" t="s">
        <v>123</v>
      </c>
      <c r="B47" s="362">
        <f aca="true" t="shared" si="7" ref="B47:I47">1-(1-$B40)^(1/B$18)</f>
        <v>0.99995</v>
      </c>
      <c r="C47" s="360">
        <f t="shared" si="7"/>
        <v>0.9929289321881349</v>
      </c>
      <c r="D47" s="360">
        <f t="shared" si="7"/>
        <v>0.9631596850135975</v>
      </c>
      <c r="E47" s="360">
        <f t="shared" si="7"/>
        <v>0.9159103584746309</v>
      </c>
      <c r="F47" s="360">
        <f t="shared" si="7"/>
        <v>0.8620270338538816</v>
      </c>
      <c r="G47" s="360">
        <f t="shared" si="7"/>
        <v>0.808061689633355</v>
      </c>
      <c r="H47" s="360">
        <f t="shared" si="7"/>
        <v>0.757021893419391</v>
      </c>
      <c r="I47" s="361">
        <f t="shared" si="7"/>
        <v>0.7100178599889828</v>
      </c>
    </row>
    <row r="48" spans="1:9" ht="27" customHeight="1">
      <c r="A48" s="349" t="s">
        <v>124</v>
      </c>
      <c r="B48" s="342">
        <f aca="true" t="shared" si="8" ref="B48:I48">$B44*NORMSINV(B47)</f>
        <v>27.23420038819313</v>
      </c>
      <c r="C48" s="342">
        <f t="shared" si="8"/>
        <v>17.17544364510104</v>
      </c>
      <c r="D48" s="342">
        <f t="shared" si="8"/>
        <v>12.520158634288236</v>
      </c>
      <c r="E48" s="342">
        <f t="shared" si="8"/>
        <v>9.646560101828072</v>
      </c>
      <c r="F48" s="342">
        <f t="shared" si="8"/>
        <v>7.62630634199013</v>
      </c>
      <c r="G48" s="342">
        <f t="shared" si="8"/>
        <v>6.095426670071902</v>
      </c>
      <c r="H48" s="342">
        <f t="shared" si="8"/>
        <v>4.877283572568558</v>
      </c>
      <c r="I48" s="343">
        <f t="shared" si="8"/>
        <v>3.874056346830912</v>
      </c>
    </row>
    <row r="49" spans="1:9" ht="25.5">
      <c r="A49" s="349" t="s">
        <v>125</v>
      </c>
      <c r="B49" s="342">
        <f aca="true" t="shared" si="9" ref="B49:I49">$B41-B48</f>
        <v>36.76579961180687</v>
      </c>
      <c r="C49" s="342">
        <f t="shared" si="9"/>
        <v>46.82455635489896</v>
      </c>
      <c r="D49" s="342">
        <f t="shared" si="9"/>
        <v>51.47984136571176</v>
      </c>
      <c r="E49" s="342">
        <f t="shared" si="9"/>
        <v>54.35343989817193</v>
      </c>
      <c r="F49" s="342">
        <f t="shared" si="9"/>
        <v>56.37369365800987</v>
      </c>
      <c r="G49" s="342">
        <f t="shared" si="9"/>
        <v>57.9045733299281</v>
      </c>
      <c r="H49" s="342">
        <f t="shared" si="9"/>
        <v>59.12271642743144</v>
      </c>
      <c r="I49" s="343">
        <f t="shared" si="9"/>
        <v>60.12594365316909</v>
      </c>
    </row>
    <row r="50" spans="1:9" ht="26.25" thickBot="1">
      <c r="A50" s="350" t="s">
        <v>126</v>
      </c>
      <c r="B50" s="344">
        <f>B49-'Sensing time'!$B$10+'Sensing time'!$B$5</f>
        <v>-96.28957721468569</v>
      </c>
      <c r="C50" s="344">
        <f>C49-'Sensing time'!$B$10+'Sensing time'!$B$5</f>
        <v>-86.2308204715936</v>
      </c>
      <c r="D50" s="344">
        <f>D49-'Sensing time'!$B$10+'Sensing time'!$B$5</f>
        <v>-81.5755354607808</v>
      </c>
      <c r="E50" s="344">
        <f>E49-'Sensing time'!$B$10+'Sensing time'!$B$5</f>
        <v>-78.70193692832063</v>
      </c>
      <c r="F50" s="344">
        <f>F49-'Sensing time'!$B$10+'Sensing time'!$B$5</f>
        <v>-76.68168316848269</v>
      </c>
      <c r="G50" s="344">
        <f>G49-'Sensing time'!$B$10+'Sensing time'!$B$5</f>
        <v>-75.15080349656446</v>
      </c>
      <c r="H50" s="344">
        <f>H49-'Sensing time'!$B$10+'Sensing time'!$B$5</f>
        <v>-73.93266039906112</v>
      </c>
      <c r="I50" s="345">
        <f>I49-'Sensing time'!$B$10+'Sensing time'!$B$5</f>
        <v>-72.92943317332347</v>
      </c>
    </row>
    <row r="53" spans="1:4" ht="12.75">
      <c r="A53" s="363" t="s">
        <v>118</v>
      </c>
      <c r="B53" s="366">
        <v>0.99999</v>
      </c>
      <c r="C53" s="351"/>
      <c r="D53" s="359"/>
    </row>
    <row r="54" spans="1:4" ht="12.75">
      <c r="A54" s="352" t="s">
        <v>123</v>
      </c>
      <c r="B54" s="367">
        <f>1-(1-B53)*B56</f>
        <v>0.999995</v>
      </c>
      <c r="C54" s="353"/>
      <c r="D54" s="359"/>
    </row>
    <row r="55" spans="1:3" ht="12.75">
      <c r="A55" s="352" t="s">
        <v>120</v>
      </c>
      <c r="B55" s="358">
        <v>64</v>
      </c>
      <c r="C55" s="353" t="s">
        <v>41</v>
      </c>
    </row>
    <row r="56" spans="1:3" ht="12.75">
      <c r="A56" s="352" t="s">
        <v>121</v>
      </c>
      <c r="B56" s="357">
        <v>0.5</v>
      </c>
      <c r="C56" s="353"/>
    </row>
    <row r="57" spans="1:3" ht="12.75">
      <c r="A57" s="352" t="s">
        <v>122</v>
      </c>
      <c r="B57" s="357">
        <v>0.5</v>
      </c>
      <c r="C57" s="353"/>
    </row>
    <row r="58" spans="1:3" ht="12.75">
      <c r="A58" s="354" t="s">
        <v>119</v>
      </c>
      <c r="B58" s="355">
        <v>7</v>
      </c>
      <c r="C58" s="356" t="s">
        <v>20</v>
      </c>
    </row>
    <row r="59" ht="13.5" thickBot="1">
      <c r="B59" s="339"/>
    </row>
    <row r="60" spans="1:9" ht="12.75">
      <c r="A60" s="348" t="s">
        <v>92</v>
      </c>
      <c r="B60" s="346">
        <v>1</v>
      </c>
      <c r="C60" s="346">
        <v>2</v>
      </c>
      <c r="D60" s="346">
        <v>3</v>
      </c>
      <c r="E60" s="346">
        <v>4</v>
      </c>
      <c r="F60" s="346">
        <v>5</v>
      </c>
      <c r="G60" s="346">
        <v>6</v>
      </c>
      <c r="H60" s="346">
        <v>7</v>
      </c>
      <c r="I60" s="347">
        <v>8</v>
      </c>
    </row>
    <row r="61" spans="1:9" ht="12.75">
      <c r="A61" s="349" t="s">
        <v>123</v>
      </c>
      <c r="B61" s="367">
        <f aca="true" t="shared" si="10" ref="B61:I61">1-(1-$B54)^(1/B$18)</f>
        <v>0.999995</v>
      </c>
      <c r="C61" s="362">
        <f t="shared" si="10"/>
        <v>0.9977639320224929</v>
      </c>
      <c r="D61" s="360">
        <f t="shared" si="10"/>
        <v>0.9829002405331957</v>
      </c>
      <c r="E61" s="360">
        <f t="shared" si="10"/>
        <v>0.9527129195497638</v>
      </c>
      <c r="F61" s="360">
        <f t="shared" si="10"/>
        <v>0.9129449436702736</v>
      </c>
      <c r="G61" s="360">
        <f t="shared" si="10"/>
        <v>0.8692339513986742</v>
      </c>
      <c r="H61" s="360">
        <f t="shared" si="10"/>
        <v>0.8251321378408223</v>
      </c>
      <c r="I61" s="361">
        <f t="shared" si="10"/>
        <v>0.7825440723957238</v>
      </c>
    </row>
    <row r="62" spans="1:9" ht="38.25">
      <c r="A62" s="349" t="s">
        <v>124</v>
      </c>
      <c r="B62" s="342">
        <f aca="true" t="shared" si="11" ref="B62:I62">$B58*NORMSINV(B61)</f>
        <v>30.901283025741577</v>
      </c>
      <c r="C62" s="342">
        <f t="shared" si="11"/>
        <v>19.899525796063244</v>
      </c>
      <c r="D62" s="342">
        <f t="shared" si="11"/>
        <v>14.8239269037731</v>
      </c>
      <c r="E62" s="342">
        <f t="shared" si="11"/>
        <v>11.702227311616298</v>
      </c>
      <c r="F62" s="342">
        <f t="shared" si="11"/>
        <v>9.513819350104313</v>
      </c>
      <c r="G62" s="342">
        <f t="shared" si="11"/>
        <v>7.8594462138426024</v>
      </c>
      <c r="H62" s="342">
        <f t="shared" si="11"/>
        <v>6.545710675709415</v>
      </c>
      <c r="I62" s="343">
        <f t="shared" si="11"/>
        <v>5.465703907248098</v>
      </c>
    </row>
    <row r="63" spans="1:9" ht="25.5">
      <c r="A63" s="349" t="s">
        <v>125</v>
      </c>
      <c r="B63" s="342">
        <f aca="true" t="shared" si="12" ref="B63:I63">$B55-B62</f>
        <v>33.09871697425842</v>
      </c>
      <c r="C63" s="342">
        <f t="shared" si="12"/>
        <v>44.100474203936756</v>
      </c>
      <c r="D63" s="342">
        <f t="shared" si="12"/>
        <v>49.1760730962269</v>
      </c>
      <c r="E63" s="342">
        <f t="shared" si="12"/>
        <v>52.2977726883837</v>
      </c>
      <c r="F63" s="342">
        <f t="shared" si="12"/>
        <v>54.48618064989569</v>
      </c>
      <c r="G63" s="342">
        <f t="shared" si="12"/>
        <v>56.1405537861574</v>
      </c>
      <c r="H63" s="342">
        <f t="shared" si="12"/>
        <v>57.454289324290585</v>
      </c>
      <c r="I63" s="343">
        <f t="shared" si="12"/>
        <v>58.5342960927519</v>
      </c>
    </row>
    <row r="64" spans="1:9" ht="26.25" thickBot="1">
      <c r="A64" s="350" t="s">
        <v>126</v>
      </c>
      <c r="B64" s="344">
        <f>B63-'Sensing time'!$B$10+'Sensing time'!$B$5</f>
        <v>-99.95665985223414</v>
      </c>
      <c r="C64" s="344">
        <f>C63-'Sensing time'!$B$10+'Sensing time'!$B$5</f>
        <v>-88.9549026225558</v>
      </c>
      <c r="D64" s="344">
        <f>D63-'Sensing time'!$B$10+'Sensing time'!$B$5</f>
        <v>-83.87930373026566</v>
      </c>
      <c r="E64" s="344">
        <f>E63-'Sensing time'!$B$10+'Sensing time'!$B$5</f>
        <v>-80.75760413810886</v>
      </c>
      <c r="F64" s="344">
        <f>F63-'Sensing time'!$B$10+'Sensing time'!$B$5</f>
        <v>-78.56919617659688</v>
      </c>
      <c r="G64" s="344">
        <f>G63-'Sensing time'!$B$10+'Sensing time'!$B$5</f>
        <v>-76.91482304033516</v>
      </c>
      <c r="H64" s="344">
        <f>H63-'Sensing time'!$B$10+'Sensing time'!$B$5</f>
        <v>-75.60108750220198</v>
      </c>
      <c r="I64" s="345">
        <f>I63-'Sensing time'!$B$10+'Sensing time'!$B$5</f>
        <v>-74.52108073374066</v>
      </c>
    </row>
  </sheetData>
  <mergeCells count="2">
    <mergeCell ref="A1:J1"/>
    <mergeCell ref="A5:A8"/>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codeName="Sheet51"/>
  <dimension ref="A1:O24"/>
  <sheetViews>
    <sheetView zoomScale="75" zoomScaleNormal="75" workbookViewId="0" topLeftCell="A1">
      <selection activeCell="C1" sqref="C1"/>
    </sheetView>
  </sheetViews>
  <sheetFormatPr defaultColWidth="9.140625" defaultRowHeight="12.75"/>
  <cols>
    <col min="1" max="1" width="9.140625" style="186" customWidth="1"/>
    <col min="2" max="2" width="5.57421875" style="186" customWidth="1"/>
    <col min="3" max="16384" width="9.140625" style="186" customWidth="1"/>
  </cols>
  <sheetData>
    <row r="1" ht="15.75">
      <c r="A1" s="185" t="s">
        <v>83</v>
      </c>
    </row>
    <row r="2" spans="1:15" ht="16.5" customHeight="1">
      <c r="A2" s="187"/>
      <c r="B2" s="188">
        <v>1</v>
      </c>
      <c r="C2" s="425" t="s">
        <v>97</v>
      </c>
      <c r="D2" s="425"/>
      <c r="E2" s="425"/>
      <c r="F2" s="425"/>
      <c r="G2" s="425"/>
      <c r="H2" s="425"/>
      <c r="I2" s="425"/>
      <c r="J2" s="425"/>
      <c r="K2" s="425"/>
      <c r="L2" s="425"/>
      <c r="M2" s="425"/>
      <c r="N2" s="425"/>
      <c r="O2" s="425"/>
    </row>
    <row r="3" spans="1:15" ht="30" customHeight="1">
      <c r="A3" s="187"/>
      <c r="B3" s="188">
        <v>2</v>
      </c>
      <c r="C3" s="425" t="s">
        <v>84</v>
      </c>
      <c r="D3" s="425"/>
      <c r="E3" s="425"/>
      <c r="F3" s="425"/>
      <c r="G3" s="425"/>
      <c r="H3" s="425"/>
      <c r="I3" s="425"/>
      <c r="J3" s="425"/>
      <c r="K3" s="425"/>
      <c r="L3" s="425"/>
      <c r="M3" s="425"/>
      <c r="N3" s="425"/>
      <c r="O3" s="425"/>
    </row>
    <row r="4" spans="1:15" ht="14.25">
      <c r="A4" s="187"/>
      <c r="B4" s="221">
        <v>3</v>
      </c>
      <c r="C4" s="425" t="s">
        <v>85</v>
      </c>
      <c r="D4" s="426"/>
      <c r="E4" s="426"/>
      <c r="F4" s="426"/>
      <c r="G4" s="426"/>
      <c r="H4" s="426"/>
      <c r="I4" s="426"/>
      <c r="J4" s="426"/>
      <c r="K4" s="426"/>
      <c r="L4" s="426"/>
      <c r="M4" s="426"/>
      <c r="N4" s="426"/>
      <c r="O4" s="426"/>
    </row>
    <row r="5" ht="12.75">
      <c r="A5" s="187"/>
    </row>
    <row r="6" ht="12.75">
      <c r="A6" s="187"/>
    </row>
    <row r="7" ht="12.75">
      <c r="A7" s="187"/>
    </row>
    <row r="8" ht="12.75">
      <c r="A8" s="187"/>
    </row>
    <row r="9" ht="12.75">
      <c r="A9" s="187"/>
    </row>
    <row r="10" ht="12.75">
      <c r="A10" s="187"/>
    </row>
    <row r="11" ht="12.75">
      <c r="A11" s="187"/>
    </row>
    <row r="12" ht="12.75">
      <c r="A12" s="187"/>
    </row>
    <row r="13" ht="12.75">
      <c r="A13" s="187"/>
    </row>
    <row r="14" ht="12.75">
      <c r="A14" s="187"/>
    </row>
    <row r="15" ht="12.75">
      <c r="A15" s="187"/>
    </row>
    <row r="16" ht="12.75">
      <c r="A16" s="187"/>
    </row>
    <row r="17" ht="12.75">
      <c r="A17" s="187"/>
    </row>
    <row r="18" ht="12.75">
      <c r="A18" s="187"/>
    </row>
    <row r="19" ht="12.75">
      <c r="A19" s="187"/>
    </row>
    <row r="20" ht="12.75">
      <c r="A20" s="187"/>
    </row>
    <row r="21" ht="12.75">
      <c r="A21" s="187"/>
    </row>
    <row r="22" ht="12.75">
      <c r="A22" s="187"/>
    </row>
    <row r="23" ht="12.75">
      <c r="A23" s="187"/>
    </row>
    <row r="24" ht="12.75">
      <c r="A24" s="187"/>
    </row>
  </sheetData>
  <mergeCells count="3">
    <mergeCell ref="C4:O4"/>
    <mergeCell ref="C3:O3"/>
    <mergeCell ref="C2:O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Chouinard-Channel</dc:creator>
  <cp:keywords/>
  <dc:description/>
  <cp:lastModifiedBy>G. Chouinard</cp:lastModifiedBy>
  <cp:lastPrinted>2006-05-03T13:26:00Z</cp:lastPrinted>
  <dcterms:created xsi:type="dcterms:W3CDTF">2005-07-17T01:24:31Z</dcterms:created>
  <dcterms:modified xsi:type="dcterms:W3CDTF">2006-07-03T11:16:28Z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