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7560" windowHeight="9075" tabRatio="732" activeTab="0"/>
  </bookViews>
  <sheets>
    <sheet name="Title" sheetId="1" r:id="rId1"/>
    <sheet name="Sensing time" sheetId="2" r:id="rId2"/>
    <sheet name="Probability budget" sheetId="3" r:id="rId3"/>
    <sheet name="DTV Sensing thresholds" sheetId="4" r:id="rId4"/>
    <sheet name="NTSC Sensing thresholds" sheetId="5" r:id="rId5"/>
    <sheet name="DTV-Composite Model" sheetId="6" r:id="rId6"/>
    <sheet name="DTV-Integration" sheetId="7" r:id="rId7"/>
    <sheet name="NTSC-Composite Model" sheetId="8" r:id="rId8"/>
    <sheet name="NTSC-Integration" sheetId="9" r:id="rId9"/>
    <sheet name="References" sheetId="10" r:id="rId10"/>
  </sheets>
  <definedNames>
    <definedName name="Doc_title" localSheetId="9">'References'!$C$3</definedName>
    <definedName name="_xlnm.Print_Area" localSheetId="2">'Probability budget'!$A$36:$E$41</definedName>
    <definedName name="_xlnm.Print_Area" localSheetId="9">'References'!$A$1:$B$1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6" authorId="0">
      <text>
        <r>
          <rPr>
            <sz val="8"/>
            <rFont val="Tahoma"/>
            <family val="0"/>
          </rPr>
          <t>Re: 18-04-0056-00-0000_Comments_ to_TV_Band_NPRM.doc</t>
        </r>
      </text>
    </comment>
    <comment ref="A38" authorId="0">
      <text>
        <r>
          <rPr>
            <sz val="8"/>
            <rFont val="Tahoma"/>
            <family val="0"/>
          </rPr>
          <t>All losses between the antenna and the input to the receiver are included.</t>
        </r>
      </text>
    </comment>
    <comment ref="K79" authorId="0">
      <text>
        <r>
          <rPr>
            <sz val="8"/>
            <rFont val="Tahoma"/>
            <family val="0"/>
          </rPr>
          <t>ATSC-DTV symbol frequency, tolerance is +/- 30 Hz.</t>
        </r>
      </text>
    </comment>
    <comment ref="E52"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51" authorId="0">
      <text>
        <r>
          <rPr>
            <sz val="8"/>
            <rFont val="Tahoma"/>
            <family val="0"/>
          </rPr>
          <t xml:space="preserve">One third of the omni antenna pattern is assumed to capture the sky noise (90˚K) and the other two third captures the ground noise (290˚K).
</t>
        </r>
      </text>
    </comment>
    <comment ref="A65" authorId="0">
      <text>
        <r>
          <rPr>
            <sz val="8"/>
            <rFont val="Tahoma"/>
            <family val="0"/>
          </rPr>
          <t>Table 15.1.2 of the FRD.</t>
        </r>
      </text>
    </comment>
    <comment ref="A66" authorId="0">
      <text>
        <r>
          <rPr>
            <sz val="8"/>
            <rFont val="Tahoma"/>
            <family val="0"/>
          </rPr>
          <t>Table 15.1.2 of the FRD.</t>
        </r>
      </text>
    </comment>
    <comment ref="C78"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80" authorId="0">
      <text>
        <r>
          <rPr>
            <sz val="8"/>
            <rFont val="Tahoma"/>
            <family val="0"/>
          </rPr>
          <t>The standard deviation of the signal in 10 kHz bandwidth caused by multipath in rural environment as used in the formula is extrapolated from Table X.2 of the ITU-R DSB Handbook, 2002.</t>
        </r>
      </text>
    </comment>
    <comment ref="B80" authorId="0">
      <text>
        <r>
          <rPr>
            <sz val="8"/>
            <rFont val="Tahoma"/>
            <family val="0"/>
          </rPr>
          <t>The ATSC pilot is assumed to be 11.2 dB below the power of the total DTV signal and it is measured over a bandwidth of 10 kHz rather than the full 6 MHz.</t>
        </r>
      </text>
    </comment>
    <comment ref="E78" authorId="0">
      <text>
        <r>
          <rPr>
            <sz val="8"/>
            <rFont val="Tahoma"/>
            <family val="0"/>
          </rPr>
          <t>Ratio between the beacon signal power and the total signal power.</t>
        </r>
      </text>
    </comment>
    <comment ref="H82"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3"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4"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61"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8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82" authorId="0">
      <text>
        <r>
          <rPr>
            <sz val="8"/>
            <rFont val="Tahoma"/>
            <family val="0"/>
          </rPr>
          <t xml:space="preserve">In case of a TDM, the total signal power carried in the channel is used for the correlated sensing detection during the sync period.  Theta is therefore equal to 100%. </t>
        </r>
      </text>
    </comment>
    <comment ref="E83"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84"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82" authorId="0">
      <text>
        <r>
          <rPr>
            <sz val="8"/>
            <rFont val="Tahoma"/>
            <family val="0"/>
          </rPr>
          <t>Number of sync periods needed, that is 1/4 the number of channel samples needed.</t>
        </r>
      </text>
    </comment>
    <comment ref="F83" authorId="0">
      <text>
        <r>
          <rPr>
            <sz val="8"/>
            <rFont val="Tahoma"/>
            <family val="0"/>
          </rPr>
          <t>Number of PN511 periods needed, that is 1/511 the number of channel samples needed.</t>
        </r>
      </text>
    </comment>
    <comment ref="F84" authorId="0">
      <text>
        <r>
          <rPr>
            <sz val="8"/>
            <rFont val="Tahoma"/>
            <family val="2"/>
          </rPr>
          <t>Number of 3*PN63 periods needed, that is 1/(3*63) the number of channel samples needed.</t>
        </r>
      </text>
    </comment>
    <comment ref="C81" authorId="0">
      <text>
        <r>
          <rPr>
            <sz val="8"/>
            <rFont val="Tahoma"/>
            <family val="0"/>
          </rPr>
          <t>The standard deviation of the signal in 10 kHz bandwidth caused by multipath in rural environment as used in the formula is extrapolated from Table X.2 of the ITU-R DSB Handbook, 2002.</t>
        </r>
      </text>
    </comment>
    <comment ref="E81" authorId="0">
      <text>
        <r>
          <rPr>
            <sz val="8"/>
            <rFont val="Tahoma"/>
            <family val="0"/>
          </rPr>
          <t>The ATSC pilot is assumed to be 11.2 dB below the power of the total DTV signal.</t>
        </r>
      </text>
    </comment>
    <comment ref="C79"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73" authorId="0">
      <text>
        <r>
          <rPr>
            <sz val="8"/>
            <rFont val="Tahoma"/>
            <family val="0"/>
          </rPr>
          <t>Table 15.1.2 of the FRD.</t>
        </r>
      </text>
    </comment>
    <comment ref="A74" authorId="0">
      <text>
        <r>
          <rPr>
            <sz val="8"/>
            <rFont val="Tahoma"/>
            <family val="0"/>
          </rPr>
          <t>Table 15.1.2 of the FRD.</t>
        </r>
      </text>
    </comment>
    <comment ref="A69" authorId="0">
      <text>
        <r>
          <rPr>
            <sz val="8"/>
            <rFont val="Tahoma"/>
            <family val="0"/>
          </rPr>
          <t>Table 15.1.2 of the FRD.</t>
        </r>
      </text>
    </comment>
    <comment ref="A70" authorId="0">
      <text>
        <r>
          <rPr>
            <sz val="8"/>
            <rFont val="Tahoma"/>
            <family val="0"/>
          </rPr>
          <t>Table 15.1.2 of the FRD.</t>
        </r>
      </text>
    </comment>
    <comment ref="B68" authorId="0">
      <text>
        <r>
          <rPr>
            <sz val="8"/>
            <rFont val="Tahoma"/>
            <family val="0"/>
          </rPr>
          <t>Number of WRAN systems expected to use the same channel in the area immediate to DTV receivers.</t>
        </r>
      </text>
    </comment>
    <comment ref="B72" authorId="0">
      <text>
        <r>
          <rPr>
            <sz val="8"/>
            <rFont val="Tahoma"/>
            <family val="0"/>
          </rPr>
          <t>Number of CPEs for each WRAN system located in the immediate area of potential interference that would be relied upon to sense the presence of incumbent operation.</t>
        </r>
      </text>
    </comment>
    <comment ref="F78"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80" authorId="0">
      <text>
        <r>
          <rPr>
            <sz val="8"/>
            <rFont val="Tahoma"/>
            <family val="0"/>
          </rPr>
          <t>A 10 kHz analog filter is assumed around the pilot.</t>
        </r>
      </text>
    </comment>
  </commentList>
</comments>
</file>

<file path=xl/comments4.xml><?xml version="1.0" encoding="utf-8"?>
<comments xmlns="http://schemas.openxmlformats.org/spreadsheetml/2006/main">
  <authors>
    <author>G. Chouinard</author>
  </authors>
  <commentList>
    <comment ref="A12"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26"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0"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54"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comments5.xml><?xml version="1.0" encoding="utf-8"?>
<comments xmlns="http://schemas.openxmlformats.org/spreadsheetml/2006/main">
  <authors>
    <author>G. Chouinard</author>
  </authors>
  <commentList>
    <comment ref="A12"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26"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0"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54"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sharedStrings.xml><?xml version="1.0" encoding="utf-8"?>
<sst xmlns="http://schemas.openxmlformats.org/spreadsheetml/2006/main" count="634" uniqueCount="173">
  <si>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</si>
  <si>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</si>
  <si>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</si>
  <si>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</si>
  <si>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</si>
  <si>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</si>
  <si>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</si>
  <si>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</si>
  <si>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</si>
  <si>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</si>
  <si>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</si>
  <si>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</si>
  <si>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</si>
  <si>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</si>
  <si>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</si>
  <si>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</si>
  <si>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</si>
  <si>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</si>
  <si>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</si>
  <si>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</si>
  <si>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</si>
  <si>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</si>
  <si>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</si>
  <si>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</si>
  <si>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</si>
  <si>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</si>
  <si>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</si>
  <si>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</si>
  <si>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</si>
  <si>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</si>
  <si>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</si>
  <si>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</si>
  <si>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</si>
  <si>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</si>
  <si>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</si>
  <si>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</si>
  <si>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</si>
  <si>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</si>
  <si>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</si>
  <si>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</si>
  <si>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</si>
  <si>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</si>
  <si>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</si>
  <si>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</si>
  <si>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</si>
  <si>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</si>
  <si>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</si>
  <si>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</si>
  <si>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</si>
  <si>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</si>
  <si>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</si>
  <si>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</si>
  <si>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</si>
  <si>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</si>
  <si>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</si>
  <si>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</si>
  <si>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</si>
  <si>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</si>
  <si>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</si>
  <si>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</si>
  <si>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</si>
  <si>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</si>
  <si>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</si>
  <si>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</si>
  <si>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</si>
  <si>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</si>
  <si>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</si>
  <si>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</si>
  <si>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</si>
  <si>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</si>
  <si>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</si>
  <si>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</si>
  <si>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</si>
  <si>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</si>
  <si>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</si>
  <si>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</si>
  <si>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</si>
  <si>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</si>
  <si>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</si>
  <si>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</si>
  <si>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</si>
  <si>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</si>
  <si>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</si>
  <si>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</si>
  <si>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</si>
  <si>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</si>
  <si>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</si>
  <si>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</si>
  <si>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</si>
  <si>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</si>
  <si>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</si>
  <si>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</si>
  <si>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</si>
  <si>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</si>
  <si>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</si>
  <si>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</si>
  <si>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</si>
  <si>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</si>
  <si>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</si>
  <si>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</si>
  <si>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</si>
  <si>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</si>
  <si>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</si>
  <si>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</si>
  <si>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</si>
  <si>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</si>
  <si>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</si>
  <si>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</si>
  <si>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</si>
  <si>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CPE  Pd:</t>
  </si>
  <si>
    <t>CPE  Pa:</t>
  </si>
  <si>
    <t>Overall Pd:</t>
  </si>
  <si>
    <t>System Pd:</t>
  </si>
  <si>
    <t>systems</t>
  </si>
  <si>
    <t>CPEs</t>
  </si>
  <si>
    <t>System Pfa:</t>
  </si>
  <si>
    <t>Overall Pfa:</t>
  </si>
  <si>
    <t>System Noise Figure (dB)</t>
  </si>
  <si>
    <t>Required probability of detection:</t>
  </si>
  <si>
    <t>Location standard deviation</t>
  </si>
  <si>
    <t>DTV minimum usable signal level:</t>
  </si>
  <si>
    <t>Time availability:</t>
  </si>
  <si>
    <t>Location availability:</t>
  </si>
  <si>
    <t>Equivalent location availability:</t>
  </si>
  <si>
    <t>Additional margin required (from 50% to equivalent location availability) (dB):</t>
  </si>
  <si>
    <t>Field stength level to be sensed (dBuV/m):</t>
  </si>
  <si>
    <t>Sensing threshold at noise-limited contour (dBm):</t>
  </si>
  <si>
    <t>802.22 WRAN Incumbent Sensing
Sensing time</t>
  </si>
  <si>
    <t>802.22 WRAN Incumbent Sensing
Probability budget</t>
  </si>
  <si>
    <t>802.22 WRAN Incumbent Sensing
Sensing threshold vs number of sensors</t>
  </si>
  <si>
    <t>Required probability of detection at each sensing device</t>
  </si>
  <si>
    <t>Number of sensing devices:</t>
  </si>
  <si>
    <t>July 2006</t>
  </si>
  <si>
    <t>SNR</t>
  </si>
  <si>
    <t>Suburban</t>
  </si>
  <si>
    <t>Rural</t>
  </si>
  <si>
    <t>Bandwidth (MHz)</t>
  </si>
  <si>
    <t>Small Areas</t>
  </si>
  <si>
    <t>Large Areas</t>
  </si>
  <si>
    <t>y=</t>
  </si>
  <si>
    <t>x=</t>
  </si>
  <si>
    <t>LN(10)</t>
  </si>
  <si>
    <t>SD=</t>
  </si>
  <si>
    <t>BW=</t>
  </si>
  <si>
    <t>SD= -1.11*log10(BW)+0.86</t>
  </si>
  <si>
    <t>Multipath Model</t>
  </si>
  <si>
    <t>Mean= Mean-location + Mean-time + Mean-multipath</t>
  </si>
  <si>
    <t>Variance= Variance-location + Variance-time + Variance-multipath</t>
  </si>
  <si>
    <t>Bandwidth (MHz):</t>
  </si>
  <si>
    <t>dBm</t>
  </si>
  <si>
    <t>pdf</t>
  </si>
  <si>
    <t>I/P level</t>
  </si>
  <si>
    <t>dBu</t>
  </si>
  <si>
    <t>Field strength</t>
  </si>
  <si>
    <t>DTV time variability signal standard deviation at 135 km:</t>
  </si>
  <si>
    <t>doc.: IEEE 802.22-06/0051r8</t>
  </si>
  <si>
    <t>2006-07-10</t>
  </si>
  <si>
    <t>DTV signal time variability:  standard deviation at 135 km=</t>
  </si>
  <si>
    <t>Mean Field strength:</t>
  </si>
  <si>
    <t>Mean I/P level:</t>
  </si>
  <si>
    <t>Mean SNR:</t>
  </si>
  <si>
    <t>Variance:</t>
  </si>
  <si>
    <t>Standard deviation:</t>
  </si>
  <si>
    <t>Energy detector transfer function</t>
  </si>
  <si>
    <t>Samples:</t>
  </si>
  <si>
    <t>Pfa:</t>
  </si>
  <si>
    <t>Required probability of detection as a function of number of sensors</t>
  </si>
  <si>
    <t>Required signal level at each sensor as a function of composite signal availability and number of independent sensors (dBm)</t>
  </si>
  <si>
    <t>NTS time variability signal standard deviation at 70.5 km:</t>
  </si>
  <si>
    <t>802.22 WRAN Incumbent Sensing
DTV composite probability integration with the sensor transfer function</t>
  </si>
  <si>
    <t>802.22 WRAN Incumbent Sensing
DTV Composite Probability Model</t>
  </si>
  <si>
    <t>802.22 WRAN Incumbent Sensing
NTSC Composite Probability Model</t>
  </si>
  <si>
    <t>802.22 WRAN Incumbent Sensing
NTSC composite probability integration with the sensor transfer function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</si>
</sst>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 numFmtId="188" formatCode="0.00000000000000%"/>
    <numFmt numFmtId="189" formatCode="0.00000000000000"/>
  </numFmts>
  <fonts count="38">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11"/>
      <name val="Arial"/>
      <family val="2"/>
    </font>
    <font>
      <b/>
      <sz val="11.75"/>
      <name val="Arial"/>
      <family val="2"/>
    </font>
    <font>
      <b/>
      <sz val="9"/>
      <name val="Arial"/>
      <family val="2"/>
    </font>
    <font>
      <sz val="8.75"/>
      <name val="Arial"/>
      <family val="0"/>
    </font>
    <font>
      <b/>
      <sz val="10.5"/>
      <name val="Arial"/>
      <family val="0"/>
    </font>
    <font>
      <b/>
      <sz val="8.75"/>
      <name val="Arial"/>
      <family val="0"/>
    </font>
    <font>
      <b/>
      <sz val="8.5"/>
      <name val="Arial"/>
      <family val="0"/>
    </font>
    <font>
      <sz val="8.5"/>
      <name val="Arial"/>
      <family val="0"/>
    </font>
    <font>
      <b/>
      <sz val="9.75"/>
      <name val="Arial"/>
      <family val="2"/>
    </font>
    <font>
      <sz val="3.5"/>
      <name val="Arial"/>
      <family val="0"/>
    </font>
    <font>
      <b/>
      <sz val="9.5"/>
      <name val="Arial"/>
      <family val="2"/>
    </font>
    <font>
      <sz val="3.75"/>
      <name val="Arial"/>
      <family val="0"/>
    </font>
    <font>
      <sz val="8.25"/>
      <name val="Arial"/>
      <family val="2"/>
    </font>
    <font>
      <sz val="9"/>
      <name val="Arial"/>
      <family val="2"/>
    </font>
    <font>
      <sz val="5.5"/>
      <name val="Arial"/>
      <family val="0"/>
    </font>
    <font>
      <b/>
      <sz val="8"/>
      <name val="Arial"/>
      <family val="2"/>
    </font>
  </fonts>
  <fills count="10">
    <fill>
      <patternFill/>
    </fill>
    <fill>
      <patternFill patternType="gray125"/>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s>
  <borders count="58">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504">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2"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3"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4" borderId="3" xfId="23" applyNumberFormat="1" applyFill="1" applyBorder="1" applyAlignment="1">
      <alignment horizontal="center"/>
    </xf>
    <xf numFmtId="9" fontId="0" fillId="4" borderId="4" xfId="23" applyNumberFormat="1" applyFill="1" applyBorder="1" applyAlignment="1">
      <alignment horizontal="center"/>
    </xf>
    <xf numFmtId="9" fontId="0" fillId="4"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4" borderId="12" xfId="23" applyNumberFormat="1" applyFill="1" applyBorder="1" applyAlignment="1">
      <alignment horizontal="center"/>
    </xf>
    <xf numFmtId="9" fontId="0" fillId="4" borderId="1" xfId="23" applyNumberFormat="1" applyFill="1" applyBorder="1" applyAlignment="1">
      <alignment horizontal="center"/>
    </xf>
    <xf numFmtId="9" fontId="0" fillId="4"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4"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4"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5"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5"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4" borderId="12" xfId="23" applyNumberFormat="1" applyFill="1" applyBorder="1" applyAlignment="1">
      <alignment horizontal="center"/>
    </xf>
    <xf numFmtId="182" fontId="0" fillId="4"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4" borderId="5" xfId="23" applyNumberFormat="1" applyFont="1" applyFill="1" applyBorder="1" applyAlignment="1">
      <alignment horizontal="center" wrapText="1"/>
    </xf>
    <xf numFmtId="172" fontId="4" fillId="4" borderId="9" xfId="23" applyNumberFormat="1" applyFont="1" applyFill="1" applyBorder="1" applyAlignment="1">
      <alignment horizontal="center"/>
    </xf>
    <xf numFmtId="172" fontId="4" fillId="4" borderId="9" xfId="23" applyNumberFormat="1" applyFont="1" applyFill="1" applyBorder="1" applyAlignment="1">
      <alignment horizontal="center" wrapText="1"/>
    </xf>
    <xf numFmtId="172" fontId="4" fillId="4" borderId="40" xfId="23" applyNumberFormat="1" applyFont="1" applyFill="1" applyBorder="1" applyAlignment="1">
      <alignment horizontal="center"/>
    </xf>
    <xf numFmtId="172" fontId="4" fillId="4"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47" xfId="23" applyNumberFormat="1" applyFill="1" applyBorder="1" applyAlignment="1">
      <alignment horizontal="center" wrapText="1"/>
    </xf>
    <xf numFmtId="0" fontId="5" fillId="0" borderId="4" xfId="23" applyFont="1" applyBorder="1" applyAlignment="1">
      <alignment horizontal="center"/>
    </xf>
    <xf numFmtId="0" fontId="3" fillId="0" borderId="0" xfId="23" applyFont="1" applyFill="1" applyAlignment="1">
      <alignment horizontal="right"/>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182" fontId="0" fillId="0" borderId="0" xfId="23" applyNumberFormat="1" applyFill="1" applyBorder="1" applyAlignment="1">
      <alignment horizontal="center"/>
    </xf>
    <xf numFmtId="0" fontId="5" fillId="0" borderId="28" xfId="23" applyNumberFormat="1" applyFont="1" applyFill="1" applyBorder="1" applyAlignment="1">
      <alignment horizontal="center"/>
    </xf>
    <xf numFmtId="9" fontId="0" fillId="4"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0" fontId="5" fillId="0" borderId="48" xfId="23" applyFont="1" applyFill="1" applyBorder="1">
      <alignment/>
    </xf>
    <xf numFmtId="10" fontId="0" fillId="0" borderId="49"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0" fillId="0" borderId="0" xfId="23" applyFont="1" applyFill="1" applyAlignment="1">
      <alignment horizontal="left" vertical="center"/>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0"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1" xfId="23" applyNumberFormat="1" applyFont="1" applyBorder="1" applyAlignment="1">
      <alignment horizontal="center"/>
    </xf>
    <xf numFmtId="0" fontId="0" fillId="5" borderId="7" xfId="23" applyFont="1" applyFill="1" applyBorder="1" applyAlignment="1">
      <alignment horizontal="left" vertical="center"/>
    </xf>
    <xf numFmtId="2" fontId="0" fillId="5" borderId="8" xfId="23" applyNumberFormat="1" applyFont="1" applyFill="1" applyBorder="1" applyAlignment="1">
      <alignment horizontal="center" vertical="center"/>
    </xf>
    <xf numFmtId="173" fontId="0" fillId="5" borderId="8" xfId="23" applyNumberFormat="1" applyFont="1" applyFill="1" applyBorder="1" applyAlignment="1">
      <alignment horizontal="center" vertical="center"/>
    </xf>
    <xf numFmtId="173" fontId="0" fillId="5" borderId="30" xfId="23" applyNumberFormat="1" applyFont="1" applyFill="1" applyBorder="1" applyAlignment="1">
      <alignment horizontal="center" vertical="center"/>
    </xf>
    <xf numFmtId="0" fontId="0" fillId="0" borderId="7" xfId="23" applyFont="1" applyFill="1" applyBorder="1" applyAlignment="1">
      <alignment horizontal="left" wrapText="1"/>
    </xf>
    <xf numFmtId="0" fontId="5" fillId="0" borderId="7" xfId="23" applyFont="1" applyFill="1" applyBorder="1" applyAlignment="1">
      <alignment horizontal="right"/>
    </xf>
    <xf numFmtId="0" fontId="5" fillId="0" borderId="11" xfId="23" applyFont="1" applyFill="1" applyBorder="1" applyAlignment="1">
      <alignment horizontal="right"/>
    </xf>
    <xf numFmtId="0" fontId="22" fillId="0" borderId="0" xfId="23" applyFont="1" applyFill="1" applyBorder="1" applyAlignment="1">
      <alignment horizontal="center"/>
    </xf>
    <xf numFmtId="0" fontId="3" fillId="0" borderId="0" xfId="23" applyFont="1" applyFill="1" applyAlignment="1">
      <alignment horizontal="left"/>
    </xf>
    <xf numFmtId="0" fontId="22" fillId="0" borderId="0" xfId="23" applyFont="1" applyFill="1" applyAlignment="1">
      <alignment horizontal="left"/>
    </xf>
    <xf numFmtId="183" fontId="0" fillId="0" borderId="8" xfId="23" applyNumberFormat="1" applyFont="1" applyBorder="1" applyAlignment="1">
      <alignment horizontal="center"/>
    </xf>
    <xf numFmtId="183" fontId="0" fillId="0" borderId="10" xfId="23" applyNumberFormat="1" applyFont="1" applyBorder="1" applyAlignment="1">
      <alignment horizontal="center"/>
    </xf>
    <xf numFmtId="9" fontId="5" fillId="6" borderId="0" xfId="23" applyNumberFormat="1" applyFont="1" applyFill="1" applyAlignment="1">
      <alignment horizontal="center"/>
    </xf>
    <xf numFmtId="0" fontId="5" fillId="0" borderId="2" xfId="23" applyFont="1" applyFill="1" applyBorder="1" applyAlignment="1">
      <alignment horizontal="right"/>
    </xf>
    <xf numFmtId="10" fontId="0" fillId="0" borderId="3" xfId="23" applyNumberFormat="1" applyFont="1" applyBorder="1" applyAlignment="1">
      <alignment horizontal="center"/>
    </xf>
    <xf numFmtId="10" fontId="0" fillId="0" borderId="6" xfId="23" applyNumberFormat="1" applyFont="1" applyBorder="1" applyAlignment="1">
      <alignment horizontal="center"/>
    </xf>
    <xf numFmtId="9" fontId="5" fillId="0" borderId="0" xfId="23" applyNumberFormat="1" applyFont="1" applyFill="1" applyAlignment="1">
      <alignment horizontal="center"/>
    </xf>
    <xf numFmtId="9" fontId="5" fillId="6" borderId="0" xfId="23" applyNumberFormat="1" applyFont="1" applyFill="1" applyAlignment="1">
      <alignment horizontal="left"/>
    </xf>
    <xf numFmtId="0" fontId="5" fillId="6" borderId="0" xfId="23" applyNumberFormat="1" applyFont="1" applyFill="1" applyAlignment="1">
      <alignment horizontal="center"/>
    </xf>
    <xf numFmtId="0" fontId="3" fillId="0" borderId="0" xfId="23" applyNumberFormat="1" applyFont="1" applyFill="1" applyBorder="1" applyAlignment="1">
      <alignment horizontal="right"/>
    </xf>
    <xf numFmtId="0" fontId="0" fillId="0" borderId="5" xfId="23" applyBorder="1">
      <alignment/>
    </xf>
    <xf numFmtId="0" fontId="0" fillId="0" borderId="4" xfId="23" applyBorder="1">
      <alignment/>
    </xf>
    <xf numFmtId="0" fontId="0" fillId="0" borderId="4" xfId="23" applyBorder="1" applyAlignment="1">
      <alignment/>
    </xf>
    <xf numFmtId="0" fontId="0" fillId="0" borderId="15" xfId="23" applyBorder="1" applyAlignment="1">
      <alignment/>
    </xf>
    <xf numFmtId="0" fontId="0" fillId="0" borderId="30" xfId="23" applyBorder="1">
      <alignment/>
    </xf>
    <xf numFmtId="0" fontId="0" fillId="0" borderId="30" xfId="23" applyBorder="1" applyAlignment="1">
      <alignment horizontal="left" wrapText="1"/>
    </xf>
    <xf numFmtId="0" fontId="0" fillId="0" borderId="30" xfId="23" applyBorder="1" applyAlignment="1">
      <alignment/>
    </xf>
    <xf numFmtId="0" fontId="0" fillId="0" borderId="29" xfId="23" applyBorder="1" applyAlignment="1">
      <alignment/>
    </xf>
    <xf numFmtId="10" fontId="0" fillId="0" borderId="0" xfId="23" applyNumberFormat="1">
      <alignment/>
    </xf>
    <xf numFmtId="188" fontId="0" fillId="0" borderId="0" xfId="23" applyNumberFormat="1">
      <alignment/>
    </xf>
    <xf numFmtId="9" fontId="0" fillId="0" borderId="0" xfId="23" applyNumberFormat="1">
      <alignment/>
    </xf>
    <xf numFmtId="0" fontId="0" fillId="0" borderId="0" xfId="23" applyNumberFormat="1">
      <alignment/>
    </xf>
    <xf numFmtId="10" fontId="0" fillId="0" borderId="8" xfId="23" applyNumberFormat="1" applyFont="1" applyBorder="1" applyAlignment="1">
      <alignment horizontal="center"/>
    </xf>
    <xf numFmtId="10" fontId="0" fillId="0" borderId="10" xfId="23" applyNumberFormat="1" applyFont="1" applyBorder="1" applyAlignment="1">
      <alignment horizontal="center"/>
    </xf>
    <xf numFmtId="10" fontId="0" fillId="0" borderId="12" xfId="23" applyNumberFormat="1" applyFont="1" applyBorder="1" applyAlignment="1">
      <alignment horizontal="center"/>
    </xf>
    <xf numFmtId="10" fontId="0" fillId="0" borderId="14" xfId="23" applyNumberFormat="1" applyFont="1" applyBorder="1" applyAlignment="1">
      <alignment horizontal="center"/>
    </xf>
    <xf numFmtId="172" fontId="0" fillId="0" borderId="0" xfId="23" applyNumberFormat="1">
      <alignment/>
    </xf>
    <xf numFmtId="0" fontId="0" fillId="0" borderId="0" xfId="0" applyAlignment="1">
      <alignment horizontal="center"/>
    </xf>
    <xf numFmtId="182" fontId="0" fillId="0" borderId="0" xfId="0" applyNumberFormat="1" applyBorder="1" applyAlignment="1">
      <alignment horizontal="center"/>
    </xf>
    <xf numFmtId="182" fontId="0" fillId="0" borderId="30" xfId="0" applyNumberFormat="1" applyBorder="1" applyAlignment="1">
      <alignment horizontal="center"/>
    </xf>
    <xf numFmtId="172" fontId="0" fillId="0" borderId="0" xfId="0" applyNumberFormat="1" applyBorder="1" applyAlignment="1">
      <alignment horizontal="center" vertical="center"/>
    </xf>
    <xf numFmtId="172" fontId="0" fillId="0" borderId="30" xfId="0" applyNumberFormat="1" applyBorder="1" applyAlignment="1">
      <alignment horizontal="center" vertical="center"/>
    </xf>
    <xf numFmtId="172" fontId="0" fillId="0" borderId="1" xfId="0" applyNumberFormat="1" applyBorder="1" applyAlignment="1">
      <alignment horizontal="center" vertical="center"/>
    </xf>
    <xf numFmtId="172" fontId="0" fillId="0" borderId="29" xfId="0" applyNumberFormat="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wrapText="1"/>
    </xf>
    <xf numFmtId="0" fontId="0" fillId="0" borderId="46" xfId="0" applyBorder="1" applyAlignment="1">
      <alignment wrapText="1"/>
    </xf>
    <xf numFmtId="0" fontId="0" fillId="0" borderId="55" xfId="0" applyBorder="1" applyAlignment="1">
      <alignment wrapText="1"/>
    </xf>
    <xf numFmtId="0" fontId="0" fillId="0" borderId="16" xfId="0" applyBorder="1" applyAlignment="1">
      <alignment/>
    </xf>
    <xf numFmtId="0" fontId="0" fillId="0" borderId="9" xfId="0" applyBorder="1" applyAlignment="1">
      <alignment/>
    </xf>
    <xf numFmtId="0" fontId="0" fillId="0" borderId="21" xfId="0" applyBorder="1" applyAlignment="1">
      <alignment/>
    </xf>
    <xf numFmtId="0" fontId="0" fillId="0" borderId="19" xfId="0" applyBorder="1" applyAlignment="1">
      <alignment/>
    </xf>
    <xf numFmtId="0" fontId="0" fillId="0" borderId="31" xfId="0" applyBorder="1" applyAlignment="1">
      <alignment horizontal="center"/>
    </xf>
    <xf numFmtId="0" fontId="0" fillId="0" borderId="22" xfId="0" applyBorder="1" applyAlignment="1">
      <alignment/>
    </xf>
    <xf numFmtId="9"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0" fontId="0" fillId="0" borderId="0" xfId="0" applyNumberFormat="1" applyBorder="1" applyAlignment="1">
      <alignment horizontal="center"/>
    </xf>
    <xf numFmtId="10" fontId="0" fillId="0" borderId="30" xfId="0" applyNumberFormat="1" applyBorder="1" applyAlignment="1">
      <alignment horizontal="center"/>
    </xf>
    <xf numFmtId="183" fontId="0" fillId="0" borderId="0" xfId="0" applyNumberFormat="1" applyBorder="1" applyAlignment="1">
      <alignment horizontal="center"/>
    </xf>
    <xf numFmtId="0" fontId="5" fillId="7" borderId="40" xfId="0" applyFont="1" applyFill="1" applyBorder="1" applyAlignment="1">
      <alignment/>
    </xf>
    <xf numFmtId="10" fontId="5" fillId="7" borderId="32" xfId="0" applyNumberFormat="1" applyFont="1" applyFill="1" applyBorder="1" applyAlignment="1">
      <alignment horizontal="center"/>
    </xf>
    <xf numFmtId="183" fontId="5" fillId="7" borderId="32" xfId="0" applyNumberFormat="1" applyFont="1" applyFill="1" applyBorder="1" applyAlignment="1">
      <alignment horizontal="center"/>
    </xf>
    <xf numFmtId="187" fontId="5" fillId="7" borderId="32" xfId="0" applyNumberFormat="1" applyFont="1" applyFill="1" applyBorder="1" applyAlignment="1">
      <alignment horizontal="center"/>
    </xf>
    <xf numFmtId="187" fontId="0" fillId="0" borderId="0" xfId="0" applyNumberFormat="1" applyBorder="1" applyAlignment="1">
      <alignment horizontal="center"/>
    </xf>
    <xf numFmtId="0" fontId="5" fillId="0" borderId="9" xfId="23" applyFont="1" applyBorder="1" applyAlignment="1">
      <alignment horizontal="center"/>
    </xf>
    <xf numFmtId="183" fontId="0" fillId="0" borderId="1" xfId="0" applyNumberFormat="1" applyBorder="1" applyAlignment="1">
      <alignment horizontal="center"/>
    </xf>
    <xf numFmtId="182" fontId="0" fillId="0" borderId="1" xfId="0" applyNumberFormat="1" applyBorder="1" applyAlignment="1">
      <alignment horizontal="center"/>
    </xf>
    <xf numFmtId="182" fontId="0" fillId="0" borderId="29" xfId="0" applyNumberFormat="1" applyBorder="1" applyAlignment="1">
      <alignment horizontal="center"/>
    </xf>
    <xf numFmtId="0" fontId="5" fillId="0" borderId="54" xfId="0" applyFont="1" applyBorder="1" applyAlignment="1">
      <alignment horizontal="left" vertical="center" wrapText="1"/>
    </xf>
    <xf numFmtId="10" fontId="0" fillId="0" borderId="1" xfId="0" applyNumberFormat="1" applyBorder="1" applyAlignment="1">
      <alignment horizontal="center"/>
    </xf>
    <xf numFmtId="9" fontId="0" fillId="0" borderId="0" xfId="0" applyNumberFormat="1" applyAlignment="1">
      <alignment/>
    </xf>
    <xf numFmtId="10" fontId="0" fillId="0" borderId="0" xfId="0" applyNumberFormat="1" applyAlignment="1">
      <alignment/>
    </xf>
    <xf numFmtId="1" fontId="5" fillId="0" borderId="21" xfId="23" applyNumberFormat="1" applyFont="1" applyBorder="1" applyAlignment="1">
      <alignment horizontal="center"/>
    </xf>
    <xf numFmtId="10" fontId="0" fillId="0" borderId="21" xfId="23" applyNumberFormat="1" applyBorder="1" applyAlignment="1">
      <alignment horizontal="center"/>
    </xf>
    <xf numFmtId="10" fontId="0" fillId="0" borderId="22" xfId="23" applyNumberFormat="1" applyBorder="1" applyAlignment="1">
      <alignment horizontal="center"/>
    </xf>
    <xf numFmtId="1" fontId="5" fillId="0" borderId="0" xfId="23" applyNumberFormat="1" applyFont="1" applyBorder="1" applyAlignment="1">
      <alignment horizontal="center"/>
    </xf>
    <xf numFmtId="10" fontId="0" fillId="0" borderId="0" xfId="23" applyNumberFormat="1" applyBorder="1" applyAlignment="1">
      <alignment horizontal="center"/>
    </xf>
    <xf numFmtId="0" fontId="17" fillId="8" borderId="0" xfId="23" applyFont="1" applyFill="1" applyBorder="1" applyAlignment="1">
      <alignment horizontal="center"/>
    </xf>
    <xf numFmtId="0" fontId="15" fillId="8" borderId="0" xfId="23" applyFont="1" applyFill="1" applyBorder="1" applyAlignment="1">
      <alignment horizontal="center"/>
    </xf>
    <xf numFmtId="0" fontId="5" fillId="0" borderId="5" xfId="23" applyFont="1" applyBorder="1" applyAlignment="1">
      <alignment horizontal="center"/>
    </xf>
    <xf numFmtId="10" fontId="0" fillId="0" borderId="31" xfId="23" applyNumberFormat="1" applyBorder="1" applyAlignment="1">
      <alignment horizontal="center"/>
    </xf>
    <xf numFmtId="0" fontId="5" fillId="0" borderId="32" xfId="0" applyFont="1" applyBorder="1" applyAlignment="1">
      <alignment horizontal="center"/>
    </xf>
    <xf numFmtId="0" fontId="5" fillId="0" borderId="16" xfId="0" applyFont="1" applyBorder="1" applyAlignment="1">
      <alignment horizontal="center"/>
    </xf>
    <xf numFmtId="0" fontId="0" fillId="0" borderId="9"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9" xfId="0" applyFill="1" applyBorder="1" applyAlignment="1">
      <alignment horizontal="center"/>
    </xf>
    <xf numFmtId="180" fontId="0" fillId="0" borderId="0" xfId="0" applyNumberFormat="1" applyBorder="1" applyAlignment="1">
      <alignment/>
    </xf>
    <xf numFmtId="180" fontId="0" fillId="0" borderId="21" xfId="0" applyNumberFormat="1" applyBorder="1" applyAlignment="1">
      <alignment/>
    </xf>
    <xf numFmtId="0" fontId="0" fillId="0" borderId="19" xfId="0" applyFill="1" applyBorder="1" applyAlignment="1">
      <alignment horizontal="center"/>
    </xf>
    <xf numFmtId="180" fontId="0" fillId="0" borderId="31" xfId="0" applyNumberFormat="1" applyBorder="1" applyAlignment="1">
      <alignment/>
    </xf>
    <xf numFmtId="180" fontId="0" fillId="0" borderId="22" xfId="0" applyNumberFormat="1" applyBorder="1" applyAlignment="1">
      <alignment/>
    </xf>
    <xf numFmtId="0" fontId="0" fillId="0" borderId="40" xfId="0" applyBorder="1" applyAlignment="1">
      <alignment/>
    </xf>
    <xf numFmtId="0" fontId="5" fillId="0" borderId="0" xfId="0" applyFont="1" applyAlignment="1">
      <alignment/>
    </xf>
    <xf numFmtId="0" fontId="0" fillId="0" borderId="40" xfId="0" applyFill="1" applyBorder="1" applyAlignment="1">
      <alignment horizontal="center"/>
    </xf>
    <xf numFmtId="0" fontId="5" fillId="0" borderId="0" xfId="0" applyFont="1" applyAlignment="1">
      <alignment horizontal="center"/>
    </xf>
    <xf numFmtId="0" fontId="0" fillId="0" borderId="45" xfId="0" applyFont="1" applyBorder="1" applyAlignment="1">
      <alignment/>
    </xf>
    <xf numFmtId="172" fontId="0" fillId="0" borderId="0" xfId="0" applyNumberFormat="1" applyAlignment="1">
      <alignment horizontal="center"/>
    </xf>
    <xf numFmtId="1" fontId="5" fillId="0" borderId="9" xfId="23" applyNumberFormat="1" applyFont="1" applyBorder="1" applyAlignment="1">
      <alignment horizontal="center"/>
    </xf>
    <xf numFmtId="183" fontId="5" fillId="0" borderId="45" xfId="0" applyNumberFormat="1" applyFont="1" applyBorder="1" applyAlignment="1">
      <alignment/>
    </xf>
    <xf numFmtId="0" fontId="6" fillId="0" borderId="0" xfId="23" applyFont="1" applyFill="1" applyAlignment="1">
      <alignment horizontal="center" vertical="center" wrapText="1"/>
    </xf>
    <xf numFmtId="183" fontId="5" fillId="0" borderId="34" xfId="0" applyNumberFormat="1" applyFont="1" applyBorder="1" applyAlignment="1">
      <alignment/>
    </xf>
    <xf numFmtId="187" fontId="0" fillId="0" borderId="0" xfId="0" applyNumberFormat="1" applyAlignment="1">
      <alignment horizontal="center"/>
    </xf>
    <xf numFmtId="9" fontId="5" fillId="5" borderId="32" xfId="23" applyNumberFormat="1" applyFont="1" applyFill="1" applyBorder="1" applyAlignment="1">
      <alignment horizontal="center"/>
    </xf>
    <xf numFmtId="9" fontId="5" fillId="5" borderId="16" xfId="23" applyNumberFormat="1" applyFont="1" applyFill="1" applyBorder="1" applyAlignment="1">
      <alignment horizontal="center"/>
    </xf>
    <xf numFmtId="9" fontId="0" fillId="0" borderId="0" xfId="0" applyNumberFormat="1" applyAlignment="1">
      <alignment horizontal="center"/>
    </xf>
    <xf numFmtId="0" fontId="5" fillId="0" borderId="28" xfId="0" applyFont="1" applyBorder="1" applyAlignment="1">
      <alignment horizontal="center"/>
    </xf>
    <xf numFmtId="1" fontId="5" fillId="7" borderId="31" xfId="23" applyNumberFormat="1" applyFont="1" applyFill="1" applyBorder="1" applyAlignment="1">
      <alignment horizontal="center"/>
    </xf>
    <xf numFmtId="1" fontId="5" fillId="7" borderId="22" xfId="23" applyNumberFormat="1" applyFont="1" applyFill="1" applyBorder="1" applyAlignment="1">
      <alignment horizontal="center"/>
    </xf>
    <xf numFmtId="172" fontId="0" fillId="0" borderId="0" xfId="0" applyNumberFormat="1" applyBorder="1" applyAlignment="1">
      <alignment horizontal="center"/>
    </xf>
    <xf numFmtId="172" fontId="0" fillId="0" borderId="32" xfId="0" applyNumberFormat="1" applyBorder="1" applyAlignment="1">
      <alignment horizontal="center"/>
    </xf>
    <xf numFmtId="172" fontId="0" fillId="0" borderId="31" xfId="0" applyNumberFormat="1" applyBorder="1" applyAlignment="1">
      <alignment horizontal="center"/>
    </xf>
    <xf numFmtId="0" fontId="5" fillId="0" borderId="40" xfId="0" applyFont="1" applyBorder="1" applyAlignment="1">
      <alignment/>
    </xf>
    <xf numFmtId="0" fontId="5" fillId="0" borderId="9" xfId="0" applyFont="1" applyBorder="1" applyAlignment="1">
      <alignment/>
    </xf>
    <xf numFmtId="0" fontId="5" fillId="0" borderId="0"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xf>
    <xf numFmtId="0" fontId="5" fillId="0" borderId="31" xfId="0" applyFont="1" applyBorder="1" applyAlignment="1">
      <alignment horizontal="center"/>
    </xf>
    <xf numFmtId="0" fontId="5" fillId="0" borderId="22" xfId="0" applyFont="1" applyBorder="1" applyAlignment="1">
      <alignment horizontal="center"/>
    </xf>
    <xf numFmtId="2" fontId="0" fillId="0" borderId="7" xfId="23" applyNumberFormat="1" applyFill="1" applyBorder="1" applyAlignment="1">
      <alignment horizontal="center" wrapText="1"/>
    </xf>
    <xf numFmtId="0" fontId="5" fillId="5" borderId="40" xfId="0" applyFont="1" applyFill="1" applyBorder="1" applyAlignment="1">
      <alignment horizontal="right"/>
    </xf>
    <xf numFmtId="0" fontId="5" fillId="7" borderId="19" xfId="0" applyFont="1" applyFill="1" applyBorder="1" applyAlignment="1">
      <alignment horizontal="center"/>
    </xf>
    <xf numFmtId="0" fontId="5" fillId="0" borderId="40" xfId="23" applyFont="1" applyBorder="1" applyAlignment="1">
      <alignment horizontal="center"/>
    </xf>
    <xf numFmtId="9" fontId="5" fillId="0" borderId="32" xfId="23" applyNumberFormat="1" applyFont="1" applyBorder="1" applyAlignment="1">
      <alignment horizontal="center"/>
    </xf>
    <xf numFmtId="9" fontId="5" fillId="0" borderId="16" xfId="23" applyNumberFormat="1" applyFont="1" applyFill="1" applyBorder="1" applyAlignment="1">
      <alignment horizontal="center"/>
    </xf>
    <xf numFmtId="0" fontId="5" fillId="0" borderId="9" xfId="23" applyFont="1" applyFill="1" applyBorder="1" applyAlignment="1">
      <alignment horizontal="center"/>
    </xf>
    <xf numFmtId="0" fontId="5" fillId="0" borderId="19" xfId="23" applyFont="1" applyFill="1" applyBorder="1" applyAlignment="1">
      <alignment horizontal="center"/>
    </xf>
    <xf numFmtId="1" fontId="0" fillId="0" borderId="30" xfId="23" applyNumberFormat="1" applyFont="1" applyBorder="1" applyAlignment="1">
      <alignment horizontal="center"/>
    </xf>
    <xf numFmtId="0" fontId="5" fillId="0" borderId="31" xfId="23" applyFont="1" applyFill="1" applyBorder="1" applyAlignment="1">
      <alignment horizontal="center"/>
    </xf>
    <xf numFmtId="0" fontId="6" fillId="9" borderId="0" xfId="23" applyFont="1" applyFill="1" applyAlignment="1">
      <alignment horizontal="center" vertical="center" wrapText="1"/>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9" fontId="5" fillId="0" borderId="56"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56"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9" fontId="5" fillId="0" borderId="0" xfId="0" applyNumberFormat="1" applyFont="1" applyBorder="1" applyAlignment="1">
      <alignment horizontal="center"/>
    </xf>
    <xf numFmtId="182" fontId="5" fillId="0" borderId="0" xfId="0" applyNumberFormat="1" applyFont="1" applyBorder="1" applyAlignment="1">
      <alignment horizontal="center"/>
    </xf>
    <xf numFmtId="10" fontId="5" fillId="0" borderId="0" xfId="0" applyNumberFormat="1" applyFont="1" applyBorder="1" applyAlignment="1">
      <alignment horizontal="center"/>
    </xf>
    <xf numFmtId="183" fontId="5" fillId="0" borderId="1" xfId="0" applyNumberFormat="1" applyFont="1" applyBorder="1" applyAlignment="1">
      <alignment horizontal="center"/>
    </xf>
    <xf numFmtId="172" fontId="0" fillId="0" borderId="0" xfId="0" applyNumberFormat="1" applyFont="1" applyBorder="1" applyAlignment="1">
      <alignment horizontal="center"/>
    </xf>
    <xf numFmtId="172" fontId="0" fillId="0" borderId="30" xfId="0" applyNumberFormat="1" applyFont="1" applyBorder="1" applyAlignment="1">
      <alignment horizontal="center"/>
    </xf>
    <xf numFmtId="172" fontId="0" fillId="0" borderId="1" xfId="0" applyNumberFormat="1" applyFont="1" applyBorder="1" applyAlignment="1">
      <alignment horizontal="center"/>
    </xf>
    <xf numFmtId="172" fontId="0" fillId="0" borderId="29" xfId="0" applyNumberFormat="1" applyFont="1" applyBorder="1" applyAlignment="1">
      <alignment horizontal="center"/>
    </xf>
    <xf numFmtId="0" fontId="5" fillId="0" borderId="0" xfId="0" applyFont="1" applyBorder="1" applyAlignment="1">
      <alignment horizontal="left" vertical="center" wrapText="1"/>
    </xf>
    <xf numFmtId="183" fontId="5" fillId="0" borderId="0" xfId="0" applyNumberFormat="1" applyFont="1" applyBorder="1" applyAlignment="1">
      <alignment horizontal="center"/>
    </xf>
    <xf numFmtId="2" fontId="0" fillId="0" borderId="0" xfId="0" applyNumberFormat="1" applyAlignment="1">
      <alignment horizontal="center"/>
    </xf>
    <xf numFmtId="2" fontId="0" fillId="0" borderId="31" xfId="0" applyNumberForma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172" fontId="5" fillId="0" borderId="0" xfId="23" applyNumberFormat="1" applyFont="1" applyFill="1" applyBorder="1" applyAlignment="1">
      <alignment horizontal="center" wrapText="1"/>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15" fillId="0" borderId="1" xfId="23" applyFont="1" applyFill="1" applyBorder="1" applyAlignment="1">
      <alignment horizontal="center" vertical="center"/>
    </xf>
    <xf numFmtId="0" fontId="3" fillId="0" borderId="0" xfId="23" applyFont="1" applyFill="1" applyBorder="1" applyAlignment="1">
      <alignment horizontal="right"/>
    </xf>
    <xf numFmtId="0" fontId="3" fillId="0" borderId="0" xfId="23" applyFont="1" applyFill="1" applyAlignment="1">
      <alignment horizontal="right"/>
    </xf>
    <xf numFmtId="0" fontId="5" fillId="0" borderId="56" xfId="23" applyFont="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0" fontId="5" fillId="0" borderId="57" xfId="0" applyFont="1" applyBorder="1" applyAlignment="1">
      <alignment horizontal="left" vertical="center" wrapText="1"/>
    </xf>
    <xf numFmtId="0" fontId="5" fillId="0" borderId="46" xfId="0" applyFont="1" applyBorder="1" applyAlignment="1">
      <alignment horizontal="left" vertical="center" wrapText="1"/>
    </xf>
    <xf numFmtId="0" fontId="5" fillId="0" borderId="55" xfId="0" applyFont="1" applyBorder="1" applyAlignment="1">
      <alignment horizontal="left" vertical="center" wrapText="1"/>
    </xf>
    <xf numFmtId="0" fontId="5" fillId="0" borderId="40" xfId="0" applyFont="1" applyBorder="1" applyAlignment="1">
      <alignment horizontal="center"/>
    </xf>
    <xf numFmtId="0" fontId="5" fillId="0" borderId="32"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3" fillId="0" borderId="0" xfId="22" applyFont="1" applyAlignment="1">
      <alignment horizontal="left" vertical="center" wrapText="1"/>
      <protection/>
    </xf>
    <xf numFmtId="0" fontId="3" fillId="0" borderId="0" xfId="22" applyFont="1" applyAlignment="1">
      <alignment horizontal="left" vertical="center"/>
      <protection/>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Energy detector transfer function</a:t>
            </a:r>
          </a:p>
        </c:rich>
      </c:tx>
      <c:layout/>
      <c:spPr>
        <a:noFill/>
        <a:ln>
          <a:noFill/>
        </a:ln>
      </c:spPr>
    </c:title>
    <c:plotArea>
      <c:layout>
        <c:manualLayout>
          <c:xMode val="edge"/>
          <c:yMode val="edge"/>
          <c:x val="0.02825"/>
          <c:y val="0.06675"/>
          <c:w val="0.939"/>
          <c:h val="0.8635"/>
        </c:manualLayout>
      </c:layout>
      <c:scatterChart>
        <c:scatterStyle val="smooth"/>
        <c:varyColors val="0"/>
        <c:ser>
          <c:idx val="0"/>
          <c:order val="0"/>
          <c:tx>
            <c:v>Pfa= 1%</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time'!$M$47:$M$67</c:f>
              <c:numCache/>
            </c:numRef>
          </c:xVal>
          <c:yVal>
            <c:numRef>
              <c:f>'Sensing time'!$N$47:$N$67</c:f>
              <c:numCache/>
            </c:numRef>
          </c:yVal>
          <c:smooth val="1"/>
        </c:ser>
        <c:ser>
          <c:idx val="1"/>
          <c:order val="1"/>
          <c:tx>
            <c:v>Pfa= 5%</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time'!$M$47:$M$67</c:f>
              <c:numCache/>
            </c:numRef>
          </c:xVal>
          <c:yVal>
            <c:numRef>
              <c:f>'Sensing time'!$O$47:$O$67</c:f>
              <c:numCache/>
            </c:numRef>
          </c:yVal>
          <c:smooth val="1"/>
        </c:ser>
        <c:ser>
          <c:idx val="2"/>
          <c:order val="2"/>
          <c:tx>
            <c:v>Pfa= 10%</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time'!$M$47:$M$67</c:f>
              <c:numCache/>
            </c:numRef>
          </c:xVal>
          <c:yVal>
            <c:numRef>
              <c:f>'Sensing time'!$P$47:$P$67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time'!$M$47:$M$67</c:f>
              <c:numCache/>
            </c:numRef>
          </c:xVal>
          <c:yVal>
            <c:numRef>
              <c:f>'Sensing time'!$Q$47:$Q$67</c:f>
              <c:numCache/>
            </c:numRef>
          </c:yVal>
          <c:smooth val="1"/>
        </c:ser>
        <c:axId val="10977295"/>
        <c:axId val="31686792"/>
      </c:scatterChart>
      <c:valAx>
        <c:axId val="10977295"/>
        <c:scaling>
          <c:orientation val="minMax"/>
          <c:max val="-10"/>
          <c:min val="-50"/>
        </c:scaling>
        <c:axPos val="b"/>
        <c:title>
          <c:tx>
            <c:rich>
              <a:bodyPr vert="horz" rot="0" anchor="ctr"/>
              <a:lstStyle/>
              <a:p>
                <a:pPr algn="ctr">
                  <a:defRPr/>
                </a:pPr>
                <a:r>
                  <a:rPr lang="en-US" cap="none" sz="900" b="1" i="0" u="none" baseline="0">
                    <a:latin typeface="Arial"/>
                    <a:ea typeface="Arial"/>
                    <a:cs typeface="Arial"/>
                  </a:rPr>
                  <a:t>SNR (dB)</a:t>
                </a:r>
              </a:p>
            </c:rich>
          </c:tx>
          <c:layout/>
          <c:overlay val="0"/>
          <c:spPr>
            <a:noFill/>
            <a:ln>
              <a:noFill/>
            </a:ln>
          </c:spPr>
        </c:title>
        <c:delete val="0"/>
        <c:numFmt formatCode="General" sourceLinked="1"/>
        <c:majorTickMark val="out"/>
        <c:minorTickMark val="none"/>
        <c:tickLblPos val="nextTo"/>
        <c:crossAx val="31686792"/>
        <c:crosses val="autoZero"/>
        <c:crossBetween val="midCat"/>
        <c:dispUnits/>
      </c:valAx>
      <c:valAx>
        <c:axId val="31686792"/>
        <c:scaling>
          <c:orientation val="minMax"/>
        </c:scaling>
        <c:axPos val="l"/>
        <c:title>
          <c:tx>
            <c:rich>
              <a:bodyPr vert="horz" rot="-5400000" anchor="ctr"/>
              <a:lstStyle/>
              <a:p>
                <a:pPr algn="ctr">
                  <a:defRPr/>
                </a:pPr>
                <a:r>
                  <a:rPr lang="en-US" cap="none" sz="900" b="1" i="0" u="none" baseline="0">
                    <a:latin typeface="Arial"/>
                    <a:ea typeface="Arial"/>
                    <a:cs typeface="Arial"/>
                  </a:rPr>
                  <a:t>Pd (%)</a:t>
                </a:r>
              </a:p>
            </c:rich>
          </c:tx>
          <c:layout/>
          <c:overlay val="0"/>
          <c:spPr>
            <a:noFill/>
            <a:ln>
              <a:noFill/>
            </a:ln>
          </c:spPr>
        </c:title>
        <c:majorGridlines/>
        <c:delete val="0"/>
        <c:numFmt formatCode="0%" sourceLinked="0"/>
        <c:majorTickMark val="out"/>
        <c:minorTickMark val="none"/>
        <c:tickLblPos val="nextTo"/>
        <c:crossAx val="10977295"/>
        <c:crossesAt val="-50"/>
        <c:crossBetween val="midCat"/>
        <c:dispUnits/>
      </c:valAx>
      <c:spPr>
        <a:solidFill>
          <a:srgbClr val="C0C0C0"/>
        </a:solidFill>
        <a:ln w="12700">
          <a:solidFill>
            <a:srgbClr val="808080"/>
          </a:solidFill>
        </a:ln>
      </c:spPr>
    </c:plotArea>
    <c:legend>
      <c:legendPos val="r"/>
      <c:layout>
        <c:manualLayout>
          <c:xMode val="edge"/>
          <c:yMode val="edge"/>
          <c:x val="0.7405"/>
          <c:y val="0.5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detector transfer function</a:t>
            </a:r>
          </a:p>
        </c:rich>
      </c:tx>
      <c:layout>
        <c:manualLayout>
          <c:xMode val="factor"/>
          <c:yMode val="factor"/>
          <c:x val="0"/>
          <c:y val="-0.021"/>
        </c:manualLayout>
      </c:layout>
      <c:spPr>
        <a:noFill/>
        <a:ln>
          <a:noFill/>
        </a:ln>
      </c:spPr>
    </c:title>
    <c:plotArea>
      <c:layout>
        <c:manualLayout>
          <c:xMode val="edge"/>
          <c:yMode val="edge"/>
          <c:x val="0.0355"/>
          <c:y val="0.02675"/>
          <c:w val="0.95725"/>
          <c:h val="0.954"/>
        </c:manualLayout>
      </c:layout>
      <c:scatterChart>
        <c:scatterStyle val="smooth"/>
        <c:varyColors val="0"/>
        <c:ser>
          <c:idx val="0"/>
          <c:order val="0"/>
          <c:tx>
            <c:v>Pfa=1%</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'DTV-Integration'!$E$17:$E$77</c:f>
              <c:numCache/>
            </c:numRef>
          </c:xVal>
          <c:yVal>
            <c:numRef>
              <c:f>'DTV-Integration'!$C$17:$C$77</c:f>
              <c:numCache/>
            </c:numRef>
          </c:yVal>
          <c:smooth val="1"/>
        </c:ser>
        <c:ser>
          <c:idx val="1"/>
          <c:order val="1"/>
          <c:tx>
            <c:v>Pfa=4%</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'DTV-Integration'!$F$17:$F$77</c:f>
              <c:numCache/>
            </c:numRef>
          </c:xVal>
          <c:yVal>
            <c:numRef>
              <c:f>'DTV-Integration'!$C$17:$C$77</c:f>
              <c:numCache/>
            </c:numRef>
          </c:yVal>
          <c:smooth val="1"/>
        </c:ser>
        <c:ser>
          <c:idx val="2"/>
          <c:order val="2"/>
          <c:tx>
            <c:v>Pfa=10%</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'DTV-Integration'!$G$17:$G$77</c:f>
              <c:numCache/>
            </c:numRef>
          </c:xVal>
          <c:yVal>
            <c:numRef>
              <c:f>'DTV-Integration'!$C$17:$C$77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'DTV-Integration'!$H$17:$H$77</c:f>
              <c:numCache/>
            </c:numRef>
          </c:xVal>
          <c:yVal>
            <c:numRef>
              <c:f>'DTV-Integration'!$C$17:$C$77</c:f>
              <c:numCache/>
            </c:numRef>
          </c:yVal>
          <c:smooth val="1"/>
        </c:ser>
        <c:axId val="12345113"/>
        <c:axId val="43997154"/>
      </c:scatterChart>
      <c:valAx>
        <c:axId val="12345113"/>
        <c:scaling>
          <c:orientation val="minMax"/>
          <c:max val="1"/>
        </c:scaling>
        <c:axPos val="b"/>
        <c:title>
          <c:tx>
            <c:rich>
              <a:bodyPr vert="horz" rot="0" anchor="ctr"/>
              <a:lstStyle/>
              <a:p>
                <a:pPr algn="ctr">
                  <a:defRPr/>
                </a:pPr>
                <a:r>
                  <a:rPr lang="en-US" cap="none" sz="950" b="1" i="0" u="none" baseline="0">
                    <a:latin typeface="Arial"/>
                    <a:ea typeface="Arial"/>
                    <a:cs typeface="Arial"/>
                  </a:rPr>
                  <a:t>Pd (%)</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997154"/>
        <c:crossesAt val="-70"/>
        <c:crossBetween val="midCat"/>
        <c:dispUnits/>
      </c:valAx>
      <c:valAx>
        <c:axId val="43997154"/>
        <c:scaling>
          <c:orientation val="minMax"/>
          <c:max val="60"/>
          <c:min val="-60"/>
        </c:scaling>
        <c:axPos val="l"/>
        <c:title>
          <c:tx>
            <c:rich>
              <a:bodyPr vert="horz" rot="-5400000" anchor="ctr"/>
              <a:lstStyle/>
              <a:p>
                <a:pPr algn="ctr">
                  <a:defRPr/>
                </a:pPr>
                <a:r>
                  <a:rPr lang="en-US" cap="none" sz="1000" b="1" i="0" u="none" baseline="0">
                    <a:latin typeface="Arial"/>
                    <a:ea typeface="Arial"/>
                    <a:cs typeface="Arial"/>
                  </a:rPr>
                  <a:t>SNR (dB)</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345113"/>
        <c:crosses val="autoZero"/>
        <c:crossBetween val="midCat"/>
        <c:dispUnits/>
      </c:valAx>
      <c:spPr>
        <a:solidFill>
          <a:srgbClr val="C0C0C0"/>
        </a:solidFill>
        <a:ln w="12700">
          <a:solidFill>
            <a:srgbClr val="808080"/>
          </a:solidFill>
        </a:ln>
      </c:spPr>
    </c:plotArea>
    <c:legend>
      <c:legendPos val="r"/>
      <c:layout>
        <c:manualLayout>
          <c:xMode val="edge"/>
          <c:yMode val="edge"/>
          <c:x val="0.65475"/>
          <c:y val="0.7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Probability density function of SNR</a:t>
            </a:r>
          </a:p>
        </c:rich>
      </c:tx>
      <c:layout>
        <c:manualLayout>
          <c:xMode val="factor"/>
          <c:yMode val="factor"/>
          <c:x val="0.0025"/>
          <c:y val="-0.01925"/>
        </c:manualLayout>
      </c:layout>
      <c:spPr>
        <a:noFill/>
        <a:ln>
          <a:noFill/>
        </a:ln>
      </c:spPr>
    </c:title>
    <c:plotArea>
      <c:layout>
        <c:manualLayout>
          <c:xMode val="edge"/>
          <c:yMode val="edge"/>
          <c:x val="0.04625"/>
          <c:y val="0.03075"/>
          <c:w val="0.92875"/>
          <c:h val="0.95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'DTV-Integration'!$D$17:$D$57</c:f>
              <c:numCache/>
            </c:numRef>
          </c:xVal>
          <c:yVal>
            <c:numRef>
              <c:f>'DTV-Integration'!$C$17:$C$56</c:f>
              <c:numCache/>
            </c:numRef>
          </c:yVal>
          <c:smooth val="1"/>
        </c:ser>
        <c:axId val="60430067"/>
        <c:axId val="6999692"/>
      </c:scatterChart>
      <c:valAx>
        <c:axId val="60430067"/>
        <c:scaling>
          <c:orientation val="minMax"/>
        </c:scaling>
        <c:axPos val="b"/>
        <c:title>
          <c:tx>
            <c:rich>
              <a:bodyPr vert="horz" rot="0" anchor="ctr"/>
              <a:lstStyle/>
              <a:p>
                <a:pPr algn="ctr">
                  <a:defRPr/>
                </a:pPr>
                <a:r>
                  <a:rPr lang="en-US" cap="none" sz="100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999692"/>
        <c:crossesAt val="-70"/>
        <c:crossBetween val="midCat"/>
        <c:dispUnits/>
      </c:valAx>
      <c:valAx>
        <c:axId val="6999692"/>
        <c:scaling>
          <c:orientation val="minMax"/>
          <c:max val="60"/>
          <c:min val="-6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04300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received field strength</a:t>
            </a:r>
          </a:p>
        </c:rich>
      </c:tx>
      <c:layout>
        <c:manualLayout>
          <c:xMode val="factor"/>
          <c:yMode val="factor"/>
          <c:x val="0.0025"/>
          <c:y val="-0.01925"/>
        </c:manualLayout>
      </c:layout>
      <c:spPr>
        <a:noFill/>
        <a:ln>
          <a:noFill/>
        </a:ln>
      </c:spPr>
    </c:title>
    <c:plotArea>
      <c:layout>
        <c:manualLayout>
          <c:xMode val="edge"/>
          <c:yMode val="edge"/>
          <c:x val="0.05175"/>
          <c:y val="0.04025"/>
          <c:w val="0.92125"/>
          <c:h val="0.925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'NTSC-Composite Model'!$D$16:$D$46</c:f>
              <c:numCache/>
            </c:numRef>
          </c:xVal>
          <c:yVal>
            <c:numRef>
              <c:f>'NTSC-Composite Model'!$A$16:$A$46</c:f>
              <c:numCache/>
            </c:numRef>
          </c:yVal>
          <c:smooth val="1"/>
        </c:ser>
        <c:axId val="62997229"/>
        <c:axId val="30104150"/>
      </c:scatterChart>
      <c:valAx>
        <c:axId val="62997229"/>
        <c:scaling>
          <c:orientation val="minMax"/>
        </c:scaling>
        <c:axPos val="b"/>
        <c:title>
          <c:tx>
            <c:rich>
              <a:bodyPr vert="horz" rot="0" anchor="ctr"/>
              <a:lstStyle/>
              <a:p>
                <a:pPr algn="ctr">
                  <a:defRPr/>
                </a:pPr>
                <a:r>
                  <a:rPr lang="en-US" cap="none" sz="875"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104150"/>
        <c:crosses val="autoZero"/>
        <c:crossBetween val="midCat"/>
        <c:dispUnits/>
      </c:valAx>
      <c:valAx>
        <c:axId val="30104150"/>
        <c:scaling>
          <c:orientation val="minMax"/>
          <c:max val="80"/>
          <c:min val="20"/>
        </c:scaling>
        <c:axPos val="l"/>
        <c:title>
          <c:tx>
            <c:rich>
              <a:bodyPr vert="horz" rot="-5400000" anchor="ctr"/>
              <a:lstStyle/>
              <a:p>
                <a:pPr algn="ctr">
                  <a:defRPr/>
                </a:pPr>
                <a:r>
                  <a:rPr lang="en-US" cap="none" sz="875" b="1" i="0" u="none" baseline="0">
                    <a:latin typeface="Arial"/>
                    <a:ea typeface="Arial"/>
                    <a:cs typeface="Arial"/>
                  </a:rPr>
                  <a:t>Field strength (dBu)</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9972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input signal</a:t>
            </a:r>
          </a:p>
        </c:rich>
      </c:tx>
      <c:layout>
        <c:manualLayout>
          <c:xMode val="factor"/>
          <c:yMode val="factor"/>
          <c:x val="0.0025"/>
          <c:y val="-0.01925"/>
        </c:manualLayout>
      </c:layout>
      <c:spPr>
        <a:noFill/>
        <a:ln>
          <a:noFill/>
        </a:ln>
      </c:spPr>
    </c:title>
    <c:plotArea>
      <c:layout>
        <c:manualLayout>
          <c:xMode val="edge"/>
          <c:yMode val="edge"/>
          <c:x val="0.05175"/>
          <c:y val="0.04075"/>
          <c:w val="0.92175"/>
          <c:h val="0.924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'NTSC-Composite Model'!$D$16:$D$46</c:f>
              <c:numCache/>
            </c:numRef>
          </c:xVal>
          <c:yVal>
            <c:numRef>
              <c:f>'NTSC-Composite Model'!$B$16:$B$46</c:f>
              <c:numCache/>
            </c:numRef>
          </c:yVal>
          <c:smooth val="1"/>
        </c:ser>
        <c:axId val="2501895"/>
        <c:axId val="22517056"/>
      </c:scatterChart>
      <c:valAx>
        <c:axId val="2501895"/>
        <c:scaling>
          <c:orientation val="minMax"/>
        </c:scaling>
        <c:axPos val="b"/>
        <c:title>
          <c:tx>
            <c:rich>
              <a:bodyPr vert="horz" rot="0" anchor="ctr"/>
              <a:lstStyle/>
              <a:p>
                <a:pPr algn="ctr">
                  <a:defRPr/>
                </a:pPr>
                <a:r>
                  <a:rPr lang="en-US" cap="none" sz="95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2517056"/>
        <c:crossesAt val="-120"/>
        <c:crossBetween val="midCat"/>
        <c:dispUnits/>
      </c:valAx>
      <c:valAx>
        <c:axId val="22517056"/>
        <c:scaling>
          <c:orientation val="minMax"/>
          <c:max val="-55"/>
          <c:min val="-115"/>
        </c:scaling>
        <c:axPos val="l"/>
        <c:title>
          <c:tx>
            <c:rich>
              <a:bodyPr vert="horz" rot="-5400000" anchor="ctr"/>
              <a:lstStyle/>
              <a:p>
                <a:pPr algn="ctr">
                  <a:defRPr/>
                </a:pPr>
                <a:r>
                  <a:rPr lang="en-US" cap="none" sz="950" b="1" i="0" u="none" baseline="0">
                    <a:latin typeface="Arial"/>
                    <a:ea typeface="Arial"/>
                    <a:cs typeface="Arial"/>
                  </a:rPr>
                  <a:t>Input signal level (dBm)</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5018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SNR</a:t>
            </a:r>
          </a:p>
        </c:rich>
      </c:tx>
      <c:layout>
        <c:manualLayout>
          <c:xMode val="factor"/>
          <c:yMode val="factor"/>
          <c:x val="0.0025"/>
          <c:y val="-0.01925"/>
        </c:manualLayout>
      </c:layout>
      <c:spPr>
        <a:noFill/>
        <a:ln>
          <a:noFill/>
        </a:ln>
      </c:spPr>
    </c:title>
    <c:plotArea>
      <c:layout>
        <c:manualLayout>
          <c:xMode val="edge"/>
          <c:yMode val="edge"/>
          <c:x val="0.05175"/>
          <c:y val="0.04075"/>
          <c:w val="0.92175"/>
          <c:h val="0.924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'NTSC-Composite Model'!$D$16:$D$46</c:f>
              <c:numCache/>
            </c:numRef>
          </c:xVal>
          <c:yVal>
            <c:numRef>
              <c:f>'NTSC-Composite Model'!$C$16:$C$45</c:f>
              <c:numCache/>
            </c:numRef>
          </c:yVal>
          <c:smooth val="1"/>
        </c:ser>
        <c:axId val="1326913"/>
        <c:axId val="11942218"/>
      </c:scatterChart>
      <c:valAx>
        <c:axId val="1326913"/>
        <c:scaling>
          <c:orientation val="minMax"/>
        </c:scaling>
        <c:axPos val="b"/>
        <c:title>
          <c:tx>
            <c:rich>
              <a:bodyPr vert="horz" rot="0" anchor="ctr"/>
              <a:lstStyle/>
              <a:p>
                <a:pPr algn="ctr">
                  <a:defRPr/>
                </a:pPr>
                <a:r>
                  <a:rPr lang="en-US" cap="none" sz="95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1942218"/>
        <c:crossesAt val="-120"/>
        <c:crossBetween val="midCat"/>
        <c:dispUnits/>
      </c:valAx>
      <c:valAx>
        <c:axId val="11942218"/>
        <c:scaling>
          <c:orientation val="minMax"/>
          <c:max val="40"/>
          <c:min val="-2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3269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of pdf and transfer function</a:t>
            </a:r>
          </a:p>
        </c:rich>
      </c:tx>
      <c:layout>
        <c:manualLayout>
          <c:xMode val="factor"/>
          <c:yMode val="factor"/>
          <c:x val="0.0025"/>
          <c:y val="-0.01925"/>
        </c:manualLayout>
      </c:layout>
      <c:spPr>
        <a:noFill/>
        <a:ln>
          <a:noFill/>
        </a:ln>
      </c:spPr>
    </c:title>
    <c:plotArea>
      <c:layout>
        <c:manualLayout>
          <c:xMode val="edge"/>
          <c:yMode val="edge"/>
          <c:x val="0.04625"/>
          <c:y val="0.03075"/>
          <c:w val="0.92875"/>
          <c:h val="0.9525"/>
        </c:manualLayout>
      </c:layout>
      <c:scatterChart>
        <c:scatterStyle val="smooth"/>
        <c:varyColors val="0"/>
        <c:ser>
          <c:idx val="0"/>
          <c:order val="0"/>
          <c:tx>
            <c:v>Pfa-1%</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'NTSC-Integration'!$I$17:$I$77</c:f>
              <c:numCache/>
            </c:numRef>
          </c:xVal>
          <c:yVal>
            <c:numRef>
              <c:f>'NTSC-Integration'!$C$17:$C$56</c:f>
              <c:numCache/>
            </c:numRef>
          </c:yVal>
          <c:smooth val="1"/>
        </c:ser>
        <c:ser>
          <c:idx val="1"/>
          <c:order val="1"/>
          <c:tx>
            <c:v>Pfa=5%</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'NTSC-Integration'!$J$17:$J$77</c:f>
              <c:numCache/>
            </c:numRef>
          </c:xVal>
          <c:yVal>
            <c:numRef>
              <c:f>'NTSC-Integration'!$C$17:$C$77</c:f>
              <c:numCache/>
            </c:numRef>
          </c:yVal>
          <c:smooth val="1"/>
        </c:ser>
        <c:ser>
          <c:idx val="2"/>
          <c:order val="2"/>
          <c:tx>
            <c:v>Pfa=10%</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'NTSC-Integration'!$K$17:$K$77</c:f>
              <c:numCache/>
            </c:numRef>
          </c:xVal>
          <c:yVal>
            <c:numRef>
              <c:f>'NTSC-Integration'!$C$17:$C$77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'NTSC-Integration'!$L$17:$L$77</c:f>
              <c:numCache/>
            </c:numRef>
          </c:xVal>
          <c:yVal>
            <c:numRef>
              <c:f>'NTSC-Integration'!$C$17:$C$77</c:f>
              <c:numCache/>
            </c:numRef>
          </c:yVal>
          <c:smooth val="1"/>
        </c:ser>
        <c:axId val="40371099"/>
        <c:axId val="27795572"/>
      </c:scatterChart>
      <c:valAx>
        <c:axId val="40371099"/>
        <c:scaling>
          <c:orientation val="minMax"/>
          <c:min val="0"/>
        </c:scaling>
        <c:axPos val="b"/>
        <c:title>
          <c:tx>
            <c:rich>
              <a:bodyPr vert="horz" rot="0" anchor="ctr"/>
              <a:lstStyle/>
              <a:p>
                <a:pPr algn="ctr">
                  <a:defRPr/>
                </a:pPr>
                <a:r>
                  <a:rPr lang="en-US" cap="none" sz="1000" b="1" i="0" u="none" baseline="0">
                    <a:latin typeface="Arial"/>
                    <a:ea typeface="Arial"/>
                    <a:cs typeface="Arial"/>
                  </a:rPr>
                  <a:t>Probability of product</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7795572"/>
        <c:crossesAt val="-70"/>
        <c:crossBetween val="midCat"/>
        <c:dispUnits/>
      </c:valAx>
      <c:valAx>
        <c:axId val="27795572"/>
        <c:scaling>
          <c:orientation val="minMax"/>
          <c:max val="60"/>
          <c:min val="-6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03710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detector transfer function</a:t>
            </a:r>
          </a:p>
        </c:rich>
      </c:tx>
      <c:layout>
        <c:manualLayout>
          <c:xMode val="factor"/>
          <c:yMode val="factor"/>
          <c:x val="0"/>
          <c:y val="-0.021"/>
        </c:manualLayout>
      </c:layout>
      <c:spPr>
        <a:noFill/>
        <a:ln>
          <a:noFill/>
        </a:ln>
      </c:spPr>
    </c:title>
    <c:plotArea>
      <c:layout>
        <c:manualLayout>
          <c:xMode val="edge"/>
          <c:yMode val="edge"/>
          <c:x val="0.0355"/>
          <c:y val="0.02675"/>
          <c:w val="0.95725"/>
          <c:h val="0.954"/>
        </c:manualLayout>
      </c:layout>
      <c:scatterChart>
        <c:scatterStyle val="smooth"/>
        <c:varyColors val="0"/>
        <c:ser>
          <c:idx val="0"/>
          <c:order val="0"/>
          <c:tx>
            <c:v>Pfa=1%</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'NTSC-Integration'!$E$17:$E$77</c:f>
              <c:numCache/>
            </c:numRef>
          </c:xVal>
          <c:yVal>
            <c:numRef>
              <c:f>'NTSC-Integration'!$C$17:$C$77</c:f>
              <c:numCache/>
            </c:numRef>
          </c:yVal>
          <c:smooth val="1"/>
        </c:ser>
        <c:ser>
          <c:idx val="1"/>
          <c:order val="1"/>
          <c:tx>
            <c:v>Pfa=4%</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'NTSC-Integration'!$F$17:$F$77</c:f>
              <c:numCache/>
            </c:numRef>
          </c:xVal>
          <c:yVal>
            <c:numRef>
              <c:f>'NTSC-Integration'!$C$17:$C$77</c:f>
              <c:numCache/>
            </c:numRef>
          </c:yVal>
          <c:smooth val="1"/>
        </c:ser>
        <c:ser>
          <c:idx val="2"/>
          <c:order val="2"/>
          <c:tx>
            <c:v>Pfa=10%</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'NTSC-Integration'!$G$17:$G$77</c:f>
              <c:numCache/>
            </c:numRef>
          </c:xVal>
          <c:yVal>
            <c:numRef>
              <c:f>'NTSC-Integration'!$C$17:$C$77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'NTSC-Integration'!$H$17:$H$77</c:f>
              <c:numCache/>
            </c:numRef>
          </c:xVal>
          <c:yVal>
            <c:numRef>
              <c:f>'NTSC-Integration'!$C$17:$C$77</c:f>
              <c:numCache/>
            </c:numRef>
          </c:yVal>
          <c:smooth val="1"/>
        </c:ser>
        <c:axId val="48833557"/>
        <c:axId val="36848830"/>
      </c:scatterChart>
      <c:valAx>
        <c:axId val="48833557"/>
        <c:scaling>
          <c:orientation val="minMax"/>
          <c:max val="1"/>
        </c:scaling>
        <c:axPos val="b"/>
        <c:title>
          <c:tx>
            <c:rich>
              <a:bodyPr vert="horz" rot="0" anchor="ctr"/>
              <a:lstStyle/>
              <a:p>
                <a:pPr algn="ctr">
                  <a:defRPr/>
                </a:pPr>
                <a:r>
                  <a:rPr lang="en-US" cap="none" sz="950" b="1" i="0" u="none" baseline="0">
                    <a:latin typeface="Arial"/>
                    <a:ea typeface="Arial"/>
                    <a:cs typeface="Arial"/>
                  </a:rPr>
                  <a:t>Pd (%)</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848830"/>
        <c:crossesAt val="-70"/>
        <c:crossBetween val="midCat"/>
        <c:dispUnits/>
      </c:valAx>
      <c:valAx>
        <c:axId val="36848830"/>
        <c:scaling>
          <c:orientation val="minMax"/>
          <c:max val="60"/>
          <c:min val="-60"/>
        </c:scaling>
        <c:axPos val="l"/>
        <c:title>
          <c:tx>
            <c:rich>
              <a:bodyPr vert="horz" rot="-5400000" anchor="ctr"/>
              <a:lstStyle/>
              <a:p>
                <a:pPr algn="ctr">
                  <a:defRPr/>
                </a:pPr>
                <a:r>
                  <a:rPr lang="en-US" cap="none" sz="1000" b="1" i="0" u="none" baseline="0">
                    <a:latin typeface="Arial"/>
                    <a:ea typeface="Arial"/>
                    <a:cs typeface="Arial"/>
                  </a:rPr>
                  <a:t>SNR (dB)</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33557"/>
        <c:crosses val="autoZero"/>
        <c:crossBetween val="midCat"/>
        <c:dispUnits/>
      </c:valAx>
      <c:spPr>
        <a:solidFill>
          <a:srgbClr val="C0C0C0"/>
        </a:solidFill>
        <a:ln w="12700">
          <a:solidFill>
            <a:srgbClr val="808080"/>
          </a:solidFill>
        </a:ln>
      </c:spPr>
    </c:plotArea>
    <c:legend>
      <c:legendPos val="r"/>
      <c:layout>
        <c:manualLayout>
          <c:xMode val="edge"/>
          <c:yMode val="edge"/>
          <c:x val="0.65475"/>
          <c:y val="0.7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Probability density function of SNR</a:t>
            </a:r>
          </a:p>
        </c:rich>
      </c:tx>
      <c:layout>
        <c:manualLayout>
          <c:xMode val="factor"/>
          <c:yMode val="factor"/>
          <c:x val="0.0025"/>
          <c:y val="-0.01925"/>
        </c:manualLayout>
      </c:layout>
      <c:spPr>
        <a:noFill/>
        <a:ln>
          <a:noFill/>
        </a:ln>
      </c:spPr>
    </c:title>
    <c:plotArea>
      <c:layout>
        <c:manualLayout>
          <c:xMode val="edge"/>
          <c:yMode val="edge"/>
          <c:x val="0.04625"/>
          <c:y val="0.03075"/>
          <c:w val="0.92875"/>
          <c:h val="0.95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'NTSC-Integration'!$D$17:$D$57</c:f>
              <c:numCache/>
            </c:numRef>
          </c:xVal>
          <c:yVal>
            <c:numRef>
              <c:f>'NTSC-Integration'!$C$17:$C$56</c:f>
              <c:numCache/>
            </c:numRef>
          </c:yVal>
          <c:smooth val="1"/>
        </c:ser>
        <c:axId val="63204015"/>
        <c:axId val="31965224"/>
      </c:scatterChart>
      <c:valAx>
        <c:axId val="63204015"/>
        <c:scaling>
          <c:orientation val="minMax"/>
        </c:scaling>
        <c:axPos val="b"/>
        <c:title>
          <c:tx>
            <c:rich>
              <a:bodyPr vert="horz" rot="0" anchor="ctr"/>
              <a:lstStyle/>
              <a:p>
                <a:pPr algn="ctr">
                  <a:defRPr/>
                </a:pPr>
                <a:r>
                  <a:rPr lang="en-US" cap="none" sz="100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1965224"/>
        <c:crossesAt val="-70"/>
        <c:crossBetween val="midCat"/>
        <c:dispUnits/>
      </c:valAx>
      <c:valAx>
        <c:axId val="31965224"/>
        <c:scaling>
          <c:orientation val="minMax"/>
          <c:max val="60"/>
          <c:min val="-6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32040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detector samples = 1,000,000</a:t>
            </a:r>
          </a:p>
        </c:rich>
      </c:tx>
      <c:layout/>
      <c:spPr>
        <a:noFill/>
        <a:ln>
          <a:noFill/>
        </a:ln>
      </c:spPr>
    </c:title>
    <c:plotArea>
      <c:layout>
        <c:manualLayout>
          <c:xMode val="edge"/>
          <c:yMode val="edge"/>
          <c:x val="0.045"/>
          <c:y val="0.08425"/>
          <c:w val="0.92425"/>
          <c:h val="0.862"/>
        </c:manualLayout>
      </c:layout>
      <c:scatterChart>
        <c:scatterStyle val="smooth"/>
        <c:varyColors val="0"/>
        <c:ser>
          <c:idx val="0"/>
          <c:order val="0"/>
          <c:tx>
            <c:v>Pfa=1%</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time'!$N$47:$N$67</c:f>
              <c:numCache/>
            </c:numRef>
          </c:xVal>
          <c:yVal>
            <c:numRef>
              <c:f>'Sensing time'!$M$47:$M$67</c:f>
              <c:numCache/>
            </c:numRef>
          </c:yVal>
          <c:smooth val="1"/>
        </c:ser>
        <c:ser>
          <c:idx val="1"/>
          <c:order val="1"/>
          <c:tx>
            <c:v>Pfa=4%</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time'!$O$47:$O$67</c:f>
              <c:numCache/>
            </c:numRef>
          </c:xVal>
          <c:yVal>
            <c:numRef>
              <c:f>'Sensing time'!$M$47:$M$67</c:f>
              <c:numCache/>
            </c:numRef>
          </c:yVal>
          <c:smooth val="1"/>
        </c:ser>
        <c:ser>
          <c:idx val="2"/>
          <c:order val="2"/>
          <c:tx>
            <c:v>Pfa=10%</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time'!$P$47:$P$67</c:f>
              <c:numCache/>
            </c:numRef>
          </c:xVal>
          <c:yVal>
            <c:numRef>
              <c:f>'Sensing time'!$M$47:$M$67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'Sensing time'!$Q$47:$Q$67</c:f>
              <c:numCache/>
            </c:numRef>
          </c:xVal>
          <c:yVal>
            <c:numRef>
              <c:f>'Sensing time'!$M$47:$M$67</c:f>
              <c:numCache/>
            </c:numRef>
          </c:yVal>
          <c:smooth val="1"/>
        </c:ser>
        <c:axId val="16745673"/>
        <c:axId val="16493330"/>
      </c:scatterChart>
      <c:valAx>
        <c:axId val="16745673"/>
        <c:scaling>
          <c:orientation val="minMax"/>
          <c:max val="1"/>
        </c:scaling>
        <c:axPos val="b"/>
        <c:title>
          <c:tx>
            <c:rich>
              <a:bodyPr vert="horz" rot="0" anchor="ctr"/>
              <a:lstStyle/>
              <a:p>
                <a:pPr algn="ctr">
                  <a:defRPr/>
                </a:pPr>
                <a:r>
                  <a:rPr lang="en-US" cap="none" sz="975" b="1" i="0" u="none" baseline="0">
                    <a:latin typeface="Arial"/>
                    <a:ea typeface="Arial"/>
                    <a:cs typeface="Arial"/>
                  </a:rPr>
                  <a:t>Pd (%)</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6493330"/>
        <c:crossesAt val="-50"/>
        <c:crossBetween val="midCat"/>
        <c:dispUnits/>
        <c:majorUnit val="0.1"/>
      </c:valAx>
      <c:valAx>
        <c:axId val="16493330"/>
        <c:scaling>
          <c:orientation val="minMax"/>
          <c:max val="-10"/>
          <c:min val="-50"/>
        </c:scaling>
        <c:axPos val="l"/>
        <c:title>
          <c:tx>
            <c:rich>
              <a:bodyPr vert="horz" rot="-5400000" anchor="ctr"/>
              <a:lstStyle/>
              <a:p>
                <a:pPr algn="ctr">
                  <a:defRPr/>
                </a:pPr>
                <a:r>
                  <a:rPr lang="en-US" cap="none" sz="975" b="1" i="0" u="none" baseline="0">
                    <a:latin typeface="Arial"/>
                    <a:ea typeface="Arial"/>
                    <a:cs typeface="Arial"/>
                  </a:rPr>
                  <a:t>SNR (dB)</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745673"/>
        <c:crosses val="autoZero"/>
        <c:crossBetween val="midCat"/>
        <c:dispUnits/>
      </c:valAx>
      <c:spPr>
        <a:solidFill>
          <a:srgbClr val="C0C0C0"/>
        </a:solidFill>
        <a:ln w="12700">
          <a:solidFill>
            <a:srgbClr val="808080"/>
          </a:solidFill>
        </a:ln>
      </c:spPr>
    </c:plotArea>
    <c:legend>
      <c:legendPos val="r"/>
      <c:layout>
        <c:manualLayout>
          <c:xMode val="edge"/>
          <c:yMode val="edge"/>
          <c:x val="0.68"/>
          <c:y val="0.59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Standard deviation vs bandwidth</a:t>
            </a:r>
          </a:p>
        </c:rich>
      </c:tx>
      <c:layout/>
      <c:spPr>
        <a:noFill/>
        <a:ln>
          <a:noFill/>
        </a:ln>
      </c:spPr>
    </c:title>
    <c:plotArea>
      <c:layout>
        <c:manualLayout>
          <c:xMode val="edge"/>
          <c:yMode val="edge"/>
          <c:x val="0.051"/>
          <c:y val="0.069"/>
          <c:w val="0.9085"/>
          <c:h val="0.89225"/>
        </c:manualLayout>
      </c:layout>
      <c:scatterChart>
        <c:scatterStyle val="lineMarker"/>
        <c:varyColors val="0"/>
        <c:ser>
          <c:idx val="0"/>
          <c:order val="0"/>
          <c:tx>
            <c:v>Suburban</c:v>
          </c:tx>
          <c:extLst>
            <c:ext xmlns:c14="http://schemas.microsoft.com/office/drawing/2007/8/2/chart" uri="{6F2FDCE9-48DA-4B69-8628-5D25D57E5C99}">
              <c14:invertSolidFillFmt>
                <c14:spPr>
                  <a:solidFill>
                    <a:srgbClr val="000000"/>
                  </a:solidFill>
                </c14:spPr>
              </c14:invertSolidFillFmt>
            </c:ext>
          </c:extLst>
          <c:trendline>
            <c:spPr>
              <a:ln w="3175">
                <a:solidFill>
                  <a:srgbClr val="000080"/>
                </a:solidFill>
                <a:prstDash val="lgDashDotDot"/>
              </a:ln>
            </c:spPr>
            <c:trendlineType val="log"/>
            <c:dispEq val="1"/>
            <c:dispRSqr val="0"/>
            <c:trendlineLbl>
              <c:layout>
                <c:manualLayout>
                  <c:x val="0"/>
                  <c:y val="0"/>
                </c:manualLayout>
              </c:layout>
              <c:numFmt formatCode="General"/>
            </c:trendlineLbl>
          </c:trendline>
          <c:xVal>
            <c:numRef>
              <c:f>'DTV-Composite Model'!$B$67:$D$67</c:f>
              <c:numCache/>
            </c:numRef>
          </c:xVal>
          <c:yVal>
            <c:numRef>
              <c:f>'DTV-Composite Model'!$B$68:$D$68</c:f>
              <c:numCache/>
            </c:numRef>
          </c:yVal>
          <c:smooth val="0"/>
        </c:ser>
        <c:ser>
          <c:idx val="1"/>
          <c:order val="1"/>
          <c:tx>
            <c:v>Rural</c:v>
          </c:tx>
          <c:extLst>
            <c:ext xmlns:c14="http://schemas.microsoft.com/office/drawing/2007/8/2/chart" uri="{6F2FDCE9-48DA-4B69-8628-5D25D57E5C99}">
              <c14:invertSolidFillFmt>
                <c14:spPr>
                  <a:solidFill>
                    <a:srgbClr val="000000"/>
                  </a:solidFill>
                </c14:spPr>
              </c14:invertSolidFillFmt>
            </c:ext>
          </c:extLst>
          <c:trendline>
            <c:spPr>
              <a:ln w="3175">
                <a:solidFill>
                  <a:srgbClr val="FF00FF"/>
                </a:solidFill>
                <a:prstDash val="sysDot"/>
              </a:ln>
            </c:spPr>
            <c:trendlineType val="log"/>
            <c:dispEq val="1"/>
            <c:dispRSqr val="0"/>
            <c:trendlineLbl>
              <c:layout>
                <c:manualLayout>
                  <c:x val="0"/>
                  <c:y val="0"/>
                </c:manualLayout>
              </c:layout>
              <c:numFmt formatCode="General"/>
            </c:trendlineLbl>
          </c:trendline>
          <c:xVal>
            <c:numRef>
              <c:f>'DTV-Composite Model'!$B$67:$D$67</c:f>
              <c:numCache/>
            </c:numRef>
          </c:xVal>
          <c:yVal>
            <c:numRef>
              <c:f>'DTV-Composite Model'!$B$69:$D$69</c:f>
              <c:numCache/>
            </c:numRef>
          </c:yVal>
          <c:smooth val="0"/>
        </c:ser>
        <c:axId val="14222243"/>
        <c:axId val="60891324"/>
      </c:scatterChart>
      <c:valAx>
        <c:axId val="14222243"/>
        <c:scaling>
          <c:logBase val="10"/>
          <c:orientation val="minMax"/>
        </c:scaling>
        <c:axPos val="b"/>
        <c:title>
          <c:tx>
            <c:rich>
              <a:bodyPr vert="horz" rot="0" anchor="ctr"/>
              <a:lstStyle/>
              <a:p>
                <a:pPr algn="ctr">
                  <a:defRPr/>
                </a:pPr>
                <a:r>
                  <a:rPr lang="en-US" cap="none" sz="875" b="1" i="0" u="none" baseline="0">
                    <a:latin typeface="Arial"/>
                    <a:ea typeface="Arial"/>
                    <a:cs typeface="Arial"/>
                  </a:rPr>
                  <a:t>Signal or channel bandwidth (MHz)</a:t>
                </a:r>
              </a:p>
            </c:rich>
          </c:tx>
          <c:layout/>
          <c:overlay val="0"/>
          <c:spPr>
            <a:noFill/>
            <a:ln>
              <a:noFill/>
            </a:ln>
          </c:spPr>
        </c:title>
        <c:delete val="0"/>
        <c:numFmt formatCode="General" sourceLinked="1"/>
        <c:majorTickMark val="out"/>
        <c:minorTickMark val="none"/>
        <c:tickLblPos val="nextTo"/>
        <c:crossAx val="60891324"/>
        <c:crossesAt val="0.01"/>
        <c:crossBetween val="midCat"/>
        <c:dispUnits/>
      </c:valAx>
      <c:valAx>
        <c:axId val="60891324"/>
        <c:scaling>
          <c:orientation val="minMax"/>
        </c:scaling>
        <c:axPos val="l"/>
        <c:title>
          <c:tx>
            <c:rich>
              <a:bodyPr vert="horz" rot="-5400000" anchor="ctr"/>
              <a:lstStyle/>
              <a:p>
                <a:pPr algn="ctr">
                  <a:defRPr/>
                </a:pPr>
                <a:r>
                  <a:rPr lang="en-US" cap="none" sz="875" b="1" i="0" u="none" baseline="0">
                    <a:latin typeface="Arial"/>
                    <a:ea typeface="Arial"/>
                    <a:cs typeface="Arial"/>
                  </a:rPr>
                  <a:t>Standard deviation (dB)</a:t>
                </a:r>
              </a:p>
            </c:rich>
          </c:tx>
          <c:layout/>
          <c:overlay val="0"/>
          <c:spPr>
            <a:noFill/>
            <a:ln>
              <a:noFill/>
            </a:ln>
          </c:spPr>
        </c:title>
        <c:majorGridlines/>
        <c:delete val="0"/>
        <c:numFmt formatCode="General" sourceLinked="1"/>
        <c:majorTickMark val="out"/>
        <c:minorTickMark val="none"/>
        <c:tickLblPos val="nextTo"/>
        <c:crossAx val="14222243"/>
        <c:crossesAt val="0.01"/>
        <c:crossBetween val="midCat"/>
        <c:dispUnits/>
      </c:valAx>
      <c:spPr>
        <a:solidFill>
          <a:srgbClr val="C0C0C0"/>
        </a:solidFill>
        <a:ln w="12700">
          <a:solidFill>
            <a:srgbClr val="808080"/>
          </a:solidFill>
        </a:ln>
      </c:spPr>
    </c:plotArea>
    <c:legend>
      <c:legendPos val="r"/>
      <c:layout>
        <c:manualLayout>
          <c:xMode val="edge"/>
          <c:yMode val="edge"/>
          <c:x val="0.17375"/>
          <c:y val="0.591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Standard deviation vs bandwidth</a:t>
            </a:r>
          </a:p>
        </c:rich>
      </c:tx>
      <c:layout/>
      <c:spPr>
        <a:noFill/>
        <a:ln>
          <a:noFill/>
        </a:ln>
      </c:spPr>
    </c:title>
    <c:plotArea>
      <c:layout>
        <c:manualLayout>
          <c:xMode val="edge"/>
          <c:yMode val="edge"/>
          <c:x val="0.04975"/>
          <c:y val="0.0715"/>
          <c:w val="0.90925"/>
          <c:h val="0.88925"/>
        </c:manualLayout>
      </c:layout>
      <c:scatterChart>
        <c:scatterStyle val="lineMarker"/>
        <c:varyColors val="0"/>
        <c:ser>
          <c:idx val="0"/>
          <c:order val="0"/>
          <c:tx>
            <c:v>Suburban-Small</c:v>
          </c:tx>
          <c:extLst>
            <c:ext xmlns:c14="http://schemas.microsoft.com/office/drawing/2007/8/2/chart" uri="{6F2FDCE9-48DA-4B69-8628-5D25D57E5C99}">
              <c14:invertSolidFillFmt>
                <c14:spPr>
                  <a:solidFill>
                    <a:srgbClr val="000000"/>
                  </a:solidFill>
                </c14:spPr>
              </c14:invertSolidFillFmt>
            </c:ext>
          </c:extLst>
          <c:xVal>
            <c:numRef>
              <c:f>'DTV-Composite Model'!$B$106:$B$109</c:f>
              <c:numCache/>
            </c:numRef>
          </c:xVal>
          <c:yVal>
            <c:numRef>
              <c:f>'DTV-Composite Model'!$C$106:$C$109</c:f>
              <c:numCache/>
            </c:numRef>
          </c:yVal>
          <c:smooth val="0"/>
        </c:ser>
        <c:ser>
          <c:idx val="1"/>
          <c:order val="1"/>
          <c:tx>
            <c:v>Rural-Small</c:v>
          </c:tx>
          <c:extLst>
            <c:ext xmlns:c14="http://schemas.microsoft.com/office/drawing/2007/8/2/chart" uri="{6F2FDCE9-48DA-4B69-8628-5D25D57E5C99}">
              <c14:invertSolidFillFmt>
                <c14:spPr>
                  <a:solidFill>
                    <a:srgbClr val="000000"/>
                  </a:solidFill>
                </c14:spPr>
              </c14:invertSolidFillFmt>
            </c:ext>
          </c:extLst>
          <c:xVal>
            <c:numRef>
              <c:f>'DTV-Composite Model'!$D$106:$D$109</c:f>
              <c:numCache/>
            </c:numRef>
          </c:xVal>
          <c:yVal>
            <c:numRef>
              <c:f>'DTV-Composite Model'!$E$106:$E$109</c:f>
              <c:numCache/>
            </c:numRef>
          </c:yVal>
          <c:smooth val="0"/>
        </c:ser>
        <c:ser>
          <c:idx val="2"/>
          <c:order val="2"/>
          <c:tx>
            <c:v>Suburban-Large</c:v>
          </c:tx>
          <c:extLst>
            <c:ext xmlns:c14="http://schemas.microsoft.com/office/drawing/2007/8/2/chart" uri="{6F2FDCE9-48DA-4B69-8628-5D25D57E5C99}">
              <c14:invertSolidFillFmt>
                <c14:spPr>
                  <a:solidFill>
                    <a:srgbClr val="000000"/>
                  </a:solidFill>
                </c14:spPr>
              </c14:invertSolidFillFmt>
            </c:ext>
          </c:extLst>
          <c:xVal>
            <c:numRef>
              <c:f>'DTV-Composite Model'!$J$106:$J$109</c:f>
              <c:numCache/>
            </c:numRef>
          </c:xVal>
          <c:yVal>
            <c:numRef>
              <c:f>'DTV-Composite Model'!$K$106:$K$109</c:f>
              <c:numCache/>
            </c:numRef>
          </c:yVal>
          <c:smooth val="0"/>
        </c:ser>
        <c:ser>
          <c:idx val="3"/>
          <c:order val="3"/>
          <c:tx>
            <c:v>Rural-Large</c:v>
          </c:tx>
          <c:extLst>
            <c:ext xmlns:c14="http://schemas.microsoft.com/office/drawing/2007/8/2/chart" uri="{6F2FDCE9-48DA-4B69-8628-5D25D57E5C99}">
              <c14:invertSolidFillFmt>
                <c14:spPr>
                  <a:solidFill>
                    <a:srgbClr val="000000"/>
                  </a:solidFill>
                </c14:spPr>
              </c14:invertSolidFillFmt>
            </c:ext>
          </c:extLst>
          <c:xVal>
            <c:numRef>
              <c:f>'DTV-Composite Model'!$L$106:$L$109</c:f>
              <c:numCache/>
            </c:numRef>
          </c:xVal>
          <c:yVal>
            <c:numRef>
              <c:f>'DTV-Composite Model'!$M$106:$M$109</c:f>
              <c:numCache/>
            </c:numRef>
          </c:yVal>
          <c:smooth val="0"/>
        </c:ser>
        <c:ser>
          <c:idx val="4"/>
          <c:order val="4"/>
          <c:tx>
            <c:v>Suburban-Small-Data</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80"/>
                </a:solidFill>
              </a:ln>
            </c:spPr>
          </c:marker>
          <c:xVal>
            <c:numRef>
              <c:f>'DTV-Composite Model'!$B$67:$D$67</c:f>
              <c:numCache/>
            </c:numRef>
          </c:xVal>
          <c:yVal>
            <c:numRef>
              <c:f>'DTV-Composite Model'!$B$68:$D$68</c:f>
              <c:numCache/>
            </c:numRef>
          </c:yVal>
          <c:smooth val="0"/>
        </c:ser>
        <c:ser>
          <c:idx val="5"/>
          <c:order val="5"/>
          <c:tx>
            <c:v>Rural-Small-Data</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'DTV-Composite Model'!$B$67:$D$67</c:f>
              <c:numCache/>
            </c:numRef>
          </c:xVal>
          <c:yVal>
            <c:numRef>
              <c:f>'DTV-Composite Model'!$B$69:$D$69</c:f>
              <c:numCache/>
            </c:numRef>
          </c:yVal>
          <c:smooth val="0"/>
        </c:ser>
        <c:ser>
          <c:idx val="6"/>
          <c:order val="6"/>
          <c:tx>
            <c:v>Small-Fit</c:v>
          </c:tx>
          <c:extLst>
            <c:ext xmlns:c14="http://schemas.microsoft.com/office/drawing/2007/8/2/chart" uri="{6F2FDCE9-48DA-4B69-8628-5D25D57E5C99}">
              <c14:invertSolidFillFmt>
                <c14:spPr>
                  <a:solidFill>
                    <a:srgbClr val="000000"/>
                  </a:solidFill>
                </c14:spPr>
              </c14:invertSolidFillFmt>
            </c:ext>
          </c:extLst>
          <c:xVal>
            <c:numRef>
              <c:f>'DTV-Composite Model'!$B$112:$B$115</c:f>
              <c:numCache/>
            </c:numRef>
          </c:xVal>
          <c:yVal>
            <c:numRef>
              <c:f>'DTV-Composite Model'!$C$112:$C$115</c:f>
              <c:numCache/>
            </c:numRef>
          </c:yVal>
          <c:smooth val="0"/>
        </c:ser>
        <c:axId val="11151005"/>
        <c:axId val="33250182"/>
      </c:scatterChart>
      <c:valAx>
        <c:axId val="11151005"/>
        <c:scaling>
          <c:logBase val="10"/>
          <c:orientation val="minMax"/>
        </c:scaling>
        <c:axPos val="b"/>
        <c:title>
          <c:tx>
            <c:rich>
              <a:bodyPr vert="horz" rot="0" anchor="ctr"/>
              <a:lstStyle/>
              <a:p>
                <a:pPr algn="ctr">
                  <a:defRPr/>
                </a:pPr>
                <a:r>
                  <a:rPr lang="en-US" cap="none" sz="850" b="1" i="0" u="none" baseline="0">
                    <a:latin typeface="Arial"/>
                    <a:ea typeface="Arial"/>
                    <a:cs typeface="Arial"/>
                  </a:rPr>
                  <a:t>Signal or channel bandwidth (MHz)</a:t>
                </a:r>
              </a:p>
            </c:rich>
          </c:tx>
          <c:layout/>
          <c:overlay val="0"/>
          <c:spPr>
            <a:noFill/>
            <a:ln>
              <a:noFill/>
            </a:ln>
          </c:spPr>
        </c:title>
        <c:delete val="0"/>
        <c:numFmt formatCode="General" sourceLinked="1"/>
        <c:majorTickMark val="out"/>
        <c:minorTickMark val="none"/>
        <c:tickLblPos val="nextTo"/>
        <c:crossAx val="33250182"/>
        <c:crossesAt val="0.01"/>
        <c:crossBetween val="midCat"/>
        <c:dispUnits/>
      </c:valAx>
      <c:valAx>
        <c:axId val="33250182"/>
        <c:scaling>
          <c:orientation val="minMax"/>
          <c:max val="4"/>
          <c:min val="0"/>
        </c:scaling>
        <c:axPos val="l"/>
        <c:title>
          <c:tx>
            <c:rich>
              <a:bodyPr vert="horz" rot="-5400000" anchor="ctr"/>
              <a:lstStyle/>
              <a:p>
                <a:pPr algn="ctr">
                  <a:defRPr/>
                </a:pPr>
                <a:r>
                  <a:rPr lang="en-US" cap="none" sz="850" b="1" i="0" u="none" baseline="0">
                    <a:latin typeface="Arial"/>
                    <a:ea typeface="Arial"/>
                    <a:cs typeface="Arial"/>
                  </a:rPr>
                  <a:t>Standard deviation (dB)</a:t>
                </a:r>
              </a:p>
            </c:rich>
          </c:tx>
          <c:layout/>
          <c:overlay val="0"/>
          <c:spPr>
            <a:noFill/>
            <a:ln>
              <a:noFill/>
            </a:ln>
          </c:spPr>
        </c:title>
        <c:majorGridlines/>
        <c:delete val="0"/>
        <c:numFmt formatCode="General" sourceLinked="0"/>
        <c:majorTickMark val="out"/>
        <c:minorTickMark val="none"/>
        <c:tickLblPos val="nextTo"/>
        <c:crossAx val="11151005"/>
        <c:crossesAt val="0.01"/>
        <c:crossBetween val="midCat"/>
        <c:dispUnits/>
        <c:majorUnit val="0.5"/>
      </c:valAx>
      <c:spPr>
        <a:solidFill>
          <a:srgbClr val="C0C0C0"/>
        </a:solidFill>
        <a:ln w="12700">
          <a:solidFill>
            <a:srgbClr val="808080"/>
          </a:solidFill>
        </a:ln>
      </c:spPr>
    </c:plotArea>
    <c:legend>
      <c:legendPos val="r"/>
      <c:layout>
        <c:manualLayout>
          <c:xMode val="edge"/>
          <c:yMode val="edge"/>
          <c:x val="0.6135"/>
          <c:y val="0.11475"/>
          <c:w val="0.3135"/>
          <c:h val="0.272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Standard deviation vs bandwidth</a:t>
            </a:r>
          </a:p>
        </c:rich>
      </c:tx>
      <c:layout/>
      <c:spPr>
        <a:noFill/>
        <a:ln>
          <a:noFill/>
        </a:ln>
      </c:spPr>
    </c:title>
    <c:plotArea>
      <c:layout>
        <c:manualLayout>
          <c:xMode val="edge"/>
          <c:yMode val="edge"/>
          <c:x val="0.05225"/>
          <c:y val="0.069"/>
          <c:w val="0.90775"/>
          <c:h val="0.89175"/>
        </c:manualLayout>
      </c:layout>
      <c:scatterChart>
        <c:scatterStyle val="lineMarker"/>
        <c:varyColors val="0"/>
        <c:ser>
          <c:idx val="0"/>
          <c:order val="0"/>
          <c:tx>
            <c:v>Suburban</c:v>
          </c:tx>
          <c:extLst>
            <c:ext xmlns:c14="http://schemas.microsoft.com/office/drawing/2007/8/2/chart" uri="{6F2FDCE9-48DA-4B69-8628-5D25D57E5C99}">
              <c14:invertSolidFillFmt>
                <c14:spPr>
                  <a:solidFill>
                    <a:srgbClr val="000000"/>
                  </a:solidFill>
                </c14:spPr>
              </c14:invertSolidFillFmt>
            </c:ext>
          </c:extLst>
          <c:trendline>
            <c:spPr>
              <a:ln w="3175">
                <a:solidFill>
                  <a:srgbClr val="000080"/>
                </a:solidFill>
                <a:prstDash val="lgDashDotDot"/>
              </a:ln>
            </c:spPr>
            <c:trendlineType val="log"/>
            <c:dispEq val="1"/>
            <c:dispRSqr val="0"/>
            <c:trendlineLbl>
              <c:layout>
                <c:manualLayout>
                  <c:x val="0"/>
                  <c:y val="0"/>
                </c:manualLayout>
              </c:layout>
              <c:numFmt formatCode="General"/>
            </c:trendlineLbl>
          </c:trendline>
          <c:xVal>
            <c:numRef>
              <c:f>'DTV-Composite Model'!$J$67:$L$67</c:f>
              <c:numCache/>
            </c:numRef>
          </c:xVal>
          <c:yVal>
            <c:numRef>
              <c:f>'DTV-Composite Model'!$J$68:$L$68</c:f>
              <c:numCache/>
            </c:numRef>
          </c:yVal>
          <c:smooth val="0"/>
        </c:ser>
        <c:ser>
          <c:idx val="1"/>
          <c:order val="1"/>
          <c:tx>
            <c:v>Rural</c:v>
          </c:tx>
          <c:extLst>
            <c:ext xmlns:c14="http://schemas.microsoft.com/office/drawing/2007/8/2/chart" uri="{6F2FDCE9-48DA-4B69-8628-5D25D57E5C99}">
              <c14:invertSolidFillFmt>
                <c14:spPr>
                  <a:solidFill>
                    <a:srgbClr val="000000"/>
                  </a:solidFill>
                </c14:spPr>
              </c14:invertSolidFillFmt>
            </c:ext>
          </c:extLst>
          <c:trendline>
            <c:spPr>
              <a:ln w="3175">
                <a:solidFill>
                  <a:srgbClr val="FF00FF"/>
                </a:solidFill>
                <a:prstDash val="sysDot"/>
              </a:ln>
            </c:spPr>
            <c:trendlineType val="log"/>
            <c:dispEq val="1"/>
            <c:dispRSqr val="0"/>
            <c:trendlineLbl>
              <c:layout>
                <c:manualLayout>
                  <c:x val="0"/>
                  <c:y val="0"/>
                </c:manualLayout>
              </c:layout>
              <c:numFmt formatCode="General"/>
            </c:trendlineLbl>
          </c:trendline>
          <c:xVal>
            <c:numRef>
              <c:f>'DTV-Composite Model'!$J$67:$L$67</c:f>
              <c:numCache/>
            </c:numRef>
          </c:xVal>
          <c:yVal>
            <c:numRef>
              <c:f>'DTV-Composite Model'!$J$69:$L$69</c:f>
              <c:numCache/>
            </c:numRef>
          </c:yVal>
          <c:smooth val="0"/>
        </c:ser>
        <c:axId val="30816183"/>
        <c:axId val="8910192"/>
      </c:scatterChart>
      <c:valAx>
        <c:axId val="30816183"/>
        <c:scaling>
          <c:logBase val="10"/>
          <c:orientation val="minMax"/>
        </c:scaling>
        <c:axPos val="b"/>
        <c:title>
          <c:tx>
            <c:rich>
              <a:bodyPr vert="horz" rot="0" anchor="ctr"/>
              <a:lstStyle/>
              <a:p>
                <a:pPr algn="ctr">
                  <a:defRPr/>
                </a:pPr>
                <a:r>
                  <a:rPr lang="en-US" cap="none" sz="875" b="1" i="0" u="none" baseline="0">
                    <a:latin typeface="Arial"/>
                    <a:ea typeface="Arial"/>
                    <a:cs typeface="Arial"/>
                  </a:rPr>
                  <a:t>Signal or channel bandwidth (MHz)</a:t>
                </a:r>
              </a:p>
            </c:rich>
          </c:tx>
          <c:layout/>
          <c:overlay val="0"/>
          <c:spPr>
            <a:noFill/>
            <a:ln>
              <a:noFill/>
            </a:ln>
          </c:spPr>
        </c:title>
        <c:delete val="0"/>
        <c:numFmt formatCode="General" sourceLinked="1"/>
        <c:majorTickMark val="out"/>
        <c:minorTickMark val="none"/>
        <c:tickLblPos val="nextTo"/>
        <c:crossAx val="8910192"/>
        <c:crossesAt val="0.01"/>
        <c:crossBetween val="midCat"/>
        <c:dispUnits/>
      </c:valAx>
      <c:valAx>
        <c:axId val="8910192"/>
        <c:scaling>
          <c:orientation val="minMax"/>
          <c:max val="7"/>
          <c:min val="3"/>
        </c:scaling>
        <c:axPos val="l"/>
        <c:title>
          <c:tx>
            <c:rich>
              <a:bodyPr vert="horz" rot="-5400000" anchor="ctr"/>
              <a:lstStyle/>
              <a:p>
                <a:pPr algn="ctr">
                  <a:defRPr/>
                </a:pPr>
                <a:r>
                  <a:rPr lang="en-US" cap="none" sz="875" b="1" i="0" u="none" baseline="0">
                    <a:latin typeface="Arial"/>
                    <a:ea typeface="Arial"/>
                    <a:cs typeface="Arial"/>
                  </a:rPr>
                  <a:t>Standard deviation (dB)</a:t>
                </a:r>
              </a:p>
            </c:rich>
          </c:tx>
          <c:layout/>
          <c:overlay val="0"/>
          <c:spPr>
            <a:noFill/>
            <a:ln>
              <a:noFill/>
            </a:ln>
          </c:spPr>
        </c:title>
        <c:majorGridlines/>
        <c:delete val="0"/>
        <c:numFmt formatCode="General" sourceLinked="1"/>
        <c:majorTickMark val="out"/>
        <c:minorTickMark val="none"/>
        <c:tickLblPos val="nextTo"/>
        <c:crossAx val="30816183"/>
        <c:crossesAt val="0.01"/>
        <c:crossBetween val="midCat"/>
        <c:dispUnits/>
      </c:valAx>
      <c:spPr>
        <a:solidFill>
          <a:srgbClr val="C0C0C0"/>
        </a:solidFill>
        <a:ln w="12700">
          <a:solidFill>
            <a:srgbClr val="808080"/>
          </a:solidFill>
        </a:ln>
      </c:spPr>
    </c:plotArea>
    <c:legend>
      <c:legendPos val="r"/>
      <c:layout>
        <c:manualLayout>
          <c:xMode val="edge"/>
          <c:yMode val="edge"/>
          <c:x val="0.181"/>
          <c:y val="0.591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received field strength</a:t>
            </a:r>
          </a:p>
        </c:rich>
      </c:tx>
      <c:layout>
        <c:manualLayout>
          <c:xMode val="factor"/>
          <c:yMode val="factor"/>
          <c:x val="0.0025"/>
          <c:y val="-0.01925"/>
        </c:manualLayout>
      </c:layout>
      <c:spPr>
        <a:noFill/>
        <a:ln>
          <a:noFill/>
        </a:ln>
      </c:spPr>
    </c:title>
    <c:plotArea>
      <c:layout>
        <c:manualLayout>
          <c:xMode val="edge"/>
          <c:yMode val="edge"/>
          <c:x val="0.05175"/>
          <c:y val="0.04025"/>
          <c:w val="0.92125"/>
          <c:h val="0.925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'DTV-Composite Model'!$D$16:$D$46</c:f>
              <c:numCache/>
            </c:numRef>
          </c:xVal>
          <c:yVal>
            <c:numRef>
              <c:f>'DTV-Composite Model'!$A$16:$A$46</c:f>
              <c:numCache/>
            </c:numRef>
          </c:yVal>
          <c:smooth val="1"/>
        </c:ser>
        <c:axId val="13082865"/>
        <c:axId val="50636922"/>
      </c:scatterChart>
      <c:valAx>
        <c:axId val="13082865"/>
        <c:scaling>
          <c:orientation val="minMax"/>
        </c:scaling>
        <c:axPos val="b"/>
        <c:title>
          <c:tx>
            <c:rich>
              <a:bodyPr vert="horz" rot="0" anchor="ctr"/>
              <a:lstStyle/>
              <a:p>
                <a:pPr algn="ctr">
                  <a:defRPr/>
                </a:pPr>
                <a:r>
                  <a:rPr lang="en-US" cap="none" sz="875"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636922"/>
        <c:crosses val="autoZero"/>
        <c:crossBetween val="midCat"/>
        <c:dispUnits/>
      </c:valAx>
      <c:valAx>
        <c:axId val="50636922"/>
        <c:scaling>
          <c:orientation val="minMax"/>
          <c:max val="80"/>
          <c:min val="20"/>
        </c:scaling>
        <c:axPos val="l"/>
        <c:title>
          <c:tx>
            <c:rich>
              <a:bodyPr vert="horz" rot="-5400000" anchor="ctr"/>
              <a:lstStyle/>
              <a:p>
                <a:pPr algn="ctr">
                  <a:defRPr/>
                </a:pPr>
                <a:r>
                  <a:rPr lang="en-US" cap="none" sz="875" b="1" i="0" u="none" baseline="0">
                    <a:latin typeface="Arial"/>
                    <a:ea typeface="Arial"/>
                    <a:cs typeface="Arial"/>
                  </a:rPr>
                  <a:t>Field strength (dBu)</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0828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input signal</a:t>
            </a:r>
          </a:p>
        </c:rich>
      </c:tx>
      <c:layout>
        <c:manualLayout>
          <c:xMode val="factor"/>
          <c:yMode val="factor"/>
          <c:x val="0.0025"/>
          <c:y val="-0.01925"/>
        </c:manualLayout>
      </c:layout>
      <c:spPr>
        <a:noFill/>
        <a:ln>
          <a:noFill/>
        </a:ln>
      </c:spPr>
    </c:title>
    <c:plotArea>
      <c:layout>
        <c:manualLayout>
          <c:xMode val="edge"/>
          <c:yMode val="edge"/>
          <c:x val="0.05175"/>
          <c:y val="0.04075"/>
          <c:w val="0.92175"/>
          <c:h val="0.924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'DTV-Composite Model'!$D$16:$D$46</c:f>
              <c:numCache/>
            </c:numRef>
          </c:xVal>
          <c:yVal>
            <c:numRef>
              <c:f>'DTV-Composite Model'!$B$16:$B$46</c:f>
              <c:numCache/>
            </c:numRef>
          </c:yVal>
          <c:smooth val="1"/>
        </c:ser>
        <c:axId val="53079115"/>
        <c:axId val="7949988"/>
      </c:scatterChart>
      <c:valAx>
        <c:axId val="53079115"/>
        <c:scaling>
          <c:orientation val="minMax"/>
        </c:scaling>
        <c:axPos val="b"/>
        <c:title>
          <c:tx>
            <c:rich>
              <a:bodyPr vert="horz" rot="0" anchor="ctr"/>
              <a:lstStyle/>
              <a:p>
                <a:pPr algn="ctr">
                  <a:defRPr/>
                </a:pPr>
                <a:r>
                  <a:rPr lang="en-US" cap="none" sz="95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7949988"/>
        <c:crossesAt val="-120"/>
        <c:crossBetween val="midCat"/>
        <c:dispUnits/>
      </c:valAx>
      <c:valAx>
        <c:axId val="7949988"/>
        <c:scaling>
          <c:orientation val="minMax"/>
          <c:max val="-55"/>
          <c:min val="-115"/>
        </c:scaling>
        <c:axPos val="l"/>
        <c:title>
          <c:tx>
            <c:rich>
              <a:bodyPr vert="horz" rot="-5400000" anchor="ctr"/>
              <a:lstStyle/>
              <a:p>
                <a:pPr algn="ctr">
                  <a:defRPr/>
                </a:pPr>
                <a:r>
                  <a:rPr lang="en-US" cap="none" sz="950" b="1" i="0" u="none" baseline="0">
                    <a:latin typeface="Arial"/>
                    <a:ea typeface="Arial"/>
                    <a:cs typeface="Arial"/>
                  </a:rPr>
                  <a:t>Input signal level (dBm)</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30791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PDF of the SNR</a:t>
            </a:r>
          </a:p>
        </c:rich>
      </c:tx>
      <c:layout>
        <c:manualLayout>
          <c:xMode val="factor"/>
          <c:yMode val="factor"/>
          <c:x val="0.0025"/>
          <c:y val="-0.01925"/>
        </c:manualLayout>
      </c:layout>
      <c:spPr>
        <a:noFill/>
        <a:ln>
          <a:noFill/>
        </a:ln>
      </c:spPr>
    </c:title>
    <c:plotArea>
      <c:layout>
        <c:manualLayout>
          <c:xMode val="edge"/>
          <c:yMode val="edge"/>
          <c:x val="0.05175"/>
          <c:y val="0.04075"/>
          <c:w val="0.92175"/>
          <c:h val="0.924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'DTV-Composite Model'!$D$16:$D$46</c:f>
              <c:numCache/>
            </c:numRef>
          </c:xVal>
          <c:yVal>
            <c:numRef>
              <c:f>'DTV-Composite Model'!$C$16:$C$45</c:f>
              <c:numCache/>
            </c:numRef>
          </c:yVal>
          <c:smooth val="1"/>
        </c:ser>
        <c:axId val="4441029"/>
        <c:axId val="39969262"/>
      </c:scatterChart>
      <c:valAx>
        <c:axId val="4441029"/>
        <c:scaling>
          <c:orientation val="minMax"/>
        </c:scaling>
        <c:axPos val="b"/>
        <c:title>
          <c:tx>
            <c:rich>
              <a:bodyPr vert="horz" rot="0" anchor="ctr"/>
              <a:lstStyle/>
              <a:p>
                <a:pPr algn="ctr">
                  <a:defRPr/>
                </a:pPr>
                <a:r>
                  <a:rPr lang="en-US" cap="none" sz="950" b="1" i="0" u="none" baseline="0">
                    <a:latin typeface="Arial"/>
                    <a:ea typeface="Arial"/>
                    <a:cs typeface="Arial"/>
                  </a:rPr>
                  <a:t>Probability density</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9969262"/>
        <c:crossesAt val="-120"/>
        <c:crossBetween val="midCat"/>
        <c:dispUnits/>
      </c:valAx>
      <c:valAx>
        <c:axId val="39969262"/>
        <c:scaling>
          <c:orientation val="minMax"/>
          <c:max val="40"/>
          <c:min val="-2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4410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of pdf and transfer function</a:t>
            </a:r>
          </a:p>
        </c:rich>
      </c:tx>
      <c:layout>
        <c:manualLayout>
          <c:xMode val="factor"/>
          <c:yMode val="factor"/>
          <c:x val="0.0025"/>
          <c:y val="-0.01925"/>
        </c:manualLayout>
      </c:layout>
      <c:spPr>
        <a:noFill/>
        <a:ln>
          <a:noFill/>
        </a:ln>
      </c:spPr>
    </c:title>
    <c:plotArea>
      <c:layout>
        <c:manualLayout>
          <c:xMode val="edge"/>
          <c:yMode val="edge"/>
          <c:x val="0.04625"/>
          <c:y val="0.03075"/>
          <c:w val="0.92875"/>
          <c:h val="0.9525"/>
        </c:manualLayout>
      </c:layout>
      <c:scatterChart>
        <c:scatterStyle val="smooth"/>
        <c:varyColors val="0"/>
        <c:ser>
          <c:idx val="0"/>
          <c:order val="0"/>
          <c:tx>
            <c:v>Pfa-1%</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'DTV-Integration'!$I$17:$I$77</c:f>
              <c:numCache/>
            </c:numRef>
          </c:xVal>
          <c:yVal>
            <c:numRef>
              <c:f>'DTV-Integration'!$C$17:$C$56</c:f>
              <c:numCache/>
            </c:numRef>
          </c:yVal>
          <c:smooth val="1"/>
        </c:ser>
        <c:ser>
          <c:idx val="1"/>
          <c:order val="1"/>
          <c:tx>
            <c:v>Pfa=5%</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'DTV-Integration'!$J$17:$J$77</c:f>
              <c:numCache/>
            </c:numRef>
          </c:xVal>
          <c:yVal>
            <c:numRef>
              <c:f>'DTV-Integration'!$C$17:$C$77</c:f>
              <c:numCache/>
            </c:numRef>
          </c:yVal>
          <c:smooth val="1"/>
        </c:ser>
        <c:ser>
          <c:idx val="2"/>
          <c:order val="2"/>
          <c:tx>
            <c:v>Pfa=10%</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'DTV-Integration'!$K$17:$K$77</c:f>
              <c:numCache/>
            </c:numRef>
          </c:xVal>
          <c:yVal>
            <c:numRef>
              <c:f>'DTV-Integration'!$C$17:$C$77</c:f>
              <c:numCache/>
            </c:numRef>
          </c:yVal>
          <c:smooth val="1"/>
        </c:ser>
        <c:ser>
          <c:idx val="3"/>
          <c:order val="3"/>
          <c:tx>
            <c:v>Pfa=20%</c:v>
          </c:tx>
          <c:extLst>
            <c:ext xmlns:c14="http://schemas.microsoft.com/office/drawing/2007/8/2/chart" uri="{6F2FDCE9-48DA-4B69-8628-5D25D57E5C99}">
              <c14:invertSolidFillFmt>
                <c14:spPr>
                  <a:solidFill>
                    <a:srgbClr val="000000"/>
                  </a:solidFill>
                </c14:spPr>
              </c14:invertSolidFillFmt>
            </c:ext>
          </c:extLst>
          <c:marker>
            <c:symbol val="none"/>
          </c:marker>
          <c:xVal>
            <c:numRef>
              <c:f>'DTV-Integration'!$L$17:$L$77</c:f>
              <c:numCache/>
            </c:numRef>
          </c:xVal>
          <c:yVal>
            <c:numRef>
              <c:f>'DTV-Integration'!$C$17:$C$77</c:f>
              <c:numCache/>
            </c:numRef>
          </c:yVal>
          <c:smooth val="1"/>
        </c:ser>
        <c:axId val="24179039"/>
        <c:axId val="16284760"/>
      </c:scatterChart>
      <c:valAx>
        <c:axId val="24179039"/>
        <c:scaling>
          <c:orientation val="minMax"/>
          <c:min val="0"/>
        </c:scaling>
        <c:axPos val="b"/>
        <c:title>
          <c:tx>
            <c:rich>
              <a:bodyPr vert="horz" rot="0" anchor="ctr"/>
              <a:lstStyle/>
              <a:p>
                <a:pPr algn="ctr">
                  <a:defRPr/>
                </a:pPr>
                <a:r>
                  <a:rPr lang="en-US" cap="none" sz="1000" b="1" i="0" u="none" baseline="0">
                    <a:latin typeface="Arial"/>
                    <a:ea typeface="Arial"/>
                    <a:cs typeface="Arial"/>
                  </a:rPr>
                  <a:t>Probability of product</a:t>
                </a:r>
              </a:p>
            </c:rich>
          </c:tx>
          <c:layout>
            <c:manualLayout>
              <c:xMode val="factor"/>
              <c:yMode val="factor"/>
              <c:x val="-0.006"/>
              <c:y val="-0.003"/>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6284760"/>
        <c:crossesAt val="-70"/>
        <c:crossBetween val="midCat"/>
        <c:dispUnits/>
      </c:valAx>
      <c:valAx>
        <c:axId val="16284760"/>
        <c:scaling>
          <c:orientation val="minMax"/>
          <c:max val="60"/>
          <c:min val="-60"/>
        </c:scaling>
        <c:axPos val="l"/>
        <c:title>
          <c:tx>
            <c:rich>
              <a:bodyPr vert="horz" rot="-5400000" anchor="ctr"/>
              <a:lstStyle/>
              <a:p>
                <a:pPr algn="ctr">
                  <a:defRPr/>
                </a:pPr>
                <a:r>
                  <a:rPr lang="en-US" cap="none" sz="950" b="1" i="0" u="none" baseline="0">
                    <a:latin typeface="Arial"/>
                    <a:ea typeface="Arial"/>
                    <a:cs typeface="Arial"/>
                  </a:rPr>
                  <a:t>SNR (dB)</a:t>
                </a:r>
              </a:p>
            </c:rich>
          </c:tx>
          <c:layout>
            <c:manualLayout>
              <c:xMode val="factor"/>
              <c:yMode val="factor"/>
              <c:x val="-0.0075"/>
              <c:y val="0"/>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41790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1.xm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762750"/>
          <a:ext cx="2266950" cy="323850"/>
        </a:xfrm>
        <a:prstGeom prst="rect">
          <a:avLst/>
        </a:prstGeom>
        <a:noFill/>
        <a:ln w="9525" cmpd="sng">
          <a:solidFill>
            <a:srgbClr val="FF0000"/>
          </a:solidFill>
          <a:headEnd type="none"/>
          <a:tailEnd type="none"/>
        </a:ln>
      </xdr:spPr>
    </xdr:pic>
    <xdr:clientData/>
  </xdr:twoCellAnchor>
  <xdr:twoCellAnchor>
    <xdr:from>
      <xdr:col>9</xdr:col>
      <xdr:colOff>95250</xdr:colOff>
      <xdr:row>38</xdr:row>
      <xdr:rowOff>28575</xdr:rowOff>
    </xdr:from>
    <xdr:to>
      <xdr:col>9</xdr:col>
      <xdr:colOff>476250</xdr:colOff>
      <xdr:row>45</xdr:row>
      <xdr:rowOff>9525</xdr:rowOff>
    </xdr:to>
    <xdr:sp>
      <xdr:nvSpPr>
        <xdr:cNvPr id="2" name="Line 25"/>
        <xdr:cNvSpPr>
          <a:spLocks/>
        </xdr:cNvSpPr>
      </xdr:nvSpPr>
      <xdr:spPr>
        <a:xfrm flipH="1" flipV="1">
          <a:off x="8334375" y="7115175"/>
          <a:ext cx="381000" cy="116205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800975"/>
          <a:ext cx="2276475" cy="323850"/>
        </a:xfrm>
        <a:prstGeom prst="rect">
          <a:avLst/>
        </a:prstGeom>
        <a:noFill/>
        <a:ln w="9525" cmpd="sng">
          <a:solidFill>
            <a:srgbClr val="FF0000"/>
          </a:solidFill>
          <a:headEnd type="none"/>
          <a:tailEnd type="none"/>
        </a:ln>
      </xdr:spPr>
    </xdr:pic>
    <xdr:clientData/>
  </xdr:twoCellAnchor>
  <xdr:twoCellAnchor>
    <xdr:from>
      <xdr:col>9</xdr:col>
      <xdr:colOff>95250</xdr:colOff>
      <xdr:row>44</xdr:row>
      <xdr:rowOff>66675</xdr:rowOff>
    </xdr:from>
    <xdr:to>
      <xdr:col>9</xdr:col>
      <xdr:colOff>476250</xdr:colOff>
      <xdr:row>45</xdr:row>
      <xdr:rowOff>0</xdr:rowOff>
    </xdr:to>
    <xdr:sp>
      <xdr:nvSpPr>
        <xdr:cNvPr id="4" name="Line 36"/>
        <xdr:cNvSpPr>
          <a:spLocks/>
        </xdr:cNvSpPr>
      </xdr:nvSpPr>
      <xdr:spPr>
        <a:xfrm flipH="1" flipV="1">
          <a:off x="8334375" y="8134350"/>
          <a:ext cx="381000" cy="1333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14</xdr:row>
      <xdr:rowOff>0</xdr:rowOff>
    </xdr:from>
    <xdr:to>
      <xdr:col>26</xdr:col>
      <xdr:colOff>600075</xdr:colOff>
      <xdr:row>39</xdr:row>
      <xdr:rowOff>0</xdr:rowOff>
    </xdr:to>
    <xdr:graphicFrame>
      <xdr:nvGraphicFramePr>
        <xdr:cNvPr id="5" name="Chart 108"/>
        <xdr:cNvGraphicFramePr/>
      </xdr:nvGraphicFramePr>
      <xdr:xfrm>
        <a:off x="13877925" y="2714625"/>
        <a:ext cx="5476875" cy="4533900"/>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43</xdr:row>
      <xdr:rowOff>0</xdr:rowOff>
    </xdr:from>
    <xdr:to>
      <xdr:col>27</xdr:col>
      <xdr:colOff>0</xdr:colOff>
      <xdr:row>67</xdr:row>
      <xdr:rowOff>0</xdr:rowOff>
    </xdr:to>
    <xdr:graphicFrame>
      <xdr:nvGraphicFramePr>
        <xdr:cNvPr id="6" name="Chart 109"/>
        <xdr:cNvGraphicFramePr/>
      </xdr:nvGraphicFramePr>
      <xdr:xfrm>
        <a:off x="13877925" y="7896225"/>
        <a:ext cx="5486400" cy="45339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7</xdr:col>
      <xdr:colOff>0</xdr:colOff>
      <xdr:row>95</xdr:row>
      <xdr:rowOff>0</xdr:rowOff>
    </xdr:to>
    <xdr:graphicFrame>
      <xdr:nvGraphicFramePr>
        <xdr:cNvPr id="1" name="Chart 5"/>
        <xdr:cNvGraphicFramePr/>
      </xdr:nvGraphicFramePr>
      <xdr:xfrm>
        <a:off x="0" y="12020550"/>
        <a:ext cx="4838700" cy="40481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111</xdr:row>
      <xdr:rowOff>0</xdr:rowOff>
    </xdr:from>
    <xdr:to>
      <xdr:col>11</xdr:col>
      <xdr:colOff>0</xdr:colOff>
      <xdr:row>135</xdr:row>
      <xdr:rowOff>0</xdr:rowOff>
    </xdr:to>
    <xdr:graphicFrame>
      <xdr:nvGraphicFramePr>
        <xdr:cNvPr id="2" name="Chart 6"/>
        <xdr:cNvGraphicFramePr/>
      </xdr:nvGraphicFramePr>
      <xdr:xfrm>
        <a:off x="3009900" y="18659475"/>
        <a:ext cx="4781550" cy="38862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70</xdr:row>
      <xdr:rowOff>0</xdr:rowOff>
    </xdr:from>
    <xdr:to>
      <xdr:col>15</xdr:col>
      <xdr:colOff>0</xdr:colOff>
      <xdr:row>95</xdr:row>
      <xdr:rowOff>0</xdr:rowOff>
    </xdr:to>
    <xdr:graphicFrame>
      <xdr:nvGraphicFramePr>
        <xdr:cNvPr id="3" name="Chart 7"/>
        <xdr:cNvGraphicFramePr/>
      </xdr:nvGraphicFramePr>
      <xdr:xfrm>
        <a:off x="5448300" y="12020550"/>
        <a:ext cx="4781550" cy="40481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15</xdr:row>
      <xdr:rowOff>0</xdr:rowOff>
    </xdr:from>
    <xdr:to>
      <xdr:col>9</xdr:col>
      <xdr:colOff>0</xdr:colOff>
      <xdr:row>46</xdr:row>
      <xdr:rowOff>0</xdr:rowOff>
    </xdr:to>
    <xdr:graphicFrame>
      <xdr:nvGraphicFramePr>
        <xdr:cNvPr id="4" name="Chart 8"/>
        <xdr:cNvGraphicFramePr/>
      </xdr:nvGraphicFramePr>
      <xdr:xfrm>
        <a:off x="3009900" y="2752725"/>
        <a:ext cx="3562350" cy="50196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15</xdr:row>
      <xdr:rowOff>0</xdr:rowOff>
    </xdr:from>
    <xdr:to>
      <xdr:col>15</xdr:col>
      <xdr:colOff>0</xdr:colOff>
      <xdr:row>46</xdr:row>
      <xdr:rowOff>0</xdr:rowOff>
    </xdr:to>
    <xdr:graphicFrame>
      <xdr:nvGraphicFramePr>
        <xdr:cNvPr id="5" name="Chart 9"/>
        <xdr:cNvGraphicFramePr/>
      </xdr:nvGraphicFramePr>
      <xdr:xfrm>
        <a:off x="6572250" y="2752725"/>
        <a:ext cx="3657600" cy="5019675"/>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15</xdr:row>
      <xdr:rowOff>0</xdr:rowOff>
    </xdr:from>
    <xdr:to>
      <xdr:col>21</xdr:col>
      <xdr:colOff>0</xdr:colOff>
      <xdr:row>46</xdr:row>
      <xdr:rowOff>0</xdr:rowOff>
    </xdr:to>
    <xdr:graphicFrame>
      <xdr:nvGraphicFramePr>
        <xdr:cNvPr id="6" name="Chart 10"/>
        <xdr:cNvGraphicFramePr/>
      </xdr:nvGraphicFramePr>
      <xdr:xfrm>
        <a:off x="10229850" y="2752725"/>
        <a:ext cx="3657600" cy="501967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13</xdr:row>
      <xdr:rowOff>0</xdr:rowOff>
    </xdr:from>
    <xdr:to>
      <xdr:col>30</xdr:col>
      <xdr:colOff>0</xdr:colOff>
      <xdr:row>77</xdr:row>
      <xdr:rowOff>0</xdr:rowOff>
    </xdr:to>
    <xdr:graphicFrame>
      <xdr:nvGraphicFramePr>
        <xdr:cNvPr id="1" name="Chart 6"/>
        <xdr:cNvGraphicFramePr/>
      </xdr:nvGraphicFramePr>
      <xdr:xfrm>
        <a:off x="15354300" y="2428875"/>
        <a:ext cx="3657600" cy="103632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13</xdr:row>
      <xdr:rowOff>0</xdr:rowOff>
    </xdr:from>
    <xdr:to>
      <xdr:col>18</xdr:col>
      <xdr:colOff>0</xdr:colOff>
      <xdr:row>77</xdr:row>
      <xdr:rowOff>0</xdr:rowOff>
    </xdr:to>
    <xdr:graphicFrame>
      <xdr:nvGraphicFramePr>
        <xdr:cNvPr id="2" name="Chart 7"/>
        <xdr:cNvGraphicFramePr/>
      </xdr:nvGraphicFramePr>
      <xdr:xfrm>
        <a:off x="8039100" y="2428875"/>
        <a:ext cx="3657600" cy="1036320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13</xdr:row>
      <xdr:rowOff>0</xdr:rowOff>
    </xdr:from>
    <xdr:to>
      <xdr:col>24</xdr:col>
      <xdr:colOff>0</xdr:colOff>
      <xdr:row>77</xdr:row>
      <xdr:rowOff>0</xdr:rowOff>
    </xdr:to>
    <xdr:graphicFrame>
      <xdr:nvGraphicFramePr>
        <xdr:cNvPr id="3" name="Chart 9"/>
        <xdr:cNvGraphicFramePr/>
      </xdr:nvGraphicFramePr>
      <xdr:xfrm>
        <a:off x="11696700" y="2428875"/>
        <a:ext cx="3657600" cy="1036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9</xdr:col>
      <xdr:colOff>0</xdr:colOff>
      <xdr:row>46</xdr:row>
      <xdr:rowOff>0</xdr:rowOff>
    </xdr:to>
    <xdr:graphicFrame>
      <xdr:nvGraphicFramePr>
        <xdr:cNvPr id="1" name="Chart 4"/>
        <xdr:cNvGraphicFramePr/>
      </xdr:nvGraphicFramePr>
      <xdr:xfrm>
        <a:off x="3009900" y="2752725"/>
        <a:ext cx="3562350" cy="50196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15</xdr:row>
      <xdr:rowOff>0</xdr:rowOff>
    </xdr:from>
    <xdr:to>
      <xdr:col>15</xdr:col>
      <xdr:colOff>0</xdr:colOff>
      <xdr:row>46</xdr:row>
      <xdr:rowOff>0</xdr:rowOff>
    </xdr:to>
    <xdr:graphicFrame>
      <xdr:nvGraphicFramePr>
        <xdr:cNvPr id="2" name="Chart 5"/>
        <xdr:cNvGraphicFramePr/>
      </xdr:nvGraphicFramePr>
      <xdr:xfrm>
        <a:off x="6572250" y="2752725"/>
        <a:ext cx="3657600" cy="5019675"/>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15</xdr:row>
      <xdr:rowOff>0</xdr:rowOff>
    </xdr:from>
    <xdr:to>
      <xdr:col>21</xdr:col>
      <xdr:colOff>0</xdr:colOff>
      <xdr:row>46</xdr:row>
      <xdr:rowOff>0</xdr:rowOff>
    </xdr:to>
    <xdr:graphicFrame>
      <xdr:nvGraphicFramePr>
        <xdr:cNvPr id="3" name="Chart 6"/>
        <xdr:cNvGraphicFramePr/>
      </xdr:nvGraphicFramePr>
      <xdr:xfrm>
        <a:off x="10229850" y="2752725"/>
        <a:ext cx="3657600" cy="50196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13</xdr:row>
      <xdr:rowOff>0</xdr:rowOff>
    </xdr:from>
    <xdr:to>
      <xdr:col>30</xdr:col>
      <xdr:colOff>0</xdr:colOff>
      <xdr:row>77</xdr:row>
      <xdr:rowOff>0</xdr:rowOff>
    </xdr:to>
    <xdr:graphicFrame>
      <xdr:nvGraphicFramePr>
        <xdr:cNvPr id="1" name="Chart 1"/>
        <xdr:cNvGraphicFramePr/>
      </xdr:nvGraphicFramePr>
      <xdr:xfrm>
        <a:off x="15354300" y="2428875"/>
        <a:ext cx="3657600" cy="103632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13</xdr:row>
      <xdr:rowOff>0</xdr:rowOff>
    </xdr:from>
    <xdr:to>
      <xdr:col>18</xdr:col>
      <xdr:colOff>0</xdr:colOff>
      <xdr:row>77</xdr:row>
      <xdr:rowOff>0</xdr:rowOff>
    </xdr:to>
    <xdr:graphicFrame>
      <xdr:nvGraphicFramePr>
        <xdr:cNvPr id="2" name="Chart 2"/>
        <xdr:cNvGraphicFramePr/>
      </xdr:nvGraphicFramePr>
      <xdr:xfrm>
        <a:off x="8039100" y="2428875"/>
        <a:ext cx="3657600" cy="1036320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13</xdr:row>
      <xdr:rowOff>0</xdr:rowOff>
    </xdr:from>
    <xdr:to>
      <xdr:col>24</xdr:col>
      <xdr:colOff>0</xdr:colOff>
      <xdr:row>77</xdr:row>
      <xdr:rowOff>0</xdr:rowOff>
    </xdr:to>
    <xdr:graphicFrame>
      <xdr:nvGraphicFramePr>
        <xdr:cNvPr id="3" name="Chart 3"/>
        <xdr:cNvGraphicFramePr/>
      </xdr:nvGraphicFramePr>
      <xdr:xfrm>
        <a:off x="11696700" y="2428875"/>
        <a:ext cx="3657600" cy="1036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155</v>
      </c>
    </row>
    <row r="4" spans="1:6" ht="18.75">
      <c r="A4" s="1" t="s">
        <v>3</v>
      </c>
      <c r="B4" s="3" t="s">
        <v>132</v>
      </c>
      <c r="F4" s="4"/>
    </row>
    <row r="5" spans="1:2" ht="15.75">
      <c r="A5" s="1" t="s">
        <v>4</v>
      </c>
      <c r="B5" s="5" t="s">
        <v>21</v>
      </c>
    </row>
    <row r="6" s="6" customFormat="1" ht="16.5" thickBot="1"/>
    <row r="7" spans="1:2" s="7" customFormat="1" ht="18.75">
      <c r="A7" s="7" t="s">
        <v>5</v>
      </c>
      <c r="B7" s="8" t="s">
        <v>22</v>
      </c>
    </row>
    <row r="8" spans="1:2" ht="15.75">
      <c r="A8" s="1" t="s">
        <v>6</v>
      </c>
      <c r="B8" s="5" t="s">
        <v>156</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103</v>
      </c>
      <c r="D21" s="5"/>
      <c r="E21" s="5"/>
      <c r="F21" s="5"/>
      <c r="G21" s="5"/>
      <c r="H21" s="5"/>
      <c r="I21" s="5"/>
    </row>
    <row r="22" spans="2:9" ht="15.75">
      <c r="B22" s="5" t="s">
        <v>10</v>
      </c>
      <c r="C22" s="5" t="s">
        <v>102</v>
      </c>
      <c r="D22" s="5"/>
      <c r="E22" s="5"/>
      <c r="F22" s="5"/>
      <c r="G22" s="5"/>
      <c r="H22" s="5"/>
      <c r="I22" s="5"/>
    </row>
    <row r="23" spans="2:9" ht="15.75">
      <c r="B23" s="5" t="s">
        <v>11</v>
      </c>
      <c r="C23" s="5" t="s">
        <v>104</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105</v>
      </c>
      <c r="D26" s="5"/>
      <c r="E26" s="5"/>
      <c r="F26" s="5"/>
      <c r="G26" s="5"/>
      <c r="H26" s="5"/>
      <c r="I26" s="5"/>
    </row>
    <row r="27" ht="15.75">
      <c r="A27" s="1" t="s">
        <v>19</v>
      </c>
    </row>
    <row r="37" spans="1:5" ht="15.75" customHeight="1">
      <c r="A37" s="9"/>
      <c r="B37" s="461"/>
      <c r="C37" s="461"/>
      <c r="D37" s="461"/>
      <c r="E37" s="461"/>
    </row>
    <row r="38" spans="1:5" ht="15.75" customHeight="1">
      <c r="A38" s="7"/>
      <c r="B38" s="10"/>
      <c r="C38" s="10"/>
      <c r="D38" s="10"/>
      <c r="E38" s="10"/>
    </row>
    <row r="39" spans="1:5" ht="15.75" customHeight="1">
      <c r="A39" s="7"/>
      <c r="B39" s="460"/>
      <c r="C39" s="460"/>
      <c r="D39" s="460"/>
      <c r="E39" s="460"/>
    </row>
    <row r="40" spans="1:5" ht="15.75" customHeight="1">
      <c r="A40" s="7"/>
      <c r="B40" s="10"/>
      <c r="C40" s="10"/>
      <c r="D40" s="10"/>
      <c r="E40" s="10"/>
    </row>
    <row r="41" spans="1:5" ht="15.75" customHeight="1">
      <c r="A41" s="7"/>
      <c r="B41" s="460"/>
      <c r="C41" s="460"/>
      <c r="D41" s="460"/>
      <c r="E41" s="460"/>
    </row>
    <row r="42" spans="2:5" ht="15.75" customHeight="1">
      <c r="B42" s="460"/>
      <c r="C42" s="460"/>
      <c r="D42" s="460"/>
      <c r="E42" s="460"/>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2006&amp;R&amp;"Times New Roman,Bold"&amp;14doc.: IEEE 802.22-06/0051r8</oddHeader>
    <oddFooter>&amp;L&amp;"Times New Roman,Regular"&amp;12Submission&amp;C&amp;"Times New Roman,Regular"&amp;12&amp;P&amp;R&amp;"Times New Roman,Regular"&amp;12Gerald Chouinard, CRC</oddFooter>
  </headerFooter>
  <drawing r:id="rId2"/>
</worksheet>
</file>

<file path=xl/worksheets/sheet10.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6" customWidth="1"/>
    <col min="2" max="2" width="5.57421875" style="186" customWidth="1"/>
    <col min="3" max="16384" width="9.140625" style="186" customWidth="1"/>
  </cols>
  <sheetData>
    <row r="1" ht="15.75">
      <c r="A1" s="185" t="s">
        <v>83</v>
      </c>
    </row>
    <row r="2" spans="1:15" ht="16.5" customHeight="1">
      <c r="A2" s="187"/>
      <c r="B2" s="188">
        <v>1</v>
      </c>
      <c r="C2" s="502" t="s">
        <v>97</v>
      </c>
      <c r="D2" s="502"/>
      <c r="E2" s="502"/>
      <c r="F2" s="502"/>
      <c r="G2" s="502"/>
      <c r="H2" s="502"/>
      <c r="I2" s="502"/>
      <c r="J2" s="502"/>
      <c r="K2" s="502"/>
      <c r="L2" s="502"/>
      <c r="M2" s="502"/>
      <c r="N2" s="502"/>
      <c r="O2" s="502"/>
    </row>
    <row r="3" spans="1:15" ht="30" customHeight="1">
      <c r="A3" s="187"/>
      <c r="B3" s="188">
        <v>2</v>
      </c>
      <c r="C3" s="502" t="s">
        <v>84</v>
      </c>
      <c r="D3" s="502"/>
      <c r="E3" s="502"/>
      <c r="F3" s="502"/>
      <c r="G3" s="502"/>
      <c r="H3" s="502"/>
      <c r="I3" s="502"/>
      <c r="J3" s="502"/>
      <c r="K3" s="502"/>
      <c r="L3" s="502"/>
      <c r="M3" s="502"/>
      <c r="N3" s="502"/>
      <c r="O3" s="502"/>
    </row>
    <row r="4" spans="1:15" ht="14.25">
      <c r="A4" s="187"/>
      <c r="B4" s="221">
        <v>3</v>
      </c>
      <c r="C4" s="502" t="s">
        <v>85</v>
      </c>
      <c r="D4" s="503"/>
      <c r="E4" s="503"/>
      <c r="F4" s="503"/>
      <c r="G4" s="503"/>
      <c r="H4" s="503"/>
      <c r="I4" s="503"/>
      <c r="J4" s="503"/>
      <c r="K4" s="503"/>
      <c r="L4" s="503"/>
      <c r="M4" s="503"/>
      <c r="N4" s="503"/>
      <c r="O4" s="503"/>
    </row>
    <row r="5" ht="12.75">
      <c r="A5" s="187"/>
    </row>
    <row r="6" ht="12.75">
      <c r="A6" s="187"/>
    </row>
    <row r="7" ht="12.75">
      <c r="A7" s="187"/>
    </row>
    <row r="8" ht="12.75">
      <c r="A8" s="187"/>
    </row>
    <row r="9" ht="12.75">
      <c r="A9" s="187"/>
    </row>
    <row r="10" ht="12.75">
      <c r="A10" s="187"/>
    </row>
    <row r="11" ht="12.75">
      <c r="A11" s="187"/>
    </row>
    <row r="12" ht="12.75">
      <c r="A12" s="187"/>
    </row>
    <row r="13" ht="12.75">
      <c r="A13" s="187"/>
    </row>
    <row r="14" ht="12.75">
      <c r="A14" s="187"/>
    </row>
    <row r="15" ht="12.75">
      <c r="A15" s="187"/>
    </row>
    <row r="16" ht="12.75">
      <c r="A16" s="187"/>
    </row>
    <row r="17" ht="12.75">
      <c r="A17" s="187"/>
    </row>
    <row r="18" ht="12.75">
      <c r="A18" s="187"/>
    </row>
    <row r="19" ht="12.75">
      <c r="A19" s="187"/>
    </row>
    <row r="20" ht="12.75">
      <c r="A20" s="187"/>
    </row>
    <row r="21" ht="12.75">
      <c r="A21" s="187"/>
    </row>
    <row r="22" ht="12.75">
      <c r="A22" s="187"/>
    </row>
    <row r="23" ht="12.75">
      <c r="A23" s="187"/>
    </row>
    <row r="24" ht="12.75">
      <c r="A24" s="187"/>
    </row>
  </sheetData>
  <mergeCells count="3">
    <mergeCell ref="C4:O4"/>
    <mergeCell ref="C3:O3"/>
    <mergeCell ref="C2:O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J2" sqref="J2"/>
    </sheetView>
  </sheetViews>
  <sheetFormatPr defaultColWidth="9.140625" defaultRowHeight="12.75"/>
  <cols>
    <col min="1" max="1" width="42.5742187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8" width="10.00390625" style="12" customWidth="1"/>
    <col min="9" max="9" width="10.140625" style="12" customWidth="1"/>
    <col min="10" max="10" width="11.00390625" style="12" customWidth="1"/>
    <col min="11" max="12" width="9.140625" style="12" customWidth="1"/>
    <col min="13" max="13" width="9.57421875" style="12" customWidth="1"/>
    <col min="14" max="14" width="9.140625" style="13" customWidth="1"/>
    <col min="15" max="16384" width="9.140625" style="12" customWidth="1"/>
  </cols>
  <sheetData>
    <row r="1" spans="1:10" ht="38.25" customHeight="1">
      <c r="A1" s="436" t="s">
        <v>127</v>
      </c>
      <c r="B1" s="436"/>
      <c r="C1" s="436"/>
      <c r="D1" s="436"/>
      <c r="E1" s="436"/>
      <c r="F1" s="436"/>
      <c r="G1" s="436"/>
      <c r="H1" s="436"/>
      <c r="I1" s="436"/>
      <c r="J1" s="436"/>
    </row>
    <row r="2" spans="1:26" ht="13.5" customHeight="1">
      <c r="A2" s="14" t="s">
        <v>27</v>
      </c>
      <c r="B2" s="15">
        <f>IF(AND(E2&gt;13,E2&lt;52),$E$2*6+389,"ERROR")</f>
        <v>617</v>
      </c>
      <c r="D2" s="16" t="s">
        <v>28</v>
      </c>
      <c r="E2" s="17">
        <v>38</v>
      </c>
      <c r="J2" s="18"/>
      <c r="K2" s="19"/>
      <c r="L2" s="19"/>
      <c r="M2" s="19"/>
      <c r="N2" s="20"/>
      <c r="O2" s="18"/>
      <c r="P2" s="18"/>
      <c r="Q2" s="18"/>
      <c r="R2" s="18"/>
      <c r="S2" s="18"/>
      <c r="T2" s="18"/>
      <c r="U2" s="18"/>
      <c r="V2" s="18"/>
      <c r="W2" s="18"/>
      <c r="X2" s="18"/>
      <c r="Y2" s="18"/>
      <c r="Z2" s="18"/>
    </row>
    <row r="3" spans="1:26" ht="13.5" customHeight="1">
      <c r="A3" s="14"/>
      <c r="B3" s="21"/>
      <c r="J3" s="18"/>
      <c r="K3" s="22"/>
      <c r="U3" s="23"/>
      <c r="V3" s="23"/>
      <c r="W3" s="23"/>
      <c r="X3" s="23"/>
      <c r="Y3" s="23"/>
      <c r="Z3" s="23"/>
    </row>
    <row r="4" spans="1:26" ht="13.5" customHeight="1" thickBot="1">
      <c r="A4" s="21" t="s">
        <v>29</v>
      </c>
      <c r="B4" s="206" t="s">
        <v>30</v>
      </c>
      <c r="C4" s="207" t="s">
        <v>31</v>
      </c>
      <c r="D4" s="206" t="s">
        <v>32</v>
      </c>
      <c r="E4" s="208" t="s">
        <v>33</v>
      </c>
      <c r="J4" s="18"/>
      <c r="K4" s="22"/>
      <c r="U4" s="23"/>
      <c r="V4" s="23"/>
      <c r="W4" s="23"/>
      <c r="X4" s="23"/>
      <c r="Y4" s="23"/>
      <c r="Z4" s="23"/>
    </row>
    <row r="5" spans="1:26" ht="13.5" customHeight="1">
      <c r="A5" s="24" t="s">
        <v>34</v>
      </c>
      <c r="B5" s="25">
        <v>-116</v>
      </c>
      <c r="C5" s="26">
        <v>-94</v>
      </c>
      <c r="D5" s="27">
        <v>-107</v>
      </c>
      <c r="E5" s="28">
        <v>-120</v>
      </c>
      <c r="J5" s="18"/>
      <c r="K5" s="22"/>
      <c r="U5" s="23"/>
      <c r="V5" s="23"/>
      <c r="W5" s="23"/>
      <c r="X5" s="23"/>
      <c r="Y5" s="23"/>
      <c r="Z5" s="23"/>
    </row>
    <row r="6" spans="1:26" ht="13.5" customHeight="1">
      <c r="A6" s="29" t="s">
        <v>35</v>
      </c>
      <c r="B6" s="30">
        <v>6</v>
      </c>
      <c r="C6" s="31">
        <v>6</v>
      </c>
      <c r="D6" s="32">
        <v>0.2</v>
      </c>
      <c r="E6" s="33">
        <v>0.01</v>
      </c>
      <c r="J6" s="18"/>
      <c r="K6" s="22"/>
      <c r="U6" s="23"/>
      <c r="V6" s="23"/>
      <c r="W6" s="23"/>
      <c r="X6" s="23"/>
      <c r="Y6" s="23"/>
      <c r="Z6" s="23"/>
    </row>
    <row r="7" spans="1:26" ht="13.5" customHeight="1">
      <c r="A7" s="29" t="s">
        <v>36</v>
      </c>
      <c r="B7" s="30">
        <v>0</v>
      </c>
      <c r="C7" s="31">
        <v>0</v>
      </c>
      <c r="D7" s="32">
        <v>0</v>
      </c>
      <c r="E7" s="33">
        <v>0</v>
      </c>
      <c r="G7" s="13"/>
      <c r="J7" s="177"/>
      <c r="K7" s="22"/>
      <c r="U7" s="23"/>
      <c r="V7" s="23"/>
      <c r="W7" s="23"/>
      <c r="X7" s="23"/>
      <c r="Y7" s="23"/>
      <c r="Z7" s="23"/>
    </row>
    <row r="8" spans="1:26" ht="13.5" customHeight="1">
      <c r="A8" s="34" t="s">
        <v>37</v>
      </c>
      <c r="B8" s="35">
        <f>(300/$B$2)^2/(4*PI())</f>
        <v>0.01881318461824558</v>
      </c>
      <c r="C8" s="36">
        <f>(300/$B$2)^2/(4*PI())</f>
        <v>0.01881318461824558</v>
      </c>
      <c r="D8" s="37">
        <f>(300/$B$2)^2/(4*PI())</f>
        <v>0.01881318461824558</v>
      </c>
      <c r="E8" s="38">
        <f>(300/$B$2)^2/(4*PI())</f>
        <v>0.01881318461824558</v>
      </c>
      <c r="H8" s="336"/>
      <c r="J8" s="18"/>
      <c r="K8" s="22"/>
      <c r="U8" s="23"/>
      <c r="V8" s="23"/>
      <c r="W8" s="23"/>
      <c r="X8" s="23"/>
      <c r="Y8" s="23"/>
      <c r="Z8" s="23"/>
    </row>
    <row r="9" spans="1:26" ht="13.5" customHeight="1">
      <c r="A9" s="39" t="s">
        <v>38</v>
      </c>
      <c r="B9" s="40">
        <f>(B5-30)-B7-10*LOG10(B8)</f>
        <v>-128.74462317350745</v>
      </c>
      <c r="C9" s="41">
        <f>(C5-30)-C7-10*LOG10(C8)</f>
        <v>-106.74462317350745</v>
      </c>
      <c r="D9" s="42">
        <f>(D5-30)-D7-10*LOG10(D8)</f>
        <v>-119.74462317350745</v>
      </c>
      <c r="E9" s="43">
        <f>(E5-30)-E7-10*LOG10(E8)</f>
        <v>-132.74462317350745</v>
      </c>
      <c r="H9" s="336"/>
      <c r="K9" s="22"/>
      <c r="U9" s="23"/>
      <c r="V9" s="23"/>
      <c r="W9" s="23"/>
      <c r="X9" s="23"/>
      <c r="Y9" s="23"/>
      <c r="Z9" s="23"/>
    </row>
    <row r="10" spans="1:26" ht="13.5" customHeight="1" thickBot="1">
      <c r="A10" s="44" t="s">
        <v>39</v>
      </c>
      <c r="B10" s="45">
        <f>B9+145.8</f>
        <v>17.055376826492562</v>
      </c>
      <c r="C10" s="46">
        <f>C9+145.8</f>
        <v>39.05537682649256</v>
      </c>
      <c r="D10" s="47">
        <f>D9+145.8</f>
        <v>26.055376826492562</v>
      </c>
      <c r="E10" s="48">
        <f>E9+145.8</f>
        <v>13.055376826492562</v>
      </c>
      <c r="H10" s="336"/>
      <c r="J10" s="18"/>
      <c r="K10" s="22"/>
      <c r="U10" s="23"/>
      <c r="V10" s="23"/>
      <c r="W10" s="23"/>
      <c r="X10" s="23"/>
      <c r="Y10" s="23"/>
      <c r="Z10" s="23"/>
    </row>
    <row r="11" spans="1:26" ht="13.5" customHeight="1" thickBot="1">
      <c r="A11" s="14"/>
      <c r="B11" s="21"/>
      <c r="C11" s="49"/>
      <c r="D11" s="49"/>
      <c r="E11" s="49"/>
      <c r="G11" s="13"/>
      <c r="H11" s="336"/>
      <c r="J11" s="18"/>
      <c r="K11" s="22"/>
      <c r="U11" s="23"/>
      <c r="V11" s="23"/>
      <c r="W11" s="23"/>
      <c r="X11" s="23"/>
      <c r="Y11" s="23"/>
      <c r="Z11" s="23"/>
    </row>
    <row r="12" spans="1:26" ht="13.5" customHeight="1">
      <c r="A12" s="50" t="s">
        <v>40</v>
      </c>
      <c r="B12" s="190">
        <f>41-20*LOG10(615/$B$2)</f>
        <v>41.0282009651565</v>
      </c>
      <c r="C12" s="169">
        <f>64-20*LOG10(615/$B$2)</f>
        <v>64.0282009651565</v>
      </c>
      <c r="D12" s="51">
        <f>(-26.8-30)-(6+10*LOG10(200/6000))-107.8-20+145.8</f>
        <v>-30.028787452803357</v>
      </c>
      <c r="E12" s="52">
        <f>(16.3-30)-(6+10*LOG10(200/6000))-107.8-20+145.8</f>
        <v>13.071212547196637</v>
      </c>
      <c r="F12" s="53" t="s">
        <v>41</v>
      </c>
      <c r="H12" s="336"/>
      <c r="U12" s="23"/>
      <c r="V12" s="23"/>
      <c r="W12" s="23"/>
      <c r="X12" s="23"/>
      <c r="Y12" s="23"/>
      <c r="Z12" s="23"/>
    </row>
    <row r="13" spans="1:26" ht="13.5" customHeight="1">
      <c r="A13" s="54" t="s">
        <v>42</v>
      </c>
      <c r="B13" s="55">
        <f>B10</f>
        <v>17.055376826492562</v>
      </c>
      <c r="C13" s="56">
        <f>C10</f>
        <v>39.05537682649256</v>
      </c>
      <c r="D13" s="57">
        <f>D10</f>
        <v>26.055376826492562</v>
      </c>
      <c r="E13" s="58">
        <f>E10</f>
        <v>13.055376826492562</v>
      </c>
      <c r="F13" s="59" t="s">
        <v>41</v>
      </c>
      <c r="U13" s="23"/>
      <c r="V13" s="23"/>
      <c r="W13" s="23"/>
      <c r="X13" s="23"/>
      <c r="Y13" s="23"/>
      <c r="Z13" s="23"/>
    </row>
    <row r="14" spans="1:26" ht="13.5" customHeight="1" thickBot="1">
      <c r="A14" s="60" t="s">
        <v>43</v>
      </c>
      <c r="B14" s="45">
        <f>B12-B10</f>
        <v>23.97282413866394</v>
      </c>
      <c r="C14" s="47">
        <f>C12-C10</f>
        <v>24.97282413866394</v>
      </c>
      <c r="D14" s="47">
        <f>D12-D10</f>
        <v>-56.08416427929592</v>
      </c>
      <c r="E14" s="48">
        <f>E12-E10</f>
        <v>0.01583572070407513</v>
      </c>
      <c r="F14" s="61" t="s">
        <v>20</v>
      </c>
      <c r="U14" s="23"/>
      <c r="V14" s="23"/>
      <c r="W14" s="23"/>
      <c r="X14" s="23"/>
      <c r="Y14" s="23"/>
      <c r="Z14" s="23"/>
    </row>
    <row r="15" spans="1:26" ht="13.5" customHeight="1">
      <c r="A15" s="62"/>
      <c r="B15" s="14"/>
      <c r="C15" s="63"/>
      <c r="J15" s="18"/>
      <c r="K15" s="22"/>
      <c r="U15" s="19"/>
      <c r="V15" s="64"/>
      <c r="W15" s="64"/>
      <c r="X15" s="64"/>
      <c r="Y15" s="64"/>
      <c r="Z15" s="64"/>
    </row>
    <row r="16" spans="1:26" ht="13.5" customHeight="1" thickBot="1">
      <c r="A16" s="65" t="s">
        <v>44</v>
      </c>
      <c r="B16" s="206" t="s">
        <v>30</v>
      </c>
      <c r="C16" s="207" t="s">
        <v>31</v>
      </c>
      <c r="D16" s="206" t="s">
        <v>32</v>
      </c>
      <c r="E16" s="208" t="s">
        <v>33</v>
      </c>
      <c r="G16" s="66"/>
      <c r="J16" s="18"/>
      <c r="K16" s="22"/>
      <c r="V16" s="64"/>
      <c r="W16" s="64"/>
      <c r="X16" s="67"/>
      <c r="Y16" s="64"/>
      <c r="Z16" s="64"/>
    </row>
    <row r="17" spans="1:26" ht="13.5" customHeight="1">
      <c r="A17" s="68" t="s">
        <v>45</v>
      </c>
      <c r="B17" s="381">
        <v>0</v>
      </c>
      <c r="C17" s="476"/>
      <c r="D17" s="476"/>
      <c r="E17" s="477"/>
      <c r="F17" s="69"/>
      <c r="G17" s="69"/>
      <c r="H17" s="69"/>
      <c r="I17" s="69"/>
      <c r="J17" s="18"/>
      <c r="K17" s="22"/>
      <c r="V17" s="70"/>
      <c r="W17" s="70"/>
      <c r="X17" s="70"/>
      <c r="Y17" s="70"/>
      <c r="Z17" s="70"/>
    </row>
    <row r="18" spans="1:26" ht="13.5" customHeight="1">
      <c r="A18" s="34" t="s">
        <v>37</v>
      </c>
      <c r="B18" s="466">
        <f>(300/$B$2)^2/(4*PI())</f>
        <v>0.01881318461824558</v>
      </c>
      <c r="C18" s="467"/>
      <c r="D18" s="467"/>
      <c r="E18" s="468"/>
      <c r="F18" s="71"/>
      <c r="V18" s="72"/>
      <c r="W18" s="73"/>
      <c r="X18" s="18"/>
      <c r="Y18" s="18"/>
      <c r="Z18" s="18"/>
    </row>
    <row r="19" spans="1:26" ht="13.5" customHeight="1">
      <c r="A19" s="34" t="s">
        <v>46</v>
      </c>
      <c r="B19" s="444">
        <f>90*(1/3)+290*(2/3)</f>
        <v>223.33333333333331</v>
      </c>
      <c r="C19" s="445"/>
      <c r="D19" s="445"/>
      <c r="E19" s="434"/>
      <c r="V19" s="73"/>
      <c r="W19" s="73"/>
      <c r="X19" s="73"/>
      <c r="Y19" s="73"/>
      <c r="Z19" s="73"/>
    </row>
    <row r="20" spans="1:26" ht="27.75" customHeight="1">
      <c r="A20" s="189" t="s">
        <v>47</v>
      </c>
      <c r="B20" s="469">
        <v>-99</v>
      </c>
      <c r="C20" s="470"/>
      <c r="D20" s="470"/>
      <c r="E20" s="471"/>
      <c r="F20" s="75"/>
      <c r="G20" s="76"/>
      <c r="H20" s="76"/>
      <c r="I20" s="76"/>
      <c r="J20" s="76"/>
      <c r="W20" s="73"/>
      <c r="X20" s="73"/>
      <c r="Y20" s="73"/>
      <c r="Z20" s="73"/>
    </row>
    <row r="21" spans="1:26" ht="26.25" customHeight="1">
      <c r="A21" s="74" t="s">
        <v>48</v>
      </c>
      <c r="B21" s="472">
        <f>10^((B20-145.8+10*LOG(B18)+B17+168.6-10*LOG10(B6))/10)</f>
        <v>7.521614428973094E-11</v>
      </c>
      <c r="C21" s="473"/>
      <c r="D21" s="473"/>
      <c r="E21" s="474"/>
      <c r="F21" s="75"/>
      <c r="J21" s="76"/>
      <c r="K21" s="76"/>
      <c r="W21" s="73"/>
      <c r="X21" s="73"/>
      <c r="Y21" s="73"/>
      <c r="Z21" s="73"/>
    </row>
    <row r="22" spans="1:26" ht="13.5" customHeight="1">
      <c r="A22" s="209" t="s">
        <v>93</v>
      </c>
      <c r="B22" s="462">
        <v>10</v>
      </c>
      <c r="C22" s="463"/>
      <c r="D22" s="463"/>
      <c r="E22" s="464"/>
      <c r="K22" s="202"/>
      <c r="L22" s="76"/>
      <c r="M22" s="18"/>
      <c r="W22" s="73"/>
      <c r="X22" s="73"/>
      <c r="Y22" s="73"/>
      <c r="Z22" s="73"/>
    </row>
    <row r="23" spans="1:26" ht="13.5" customHeight="1">
      <c r="A23" s="77" t="s">
        <v>49</v>
      </c>
      <c r="B23" s="481">
        <v>0.5</v>
      </c>
      <c r="C23" s="482"/>
      <c r="D23" s="482"/>
      <c r="E23" s="483"/>
      <c r="K23" s="202"/>
      <c r="M23" s="18"/>
      <c r="W23" s="73"/>
      <c r="X23" s="73"/>
      <c r="Y23" s="73"/>
      <c r="Z23" s="73"/>
    </row>
    <row r="24" spans="1:26" ht="13.5" customHeight="1">
      <c r="A24" s="34" t="s">
        <v>50</v>
      </c>
      <c r="B24" s="481">
        <v>4</v>
      </c>
      <c r="C24" s="482"/>
      <c r="D24" s="482"/>
      <c r="E24" s="483"/>
      <c r="G24" s="76"/>
      <c r="H24" s="76"/>
      <c r="I24" s="76"/>
      <c r="J24" s="76"/>
      <c r="K24" s="202"/>
      <c r="L24" s="64"/>
      <c r="M24" s="18"/>
      <c r="W24" s="73"/>
      <c r="X24" s="73"/>
      <c r="Y24" s="73"/>
      <c r="Z24" s="73"/>
    </row>
    <row r="25" spans="1:26" ht="13.5" customHeight="1">
      <c r="A25" s="77" t="s">
        <v>51</v>
      </c>
      <c r="B25" s="481">
        <v>2</v>
      </c>
      <c r="C25" s="482"/>
      <c r="D25" s="482"/>
      <c r="E25" s="483"/>
      <c r="L25" s="70"/>
      <c r="M25" s="18"/>
      <c r="W25" s="73"/>
      <c r="X25" s="73"/>
      <c r="Y25" s="73"/>
      <c r="Z25" s="73"/>
    </row>
    <row r="26" spans="1:26" ht="13.5" customHeight="1">
      <c r="A26" s="77" t="s">
        <v>52</v>
      </c>
      <c r="B26" s="481">
        <v>6</v>
      </c>
      <c r="C26" s="482"/>
      <c r="D26" s="482"/>
      <c r="E26" s="483"/>
      <c r="I26" s="19"/>
      <c r="J26" s="18"/>
      <c r="K26" s="22"/>
      <c r="L26" s="72"/>
      <c r="W26" s="73"/>
      <c r="X26" s="73"/>
      <c r="Y26" s="73"/>
      <c r="Z26" s="73"/>
    </row>
    <row r="27" spans="1:26" ht="13.5" customHeight="1">
      <c r="A27" s="77" t="s">
        <v>53</v>
      </c>
      <c r="B27" s="478">
        <f>B17-(B23+B24+B25)-10*LOG10((B19+B21)*10^(-(B23+B24+B25)/10)+290*(1-10^(-(B23+B24+B25)/10))+290*(10^(B26/10)-1))</f>
        <v>-37.06747100272945</v>
      </c>
      <c r="C27" s="479"/>
      <c r="D27" s="479"/>
      <c r="E27" s="480"/>
      <c r="H27" s="69"/>
      <c r="I27" s="69"/>
      <c r="J27" s="18"/>
      <c r="K27" s="18"/>
      <c r="L27" s="71"/>
      <c r="W27" s="73"/>
      <c r="X27" s="73"/>
      <c r="Y27" s="73"/>
      <c r="Z27" s="73"/>
    </row>
    <row r="28" spans="1:26" ht="13.5" customHeight="1" thickBot="1">
      <c r="A28" s="195" t="s">
        <v>117</v>
      </c>
      <c r="B28" s="475">
        <f>10*LOG10(((B19+B21)*10^(-(B23+B24+B25)/10)+290*(1-10^(-(B23+B24+B25)/10))+290*(10^(B26/10)-1))/290)</f>
        <v>5.943491023739885</v>
      </c>
      <c r="C28" s="437"/>
      <c r="D28" s="437"/>
      <c r="E28" s="438"/>
      <c r="H28" s="69"/>
      <c r="I28" s="69"/>
      <c r="J28" s="18"/>
      <c r="K28" s="18"/>
      <c r="L28" s="71"/>
      <c r="W28" s="73"/>
      <c r="X28" s="73"/>
      <c r="Y28" s="73"/>
      <c r="Z28" s="73"/>
    </row>
    <row r="29" spans="1:26" ht="12.75" customHeight="1" thickBot="1">
      <c r="A29" s="78" t="s">
        <v>54</v>
      </c>
      <c r="B29" s="79">
        <f>B9+168.6-10*LOG10(B6)+10*LOG10($B18)+$B27</f>
        <v>-22.248983506565885</v>
      </c>
      <c r="C29" s="80">
        <f>C9+168.6-10*LOG10(C6)+10*LOG10($B18)+$B27</f>
        <v>-0.2489835065658852</v>
      </c>
      <c r="D29" s="81">
        <f>D9+168.6-10*LOG10(D6)+10*LOG10($B18)+$B27</f>
        <v>1.5222290406307408</v>
      </c>
      <c r="E29" s="82">
        <f>E9+168.6-10*LOG10(E6)+10*LOG10($B18)+$B27</f>
        <v>1.5325289972705534</v>
      </c>
      <c r="F29" s="83" t="s">
        <v>20</v>
      </c>
      <c r="M29" s="84"/>
      <c r="Q29" s="85"/>
      <c r="W29" s="73"/>
      <c r="X29" s="18"/>
      <c r="Y29" s="18"/>
      <c r="Z29" s="18"/>
    </row>
    <row r="30" spans="1:26" ht="12.75" customHeight="1">
      <c r="A30" s="86"/>
      <c r="B30" s="87"/>
      <c r="C30" s="87"/>
      <c r="D30" s="87"/>
      <c r="E30" s="87"/>
      <c r="M30" s="84"/>
      <c r="Q30" s="88"/>
      <c r="W30" s="73"/>
      <c r="X30" s="18"/>
      <c r="Y30" s="18"/>
      <c r="Z30" s="18"/>
    </row>
    <row r="31" spans="1:26" ht="13.5" customHeight="1">
      <c r="A31" s="22"/>
      <c r="B31" s="71"/>
      <c r="C31" s="71"/>
      <c r="D31" s="71"/>
      <c r="E31" s="71"/>
      <c r="H31" s="71"/>
      <c r="I31" s="71"/>
      <c r="J31" s="90"/>
      <c r="K31" s="84"/>
      <c r="M31" s="18"/>
      <c r="Q31" s="88"/>
      <c r="W31" s="18"/>
      <c r="X31" s="18"/>
      <c r="Y31" s="18"/>
      <c r="Z31" s="18"/>
    </row>
    <row r="32" spans="1:26" ht="12.75" customHeight="1" thickBot="1">
      <c r="A32" s="91" t="s">
        <v>90</v>
      </c>
      <c r="B32" s="71"/>
      <c r="C32" s="71"/>
      <c r="D32" s="71"/>
      <c r="E32" s="71"/>
      <c r="H32" s="71"/>
      <c r="I32" s="71"/>
      <c r="J32" s="90"/>
      <c r="K32" s="84"/>
      <c r="M32" s="22"/>
      <c r="Q32" s="92"/>
      <c r="W32" s="18"/>
      <c r="X32" s="18"/>
      <c r="Y32" s="18"/>
      <c r="Z32" s="18"/>
    </row>
    <row r="33" spans="1:26" ht="12.75" customHeight="1">
      <c r="A33" s="93" t="s">
        <v>55</v>
      </c>
      <c r="B33" s="94">
        <v>0.9</v>
      </c>
      <c r="C33" s="95">
        <v>0.9</v>
      </c>
      <c r="D33" s="94">
        <v>0.9</v>
      </c>
      <c r="E33" s="96">
        <v>0.9</v>
      </c>
      <c r="I33" s="71"/>
      <c r="J33" s="90"/>
      <c r="K33" s="73"/>
      <c r="M33" s="18"/>
      <c r="Q33" s="97"/>
      <c r="W33" s="18"/>
      <c r="X33" s="18"/>
      <c r="Y33" s="18"/>
      <c r="Z33" s="18"/>
    </row>
    <row r="34" spans="1:26" ht="12.75" customHeight="1" thickBot="1">
      <c r="A34" s="98" t="s">
        <v>94</v>
      </c>
      <c r="B34" s="99">
        <v>0.1</v>
      </c>
      <c r="C34" s="100">
        <v>0.1</v>
      </c>
      <c r="D34" s="99">
        <v>0.1</v>
      </c>
      <c r="E34" s="101">
        <v>0.1</v>
      </c>
      <c r="H34" s="71"/>
      <c r="I34" s="71"/>
      <c r="J34" s="18"/>
      <c r="K34" s="18"/>
      <c r="M34" s="18"/>
      <c r="Q34" s="92"/>
      <c r="W34" s="18"/>
      <c r="X34" s="18"/>
      <c r="Y34" s="18"/>
      <c r="Z34" s="18"/>
    </row>
    <row r="35" spans="1:26" ht="12.75" customHeight="1">
      <c r="A35" s="102"/>
      <c r="B35" s="103"/>
      <c r="C35" s="103"/>
      <c r="D35" s="103"/>
      <c r="E35" s="103"/>
      <c r="F35" s="22"/>
      <c r="H35" s="71"/>
      <c r="I35" s="71"/>
      <c r="J35" s="18"/>
      <c r="K35" s="18"/>
      <c r="M35" s="18"/>
      <c r="Q35" s="92"/>
      <c r="W35" s="18"/>
      <c r="X35" s="18"/>
      <c r="Y35" s="18"/>
      <c r="Z35" s="18"/>
    </row>
    <row r="36" spans="1:26" ht="12.75" customHeight="1" thickBot="1">
      <c r="A36" s="91" t="s">
        <v>88</v>
      </c>
      <c r="B36" s="439" t="s">
        <v>91</v>
      </c>
      <c r="C36" s="440"/>
      <c r="D36" s="440"/>
      <c r="E36" s="196">
        <v>2</v>
      </c>
      <c r="G36" s="69"/>
      <c r="H36" s="71"/>
      <c r="I36" s="71"/>
      <c r="J36" s="18"/>
      <c r="K36" s="18"/>
      <c r="M36" s="18"/>
      <c r="W36" s="18"/>
      <c r="X36" s="18"/>
      <c r="Y36" s="18"/>
      <c r="Z36" s="18"/>
    </row>
    <row r="37" spans="1:26" ht="12.75" customHeight="1">
      <c r="A37" s="93" t="s">
        <v>55</v>
      </c>
      <c r="B37" s="94">
        <f>1-(1-B33)/$E$36</f>
        <v>0.95</v>
      </c>
      <c r="C37" s="94">
        <f>1-(1-C33)/$E$36</f>
        <v>0.95</v>
      </c>
      <c r="D37" s="94">
        <f>1-(1-D33)/$E$36</f>
        <v>0.95</v>
      </c>
      <c r="E37" s="94">
        <f>1-(1-E33)/$E$36</f>
        <v>0.95</v>
      </c>
      <c r="H37" s="71"/>
      <c r="I37" s="71"/>
      <c r="J37" s="18"/>
      <c r="K37" s="18"/>
      <c r="M37" s="18"/>
      <c r="W37" s="18"/>
      <c r="X37" s="18"/>
      <c r="Y37" s="18"/>
      <c r="Z37" s="18"/>
    </row>
    <row r="38" spans="1:26" ht="12.75" customHeight="1" thickBot="1">
      <c r="A38" s="98" t="s">
        <v>94</v>
      </c>
      <c r="B38" s="204">
        <f>B34/$E$36</f>
        <v>0.05</v>
      </c>
      <c r="C38" s="204">
        <f>C34/$E$36</f>
        <v>0.05</v>
      </c>
      <c r="D38" s="204">
        <f>D34/$E$36</f>
        <v>0.05</v>
      </c>
      <c r="E38" s="204">
        <f>E34/$E$36</f>
        <v>0.05</v>
      </c>
      <c r="H38" s="71"/>
      <c r="I38" s="71"/>
      <c r="J38" s="18"/>
      <c r="K38" s="18"/>
      <c r="M38" s="18"/>
      <c r="Q38" s="92"/>
      <c r="W38" s="18"/>
      <c r="X38" s="18"/>
      <c r="Y38" s="18"/>
      <c r="Z38" s="18"/>
    </row>
    <row r="39" spans="1:26" ht="12.75" customHeight="1">
      <c r="A39" s="102"/>
      <c r="E39" s="103"/>
      <c r="G39" s="89"/>
      <c r="H39" s="71"/>
      <c r="I39" s="71"/>
      <c r="J39" s="18"/>
      <c r="K39" s="18"/>
      <c r="M39" s="18"/>
      <c r="Q39" s="92"/>
      <c r="W39" s="18"/>
      <c r="X39" s="18"/>
      <c r="Y39" s="18"/>
      <c r="Z39" s="18"/>
    </row>
    <row r="40" spans="1:26" ht="12.75" customHeight="1" thickBot="1">
      <c r="A40" s="91" t="s">
        <v>89</v>
      </c>
      <c r="B40" s="441" t="s">
        <v>92</v>
      </c>
      <c r="C40" s="442"/>
      <c r="D40" s="442"/>
      <c r="E40" s="196">
        <v>2</v>
      </c>
      <c r="G40" s="89"/>
      <c r="H40" s="71"/>
      <c r="I40" s="71"/>
      <c r="J40" s="18"/>
      <c r="K40" s="18"/>
      <c r="M40" s="18"/>
      <c r="Q40" s="92"/>
      <c r="W40" s="18"/>
      <c r="X40" s="18"/>
      <c r="Y40" s="18"/>
      <c r="Z40" s="18"/>
    </row>
    <row r="41" spans="1:26" ht="12.75" customHeight="1">
      <c r="A41" s="93" t="s">
        <v>55</v>
      </c>
      <c r="B41" s="94">
        <f aca="true" t="shared" si="0" ref="B41:E42">1-(1-B37)^(1/$E$40)</f>
        <v>0.776393202250021</v>
      </c>
      <c r="C41" s="94">
        <f t="shared" si="0"/>
        <v>0.776393202250021</v>
      </c>
      <c r="D41" s="94">
        <f t="shared" si="0"/>
        <v>0.776393202250021</v>
      </c>
      <c r="E41" s="94">
        <f t="shared" si="0"/>
        <v>0.776393202250021</v>
      </c>
      <c r="F41" s="71"/>
      <c r="H41" s="71"/>
      <c r="I41" s="71"/>
      <c r="J41" s="18"/>
      <c r="K41" s="18"/>
      <c r="M41" s="18"/>
      <c r="Q41" s="92"/>
      <c r="W41" s="18"/>
      <c r="X41" s="18"/>
      <c r="Y41" s="18"/>
      <c r="Z41" s="18"/>
    </row>
    <row r="42" spans="1:26" ht="12.75" customHeight="1" thickBot="1">
      <c r="A42" s="98" t="s">
        <v>94</v>
      </c>
      <c r="B42" s="203">
        <f t="shared" si="0"/>
        <v>0.025320565519103666</v>
      </c>
      <c r="C42" s="203">
        <f t="shared" si="0"/>
        <v>0.025320565519103666</v>
      </c>
      <c r="D42" s="203">
        <f t="shared" si="0"/>
        <v>0.025320565519103666</v>
      </c>
      <c r="E42" s="203">
        <f t="shared" si="0"/>
        <v>0.025320565519103666</v>
      </c>
      <c r="G42" s="71"/>
      <c r="H42" s="71"/>
      <c r="I42" s="71"/>
      <c r="J42" s="18"/>
      <c r="K42" s="18"/>
      <c r="M42" s="18"/>
      <c r="Q42" s="92"/>
      <c r="W42" s="18"/>
      <c r="X42" s="18"/>
      <c r="Y42" s="18"/>
      <c r="Z42" s="18"/>
    </row>
    <row r="43" spans="1:26" ht="12.75" customHeight="1">
      <c r="A43" s="102"/>
      <c r="B43" s="103"/>
      <c r="C43" s="103"/>
      <c r="D43" s="103"/>
      <c r="E43" s="103"/>
      <c r="G43" s="71"/>
      <c r="H43" s="71"/>
      <c r="I43" s="71"/>
      <c r="J43" s="18"/>
      <c r="K43" s="18"/>
      <c r="M43" s="435" t="s">
        <v>163</v>
      </c>
      <c r="N43" s="435"/>
      <c r="O43" s="435"/>
      <c r="P43" s="435"/>
      <c r="Q43" s="435"/>
      <c r="W43" s="18"/>
      <c r="X43" s="18"/>
      <c r="Y43" s="18"/>
      <c r="Z43" s="18"/>
    </row>
    <row r="44" spans="1:26" ht="13.5" customHeight="1">
      <c r="A44" s="22"/>
      <c r="B44" s="71"/>
      <c r="C44" s="71"/>
      <c r="D44" s="71"/>
      <c r="E44" s="71"/>
      <c r="F44" s="104"/>
      <c r="G44" s="71"/>
      <c r="H44" s="71"/>
      <c r="I44" s="71"/>
      <c r="J44" s="18"/>
      <c r="K44" s="18"/>
      <c r="M44" s="429" t="s">
        <v>165</v>
      </c>
      <c r="N44" s="430">
        <v>0.01</v>
      </c>
      <c r="O44" s="430">
        <v>0.05</v>
      </c>
      <c r="P44" s="430">
        <v>0.1</v>
      </c>
      <c r="Q44" s="431">
        <v>0.2</v>
      </c>
      <c r="T44" s="18"/>
      <c r="U44" s="18"/>
      <c r="V44" s="105"/>
      <c r="W44" s="18"/>
      <c r="X44" s="18"/>
      <c r="Y44" s="18"/>
      <c r="Z44" s="18"/>
    </row>
    <row r="45" spans="1:26" ht="15.75" customHeight="1">
      <c r="A45" s="380" t="s">
        <v>56</v>
      </c>
      <c r="B45" s="380"/>
      <c r="C45" s="380"/>
      <c r="D45" s="380"/>
      <c r="E45" s="380"/>
      <c r="F45" s="18"/>
      <c r="M45" s="366" t="s">
        <v>164</v>
      </c>
      <c r="N45" s="377">
        <v>1000000</v>
      </c>
      <c r="O45" s="377">
        <v>1000000</v>
      </c>
      <c r="P45" s="377">
        <v>1000000</v>
      </c>
      <c r="Q45" s="374">
        <v>1000000</v>
      </c>
      <c r="T45" s="18"/>
      <c r="U45" s="18"/>
      <c r="V45" s="105"/>
      <c r="W45" s="18"/>
      <c r="X45" s="18"/>
      <c r="Y45" s="18"/>
      <c r="Z45" s="18"/>
    </row>
    <row r="46" spans="1:26" s="109" customFormat="1" ht="39.75" customHeight="1" thickBot="1">
      <c r="A46" s="106" t="s">
        <v>57</v>
      </c>
      <c r="B46" s="107" t="s">
        <v>58</v>
      </c>
      <c r="C46" s="107" t="s">
        <v>59</v>
      </c>
      <c r="D46" s="107" t="s">
        <v>60</v>
      </c>
      <c r="E46" s="108" t="s">
        <v>62</v>
      </c>
      <c r="F46" s="108" t="s">
        <v>63</v>
      </c>
      <c r="G46" s="108" t="s">
        <v>64</v>
      </c>
      <c r="H46" s="465" t="s">
        <v>65</v>
      </c>
      <c r="I46" s="465"/>
      <c r="J46" s="239" t="s">
        <v>61</v>
      </c>
      <c r="K46" s="108"/>
      <c r="L46" s="238"/>
      <c r="M46" s="366" t="s">
        <v>133</v>
      </c>
      <c r="N46" s="377" t="s">
        <v>79</v>
      </c>
      <c r="O46" s="377" t="s">
        <v>79</v>
      </c>
      <c r="P46" s="377" t="s">
        <v>79</v>
      </c>
      <c r="Q46" s="374" t="s">
        <v>79</v>
      </c>
      <c r="U46" s="18"/>
      <c r="V46" s="18"/>
      <c r="W46" s="18"/>
      <c r="X46" s="18"/>
      <c r="Y46" s="18"/>
      <c r="Z46" s="18"/>
    </row>
    <row r="47" spans="1:17" ht="12.75">
      <c r="A47" s="110" t="s">
        <v>66</v>
      </c>
      <c r="B47" s="111">
        <f>B29</f>
        <v>-22.248983506565885</v>
      </c>
      <c r="C47" s="112">
        <v>0</v>
      </c>
      <c r="D47" s="111">
        <f aca="true" t="shared" si="1" ref="D47:D60">B47-C47</f>
        <v>-22.248983506565885</v>
      </c>
      <c r="E47" s="114"/>
      <c r="F47" s="228">
        <f>2*((-NORMSINV($B$42))-(10^(D47/10)+1)*(-NORMSINV($B$41)))^2/10^(D47/5)</f>
        <v>416561.1682366582</v>
      </c>
      <c r="G47" s="115">
        <f>ROUNDUP(F47,0)/($B$6*1000)</f>
        <v>69.427</v>
      </c>
      <c r="H47" s="109"/>
      <c r="I47" s="109"/>
      <c r="J47" s="142">
        <v>1</v>
      </c>
      <c r="K47" s="19"/>
      <c r="L47" s="153"/>
      <c r="M47" s="432">
        <v>-10</v>
      </c>
      <c r="N47" s="378">
        <f aca="true" t="shared" si="2" ref="N47:N67">1-NORMSDIST((-NORMSINV(N$44)/10^($M47/10)-SQRT(N$45/2))/(1+1/10^($M47/10)))</f>
        <v>1</v>
      </c>
      <c r="O47" s="378">
        <f aca="true" t="shared" si="3" ref="O47:Q62">1-NORMSDIST((-NORMSINV(O$44)/10^($M47/10)-SQRT(O$45/2))/(1+1/10^($M47/10)))</f>
        <v>1</v>
      </c>
      <c r="P47" s="378">
        <f t="shared" si="3"/>
        <v>1</v>
      </c>
      <c r="Q47" s="375">
        <f t="shared" si="3"/>
        <v>1</v>
      </c>
    </row>
    <row r="48" spans="1:17" ht="12.75">
      <c r="A48" s="116" t="s">
        <v>68</v>
      </c>
      <c r="B48" s="117">
        <f>B$29-11.2+10*LOG10(B6/0.01)</f>
        <v>-5.667471002729446</v>
      </c>
      <c r="C48" s="117">
        <f>(4.5-1.3)*NORMSINV($C$61)</f>
        <v>5.263531606244712</v>
      </c>
      <c r="D48" s="117">
        <f t="shared" si="1"/>
        <v>-10.931002608974158</v>
      </c>
      <c r="E48" s="240"/>
      <c r="F48" s="241">
        <f>2*((-NORMSINV($B$42*$C$61))-(10^(D48/10)+1)*(-NORMSINV($B$41/$C$61)))^2/10^(D48/5)</f>
        <v>2680.203538058139</v>
      </c>
      <c r="G48" s="242">
        <f>ROUNDUP(F48,0)/(0.01*1000)</f>
        <v>268.1</v>
      </c>
      <c r="H48" s="236"/>
      <c r="I48" s="71"/>
      <c r="J48" s="113">
        <v>1</v>
      </c>
      <c r="K48" s="19"/>
      <c r="L48" s="153"/>
      <c r="M48" s="432">
        <v>-12</v>
      </c>
      <c r="N48" s="378">
        <f t="shared" si="2"/>
        <v>1</v>
      </c>
      <c r="O48" s="378">
        <f t="shared" si="3"/>
        <v>1</v>
      </c>
      <c r="P48" s="378">
        <f t="shared" si="3"/>
        <v>1</v>
      </c>
      <c r="Q48" s="375">
        <f t="shared" si="3"/>
        <v>1</v>
      </c>
    </row>
    <row r="49" spans="1:17" ht="12.75">
      <c r="A49" s="116" t="s">
        <v>86</v>
      </c>
      <c r="B49" s="117">
        <f>B$29</f>
        <v>-22.248983506565885</v>
      </c>
      <c r="C49" s="117">
        <f>(4.5-1.3)*NORMSINV($C$61)</f>
        <v>5.263531606244712</v>
      </c>
      <c r="D49" s="117">
        <f t="shared" si="1"/>
        <v>-27.512515112810597</v>
      </c>
      <c r="E49" s="160">
        <f>10^(-11.2/10)</f>
        <v>0.07585775750291839</v>
      </c>
      <c r="F49" s="241">
        <f>((-NORMSINV($B$42*$C$61))-SQRT(10^(D49/10)+1)*(-NORMSINV($B$41/$C$61)))^2/(E49*(10^(D49/10)))</f>
        <v>61757.33982524319</v>
      </c>
      <c r="G49" s="242">
        <f>ROUNDUP(F49,0)/($B$6*1000)</f>
        <v>10.293</v>
      </c>
      <c r="H49" s="237"/>
      <c r="I49" s="71"/>
      <c r="J49" s="113">
        <v>2</v>
      </c>
      <c r="K49" s="19"/>
      <c r="L49" s="153"/>
      <c r="M49" s="432">
        <v>-14</v>
      </c>
      <c r="N49" s="378">
        <f t="shared" si="2"/>
        <v>1</v>
      </c>
      <c r="O49" s="378">
        <f t="shared" si="3"/>
        <v>1</v>
      </c>
      <c r="P49" s="378">
        <f t="shared" si="3"/>
        <v>1</v>
      </c>
      <c r="Q49" s="375">
        <f t="shared" si="3"/>
        <v>1</v>
      </c>
    </row>
    <row r="50" spans="1:26" ht="12.75" customHeight="1">
      <c r="A50" s="116" t="s">
        <v>100</v>
      </c>
      <c r="B50" s="121">
        <f>B29</f>
        <v>-22.248983506565885</v>
      </c>
      <c r="C50" s="71">
        <f>C47</f>
        <v>0</v>
      </c>
      <c r="D50" s="117">
        <f t="shared" si="1"/>
        <v>-22.248983506565885</v>
      </c>
      <c r="E50" s="122">
        <v>1</v>
      </c>
      <c r="F50" s="229">
        <f>(1/4)*((-NORMSINV($B$42))-SQRT(10^(D50/10)+1)*(-NORMSINV($B$41)))^2/(E50*(10^(D50/10)))</f>
        <v>309.71752368060186</v>
      </c>
      <c r="G50" s="119">
        <f>ROUNDUP(F50,0)*(4/$J$82)/1000</f>
        <v>0.11521767381416505</v>
      </c>
      <c r="H50" s="123">
        <f>(ROUNDUP(F50,0)*832/$J$82+4/$J$82)/1000</f>
        <v>23.96564782326186</v>
      </c>
      <c r="I50" s="124" t="s">
        <v>67</v>
      </c>
      <c r="J50" s="113">
        <v>2</v>
      </c>
      <c r="K50" s="19"/>
      <c r="L50" s="19"/>
      <c r="M50" s="432">
        <v>-16</v>
      </c>
      <c r="N50" s="378">
        <f t="shared" si="2"/>
        <v>1</v>
      </c>
      <c r="O50" s="378">
        <f t="shared" si="3"/>
        <v>1</v>
      </c>
      <c r="P50" s="378">
        <f t="shared" si="3"/>
        <v>1</v>
      </c>
      <c r="Q50" s="375">
        <f t="shared" si="3"/>
        <v>1</v>
      </c>
      <c r="U50" s="125"/>
      <c r="V50" s="18"/>
      <c r="W50" s="18"/>
      <c r="X50" s="18"/>
      <c r="Y50" s="18"/>
      <c r="Z50" s="18"/>
    </row>
    <row r="51" spans="1:17" ht="12.75">
      <c r="A51" s="116" t="s">
        <v>98</v>
      </c>
      <c r="B51" s="121">
        <f>B29</f>
        <v>-22.248983506565885</v>
      </c>
      <c r="C51" s="71">
        <f>C47</f>
        <v>0</v>
      </c>
      <c r="D51" s="117">
        <f t="shared" si="1"/>
        <v>-22.248983506565885</v>
      </c>
      <c r="E51" s="122">
        <v>1</v>
      </c>
      <c r="F51" s="229">
        <f>(1/511)*((-NORMSINV($B$42))-SQRT(10^(D51/10)+1)*(-NORMSINV($B$41)))^2/(E51*(10^(D51/10)))</f>
        <v>2.424403316482206</v>
      </c>
      <c r="G51" s="119">
        <f>ROUNDUP(F51,0)*(511/$J$82)/1000</f>
        <v>0.14244249512670568</v>
      </c>
      <c r="H51" s="126">
        <f>(ROUNDUP(F51,0)*(313*832/$J$82)+511/$J$82)/1000</f>
        <v>72.63907537361924</v>
      </c>
      <c r="I51" s="71" t="s">
        <v>67</v>
      </c>
      <c r="J51" s="113">
        <v>2</v>
      </c>
      <c r="K51" s="19"/>
      <c r="L51" s="153"/>
      <c r="M51" s="432">
        <v>-18</v>
      </c>
      <c r="N51" s="378">
        <f t="shared" si="2"/>
        <v>1</v>
      </c>
      <c r="O51" s="378">
        <f t="shared" si="3"/>
        <v>1</v>
      </c>
      <c r="P51" s="378">
        <f t="shared" si="3"/>
        <v>1</v>
      </c>
      <c r="Q51" s="375">
        <f t="shared" si="3"/>
        <v>1</v>
      </c>
    </row>
    <row r="52" spans="1:17" ht="12.75">
      <c r="A52" s="116" t="s">
        <v>99</v>
      </c>
      <c r="B52" s="117">
        <f>B29</f>
        <v>-22.248983506565885</v>
      </c>
      <c r="C52" s="152">
        <f>C47</f>
        <v>0</v>
      </c>
      <c r="D52" s="117">
        <f t="shared" si="1"/>
        <v>-22.248983506565885</v>
      </c>
      <c r="E52" s="122">
        <v>1</v>
      </c>
      <c r="F52" s="229">
        <f>(1/(3*63))*((-NORMSINV($B$42))-SQRT(10^(D52/10)+1)*(-NORMSINV($B$41)))^2/(E52*(10^(D52/10)))</f>
        <v>6.554868226044483</v>
      </c>
      <c r="G52" s="119">
        <f>ROUNDUP(F52,0)*(3*63/$J$82)/1000</f>
        <v>0.12292982456140353</v>
      </c>
      <c r="H52" s="254">
        <f>(ROUNDUP(F52,0)*(313*832/$J$82)+3*63/$J$82)/1000</f>
        <v>169.39794866796623</v>
      </c>
      <c r="I52" s="178" t="s">
        <v>67</v>
      </c>
      <c r="J52" s="113">
        <v>2</v>
      </c>
      <c r="K52" s="19"/>
      <c r="L52" s="153"/>
      <c r="M52" s="432">
        <v>-20</v>
      </c>
      <c r="N52" s="378">
        <f t="shared" si="2"/>
        <v>0.9999986847361666</v>
      </c>
      <c r="O52" s="378">
        <f t="shared" si="3"/>
        <v>0.9999999611714787</v>
      </c>
      <c r="P52" s="378">
        <f t="shared" si="3"/>
        <v>0.9999999950430196</v>
      </c>
      <c r="Q52" s="375">
        <f t="shared" si="3"/>
        <v>0.9999999996536987</v>
      </c>
    </row>
    <row r="53" spans="1:17" ht="12.75">
      <c r="A53" s="116" t="s">
        <v>101</v>
      </c>
      <c r="B53" s="117">
        <f>B29</f>
        <v>-22.248983506565885</v>
      </c>
      <c r="C53" s="152">
        <f>C47</f>
        <v>0</v>
      </c>
      <c r="D53" s="117">
        <f t="shared" si="1"/>
        <v>-22.248983506565885</v>
      </c>
      <c r="E53" s="122"/>
      <c r="F53" s="229"/>
      <c r="G53" s="119"/>
      <c r="H53" s="426"/>
      <c r="I53" s="176"/>
      <c r="J53" s="113"/>
      <c r="K53" s="19"/>
      <c r="L53" s="153"/>
      <c r="M53" s="432">
        <v>-22</v>
      </c>
      <c r="N53" s="378">
        <f t="shared" si="2"/>
        <v>0.9830730089315698</v>
      </c>
      <c r="O53" s="378">
        <f t="shared" si="3"/>
        <v>0.9974371643434843</v>
      </c>
      <c r="P53" s="378">
        <f t="shared" si="3"/>
        <v>0.9992112951459751</v>
      </c>
      <c r="Q53" s="375">
        <f t="shared" si="3"/>
        <v>0.9998391842479531</v>
      </c>
    </row>
    <row r="54" spans="1:17" ht="12.75">
      <c r="A54" s="116" t="s">
        <v>69</v>
      </c>
      <c r="B54" s="117">
        <f>B29</f>
        <v>-22.248983506565885</v>
      </c>
      <c r="C54" s="152">
        <f>C47</f>
        <v>0</v>
      </c>
      <c r="D54" s="117">
        <f t="shared" si="1"/>
        <v>-22.248983506565885</v>
      </c>
      <c r="E54" s="122"/>
      <c r="F54" s="229"/>
      <c r="G54" s="119"/>
      <c r="H54" s="426"/>
      <c r="I54" s="176"/>
      <c r="J54" s="113"/>
      <c r="K54" s="19"/>
      <c r="L54" s="153"/>
      <c r="M54" s="432">
        <v>-24</v>
      </c>
      <c r="N54" s="378">
        <f t="shared" si="2"/>
        <v>0.6867847660487452</v>
      </c>
      <c r="O54" s="378">
        <f t="shared" si="3"/>
        <v>0.8781015887284392</v>
      </c>
      <c r="P54" s="378">
        <f t="shared" si="3"/>
        <v>0.9366705168288939</v>
      </c>
      <c r="Q54" s="375">
        <f t="shared" si="3"/>
        <v>0.9753273740248418</v>
      </c>
    </row>
    <row r="55" spans="1:17" ht="12.75">
      <c r="A55" s="127" t="s">
        <v>70</v>
      </c>
      <c r="B55" s="128">
        <f>B29</f>
        <v>-22.248983506565885</v>
      </c>
      <c r="C55" s="129">
        <f>C47</f>
        <v>0</v>
      </c>
      <c r="D55" s="128">
        <f t="shared" si="1"/>
        <v>-22.248983506565885</v>
      </c>
      <c r="E55" s="131"/>
      <c r="F55" s="230"/>
      <c r="G55" s="132"/>
      <c r="H55" s="426"/>
      <c r="I55" s="176"/>
      <c r="J55" s="130"/>
      <c r="K55" s="19"/>
      <c r="L55" s="153"/>
      <c r="M55" s="432">
        <v>-26</v>
      </c>
      <c r="N55" s="378">
        <f t="shared" si="2"/>
        <v>0.2915722378067277</v>
      </c>
      <c r="O55" s="378">
        <f t="shared" si="3"/>
        <v>0.5521081030728143</v>
      </c>
      <c r="P55" s="378">
        <f t="shared" si="3"/>
        <v>0.6891283140355637</v>
      </c>
      <c r="Q55" s="375">
        <f t="shared" si="3"/>
        <v>0.8243857612646837</v>
      </c>
    </row>
    <row r="56" spans="1:17" ht="13.5" customHeight="1">
      <c r="A56" s="116" t="s">
        <v>71</v>
      </c>
      <c r="B56" s="121">
        <f>C$29+10*LOG10(30%)+10*LOG10(B6/0.02)</f>
        <v>19.293441587827367</v>
      </c>
      <c r="C56" s="121">
        <f>(4-1.3)*NORMSINV($C$61)</f>
        <v>4.441104792768976</v>
      </c>
      <c r="D56" s="117">
        <f t="shared" si="1"/>
        <v>14.852336795058392</v>
      </c>
      <c r="E56" s="118"/>
      <c r="F56" s="135">
        <f>2*((-NORMSINV($C$42*$C$61))-(10^(D56/10)+1)*(-NORMSINV($C$41/$C$61)))^2/10^(D56/5)</f>
        <v>1.9969022459790713</v>
      </c>
      <c r="G56" s="136">
        <f>ROUNDUP(F56*$C$6/0.02,0)/($C$6*1000)</f>
        <v>0.1</v>
      </c>
      <c r="J56" s="113">
        <v>1</v>
      </c>
      <c r="K56" s="19"/>
      <c r="L56" s="153"/>
      <c r="M56" s="432">
        <v>-28</v>
      </c>
      <c r="N56" s="378">
        <f t="shared" si="2"/>
        <v>0.11434285253952381</v>
      </c>
      <c r="O56" s="378">
        <f t="shared" si="3"/>
        <v>0.30037041004999354</v>
      </c>
      <c r="P56" s="378">
        <f t="shared" si="3"/>
        <v>0.4362009607429639</v>
      </c>
      <c r="Q56" s="375">
        <f t="shared" si="3"/>
        <v>0.6097340321260221</v>
      </c>
    </row>
    <row r="57" spans="1:17" ht="12.75" customHeight="1">
      <c r="A57" s="127" t="s">
        <v>72</v>
      </c>
      <c r="B57" s="137">
        <f>C$29+10*LOG10(10%)+10*LOG10(B6/0.02)</f>
        <v>14.52222904063074</v>
      </c>
      <c r="C57" s="120">
        <f>(4-1.3)*NORMSINV($C$61)</f>
        <v>4.441104792768976</v>
      </c>
      <c r="D57" s="117">
        <f t="shared" si="1"/>
        <v>10.081124247861766</v>
      </c>
      <c r="E57" s="118"/>
      <c r="F57" s="135">
        <f>2*((-NORMSINV($C$42*$C$61))-(10^(D57/10)+1)*(-NORMSINV($C$41/$C$61)))^2/10^(D57/5)</f>
        <v>2.821553014796701</v>
      </c>
      <c r="G57" s="136">
        <f>ROUNDUP(F57*$C$6/0.02,0)/($C$6*1000)</f>
        <v>0.14116666666666666</v>
      </c>
      <c r="J57" s="113">
        <v>1</v>
      </c>
      <c r="K57" s="19"/>
      <c r="L57" s="161"/>
      <c r="M57" s="432">
        <v>-30</v>
      </c>
      <c r="N57" s="378">
        <f t="shared" si="2"/>
        <v>0.052871884031230776</v>
      </c>
      <c r="O57" s="378">
        <f t="shared" si="3"/>
        <v>0.1744281410555828</v>
      </c>
      <c r="P57" s="378">
        <f t="shared" si="3"/>
        <v>0.28302757859850436</v>
      </c>
      <c r="Q57" s="375">
        <f t="shared" si="3"/>
        <v>0.4465510193458506</v>
      </c>
    </row>
    <row r="58" spans="1:17" ht="12.75">
      <c r="A58" s="127" t="s">
        <v>73</v>
      </c>
      <c r="B58" s="137">
        <f>D29</f>
        <v>1.5222290406307408</v>
      </c>
      <c r="C58" s="120">
        <f>(2.5-1.3)*NORMSINV($C$61)</f>
        <v>1.973824352341767</v>
      </c>
      <c r="D58" s="138">
        <f t="shared" si="1"/>
        <v>-0.45159531171102607</v>
      </c>
      <c r="E58" s="140"/>
      <c r="F58" s="231">
        <f>2*((-NORMSINV($D$42*$C$61))-(10^(D58/10)+1)*(-NORMSINV($D$41/$C$61)))^2/10^(D58/5)</f>
        <v>33.65386770647696</v>
      </c>
      <c r="G58" s="141">
        <f>ROUNDUP(F58,0)/($D$6*1000)</f>
        <v>0.17</v>
      </c>
      <c r="J58" s="139">
        <v>1</v>
      </c>
      <c r="K58" s="19"/>
      <c r="L58" s="153"/>
      <c r="M58" s="432">
        <v>-32</v>
      </c>
      <c r="N58" s="378">
        <f t="shared" si="2"/>
        <v>0.030121694763034723</v>
      </c>
      <c r="O58" s="378">
        <f t="shared" si="3"/>
        <v>0.115469495282146</v>
      </c>
      <c r="P58" s="378">
        <f t="shared" si="3"/>
        <v>0.2018952902526201</v>
      </c>
      <c r="Q58" s="375">
        <f t="shared" si="3"/>
        <v>0.34634113354627716</v>
      </c>
    </row>
    <row r="59" spans="1:17" ht="12.75">
      <c r="A59" s="116" t="s">
        <v>74</v>
      </c>
      <c r="B59" s="121">
        <f>E29</f>
        <v>1.5325289972705534</v>
      </c>
      <c r="C59" s="71">
        <f>(4.5-1.3)*NORMSINV($C$61)</f>
        <v>5.263531606244712</v>
      </c>
      <c r="D59" s="117">
        <f t="shared" si="1"/>
        <v>-3.7310026089741584</v>
      </c>
      <c r="E59" s="118"/>
      <c r="F59" s="232">
        <f>2*((-NORMSINV($E$42*$C$61))-(10^(D59/10)+1)*(-NORMSINV($E$41/$C$61)))^2/10^(D59/5)</f>
        <v>118.82398807937439</v>
      </c>
      <c r="G59" s="119">
        <f>ROUNDUP(F59,0)/($E$6*1000)</f>
        <v>11.9</v>
      </c>
      <c r="J59" s="142">
        <v>1</v>
      </c>
      <c r="K59" s="19"/>
      <c r="L59" s="153"/>
      <c r="M59" s="432">
        <v>-34</v>
      </c>
      <c r="N59" s="378">
        <f t="shared" si="2"/>
        <v>0.020475299121845314</v>
      </c>
      <c r="O59" s="378">
        <f t="shared" si="3"/>
        <v>0.08647170313214925</v>
      </c>
      <c r="P59" s="378">
        <f t="shared" si="3"/>
        <v>0.1587401235765371</v>
      </c>
      <c r="Q59" s="375">
        <f t="shared" si="3"/>
        <v>0.28777585174500886</v>
      </c>
    </row>
    <row r="60" spans="1:17" ht="13.5" thickBot="1">
      <c r="A60" s="143" t="s">
        <v>75</v>
      </c>
      <c r="B60" s="144">
        <f>E29</f>
        <v>1.5325289972705534</v>
      </c>
      <c r="C60" s="145">
        <f>(4.5-1.3)*NORMSINV($C$61)</f>
        <v>5.263531606244712</v>
      </c>
      <c r="D60" s="146">
        <f t="shared" si="1"/>
        <v>-3.7310026089741584</v>
      </c>
      <c r="E60" s="147">
        <v>1</v>
      </c>
      <c r="F60" s="233">
        <f>((-NORMSINV($E$42*$C$61))-SQRT(10^(D60/10)+1)*(-NORMSINV($E$41/$C$61)))^2/(E60*10^(D60/10))</f>
        <v>22.05179457452157</v>
      </c>
      <c r="G60" s="148">
        <f>ROUNDUP(F60,0)/($E$6*1000)</f>
        <v>2.3</v>
      </c>
      <c r="J60" s="130">
        <v>2</v>
      </c>
      <c r="K60" s="19"/>
      <c r="L60" s="153"/>
      <c r="M60" s="432">
        <v>-36</v>
      </c>
      <c r="N60" s="378">
        <f t="shared" si="2"/>
        <v>0.015849289518790277</v>
      </c>
      <c r="O60" s="378">
        <f t="shared" si="3"/>
        <v>0.07120598713154025</v>
      </c>
      <c r="P60" s="378">
        <f t="shared" si="3"/>
        <v>0.1348709457906302</v>
      </c>
      <c r="Q60" s="375">
        <f t="shared" si="3"/>
        <v>0.253397227320208</v>
      </c>
    </row>
    <row r="61" spans="1:17" ht="12.75">
      <c r="A61" s="149"/>
      <c r="B61" s="150" t="s">
        <v>76</v>
      </c>
      <c r="C61" s="210">
        <v>0.95</v>
      </c>
      <c r="D61" s="152"/>
      <c r="E61" s="19"/>
      <c r="F61" s="153"/>
      <c r="G61" s="154"/>
      <c r="H61" s="97"/>
      <c r="M61" s="432">
        <v>-38</v>
      </c>
      <c r="N61" s="378">
        <f t="shared" si="2"/>
        <v>0.013416862074308478</v>
      </c>
      <c r="O61" s="378">
        <f t="shared" si="3"/>
        <v>0.06269438767225033</v>
      </c>
      <c r="P61" s="378">
        <f t="shared" si="3"/>
        <v>0.12114192080303288</v>
      </c>
      <c r="Q61" s="375">
        <f t="shared" si="3"/>
        <v>0.23286727133102603</v>
      </c>
    </row>
    <row r="62" spans="1:17" ht="12.75">
      <c r="A62" s="149"/>
      <c r="B62" s="150"/>
      <c r="C62" s="103"/>
      <c r="D62" s="152"/>
      <c r="E62" s="19"/>
      <c r="F62" s="153"/>
      <c r="G62" s="154"/>
      <c r="H62" s="97"/>
      <c r="M62" s="432">
        <v>-40</v>
      </c>
      <c r="N62" s="378">
        <f t="shared" si="2"/>
        <v>0.012053750935187901</v>
      </c>
      <c r="O62" s="378">
        <f t="shared" si="3"/>
        <v>0.05774539503060694</v>
      </c>
      <c r="P62" s="378">
        <f t="shared" si="3"/>
        <v>0.11300140267855019</v>
      </c>
      <c r="Q62" s="375">
        <f t="shared" si="3"/>
        <v>0.22040282222322216</v>
      </c>
    </row>
    <row r="63" spans="1:26" ht="13.5" customHeight="1">
      <c r="A63" s="22"/>
      <c r="B63" s="71"/>
      <c r="C63" s="71"/>
      <c r="D63" s="71"/>
      <c r="E63" s="71"/>
      <c r="F63" s="71"/>
      <c r="G63" s="71"/>
      <c r="H63" s="71"/>
      <c r="I63" s="71"/>
      <c r="J63" s="90"/>
      <c r="K63" s="73"/>
      <c r="M63" s="432">
        <v>-42</v>
      </c>
      <c r="N63" s="378">
        <f t="shared" si="2"/>
        <v>0.011256823333535948</v>
      </c>
      <c r="O63" s="378">
        <f aca="true" t="shared" si="4" ref="O63:Q67">1-NORMSDIST((-NORMSINV(O$44)/10^($M63/10)-SQRT(O$45/2))/(1+1/10^($M63/10)))</f>
        <v>0.054784070215679215</v>
      </c>
      <c r="P63" s="378">
        <f t="shared" si="4"/>
        <v>0.10806988328359068</v>
      </c>
      <c r="Q63" s="375">
        <f t="shared" si="4"/>
        <v>0.21273843012850446</v>
      </c>
      <c r="R63" s="18"/>
      <c r="S63" s="18"/>
      <c r="T63" s="18"/>
      <c r="U63" s="18"/>
      <c r="V63" s="105"/>
      <c r="W63" s="18"/>
      <c r="X63" s="18"/>
      <c r="Y63" s="18"/>
      <c r="Z63" s="18"/>
    </row>
    <row r="64" spans="1:26" ht="15.75" customHeight="1">
      <c r="A64" s="379" t="s">
        <v>77</v>
      </c>
      <c r="B64" s="379"/>
      <c r="C64" s="379"/>
      <c r="D64" s="379"/>
      <c r="E64" s="379"/>
      <c r="F64" s="156"/>
      <c r="G64" s="71"/>
      <c r="H64" s="71"/>
      <c r="I64" s="71"/>
      <c r="J64" s="18"/>
      <c r="K64" s="18"/>
      <c r="M64" s="432">
        <v>-44</v>
      </c>
      <c r="N64" s="378">
        <f t="shared" si="2"/>
        <v>0.010777879656019396</v>
      </c>
      <c r="O64" s="378">
        <f t="shared" si="4"/>
        <v>0.05297813148692665</v>
      </c>
      <c r="P64" s="378">
        <f t="shared" si="4"/>
        <v>0.10503895402596353</v>
      </c>
      <c r="Q64" s="375">
        <f t="shared" si="4"/>
        <v>0.20798336898014935</v>
      </c>
      <c r="U64" s="155"/>
      <c r="V64" s="105"/>
      <c r="W64" s="18"/>
      <c r="X64" s="18"/>
      <c r="Y64" s="18"/>
      <c r="Z64" s="18"/>
    </row>
    <row r="65" spans="1:26" ht="27.75" customHeight="1" thickBot="1">
      <c r="A65" s="157" t="s">
        <v>95</v>
      </c>
      <c r="B65" s="107" t="s">
        <v>78</v>
      </c>
      <c r="C65" s="107" t="s">
        <v>79</v>
      </c>
      <c r="D65" s="443" t="s">
        <v>96</v>
      </c>
      <c r="E65" s="443"/>
      <c r="F65" s="71"/>
      <c r="H65" s="71"/>
      <c r="I65" s="71"/>
      <c r="J65" s="18"/>
      <c r="K65" s="158"/>
      <c r="M65" s="432">
        <v>-46</v>
      </c>
      <c r="N65" s="378">
        <f t="shared" si="2"/>
        <v>0.010484889026992184</v>
      </c>
      <c r="O65" s="378">
        <f t="shared" si="4"/>
        <v>0.05186312927582781</v>
      </c>
      <c r="P65" s="378">
        <f t="shared" si="4"/>
        <v>0.10315843182502382</v>
      </c>
      <c r="Q65" s="375">
        <f t="shared" si="4"/>
        <v>0.20501557326262843</v>
      </c>
      <c r="U65" s="18"/>
      <c r="V65" s="18"/>
      <c r="W65" s="18"/>
      <c r="X65" s="18"/>
      <c r="Y65" s="18"/>
      <c r="Z65" s="18"/>
    </row>
    <row r="66" spans="1:26" ht="12.75" customHeight="1">
      <c r="A66" s="110" t="s">
        <v>66</v>
      </c>
      <c r="B66" s="197">
        <f aca="true" t="shared" si="5" ref="B66:B74">$B$42*$C$61</f>
        <v>0.02405453724314848</v>
      </c>
      <c r="C66" s="194">
        <f aca="true" t="shared" si="6" ref="C66:C74">$B$41/$C$61</f>
        <v>0.8172560023684432</v>
      </c>
      <c r="D66" s="211">
        <v>5</v>
      </c>
      <c r="E66" s="217">
        <f>D66</f>
        <v>5</v>
      </c>
      <c r="G66" s="159"/>
      <c r="H66" s="159"/>
      <c r="I66" s="159"/>
      <c r="J66" s="18"/>
      <c r="K66" s="18"/>
      <c r="M66" s="432">
        <v>-48</v>
      </c>
      <c r="N66" s="378">
        <f t="shared" si="2"/>
        <v>0.010303612522939654</v>
      </c>
      <c r="O66" s="378">
        <f t="shared" si="4"/>
        <v>0.05116924368993159</v>
      </c>
      <c r="P66" s="378">
        <f t="shared" si="4"/>
        <v>0.10198452427271287</v>
      </c>
      <c r="Q66" s="375">
        <f t="shared" si="4"/>
        <v>0.20315599782305627</v>
      </c>
      <c r="U66" s="18"/>
      <c r="V66" s="18"/>
      <c r="W66" s="18"/>
      <c r="X66" s="18"/>
      <c r="Y66" s="18"/>
      <c r="Z66" s="18"/>
    </row>
    <row r="67" spans="1:26" ht="12.75" customHeight="1">
      <c r="A67" s="116" t="s">
        <v>68</v>
      </c>
      <c r="B67" s="243">
        <f t="shared" si="5"/>
        <v>0.02405453724314848</v>
      </c>
      <c r="C67" s="160">
        <f t="shared" si="6"/>
        <v>0.8172560023684432</v>
      </c>
      <c r="D67" s="212">
        <v>5</v>
      </c>
      <c r="E67" s="216">
        <f>D67+11.2-10*LOG10($B$6/0.01)</f>
        <v>-11.581512503836436</v>
      </c>
      <c r="G67" s="125"/>
      <c r="H67" s="125"/>
      <c r="I67" s="125"/>
      <c r="J67" s="158"/>
      <c r="K67" s="161"/>
      <c r="M67" s="433">
        <v>-50</v>
      </c>
      <c r="N67" s="382">
        <f t="shared" si="2"/>
        <v>0.010190644487293565</v>
      </c>
      <c r="O67" s="382">
        <f t="shared" si="4"/>
        <v>0.05073523940404279</v>
      </c>
      <c r="P67" s="382">
        <f t="shared" si="4"/>
        <v>0.10124884696334058</v>
      </c>
      <c r="Q67" s="376">
        <f t="shared" si="4"/>
        <v>0.20198786569784755</v>
      </c>
      <c r="U67" s="125"/>
      <c r="V67" s="18"/>
      <c r="W67" s="18"/>
      <c r="X67" s="18"/>
      <c r="Y67" s="18"/>
      <c r="Z67" s="18"/>
    </row>
    <row r="68" spans="1:26" ht="12.75" customHeight="1">
      <c r="A68" s="116" t="s">
        <v>86</v>
      </c>
      <c r="B68" s="243">
        <f t="shared" si="5"/>
        <v>0.02405453724314848</v>
      </c>
      <c r="C68" s="160">
        <f t="shared" si="6"/>
        <v>0.8172560023684432</v>
      </c>
      <c r="D68" s="212">
        <v>18</v>
      </c>
      <c r="E68" s="216">
        <f>D68+11.2</f>
        <v>29.2</v>
      </c>
      <c r="G68" s="125"/>
      <c r="H68" s="125"/>
      <c r="I68" s="125"/>
      <c r="J68" s="158"/>
      <c r="K68" s="161"/>
      <c r="U68" s="125"/>
      <c r="V68" s="18"/>
      <c r="W68" s="18"/>
      <c r="X68" s="18"/>
      <c r="Y68" s="18"/>
      <c r="Z68" s="18"/>
    </row>
    <row r="69" spans="1:26" ht="12.75" customHeight="1">
      <c r="A69" s="116" t="s">
        <v>100</v>
      </c>
      <c r="B69" s="199">
        <f t="shared" si="5"/>
        <v>0.02405453724314848</v>
      </c>
      <c r="C69" s="205">
        <f t="shared" si="6"/>
        <v>0.8172560023684432</v>
      </c>
      <c r="D69" s="212">
        <v>1</v>
      </c>
      <c r="E69" s="216">
        <f>D69</f>
        <v>1</v>
      </c>
      <c r="G69" s="125"/>
      <c r="H69" s="125"/>
      <c r="I69" s="125"/>
      <c r="J69" s="158"/>
      <c r="K69" s="161"/>
      <c r="U69" s="125"/>
      <c r="V69" s="18"/>
      <c r="W69" s="18"/>
      <c r="X69" s="18"/>
      <c r="Y69" s="18"/>
      <c r="Z69" s="18"/>
    </row>
    <row r="70" spans="1:26" ht="12.75" customHeight="1">
      <c r="A70" s="116" t="s">
        <v>98</v>
      </c>
      <c r="B70" s="199">
        <f t="shared" si="5"/>
        <v>0.02405453724314848</v>
      </c>
      <c r="C70" s="205">
        <f t="shared" si="6"/>
        <v>0.8172560023684432</v>
      </c>
      <c r="D70" s="212">
        <v>-20</v>
      </c>
      <c r="E70" s="216">
        <f>D70</f>
        <v>-20</v>
      </c>
      <c r="G70" s="22"/>
      <c r="H70" s="22"/>
      <c r="I70" s="22"/>
      <c r="J70" s="162"/>
      <c r="K70" s="19"/>
      <c r="U70" s="125"/>
      <c r="V70" s="18"/>
      <c r="W70" s="18"/>
      <c r="X70" s="18"/>
      <c r="Y70" s="18"/>
      <c r="Z70" s="18"/>
    </row>
    <row r="71" spans="1:26" ht="12.75" customHeight="1">
      <c r="A71" s="116" t="s">
        <v>99</v>
      </c>
      <c r="B71" s="199">
        <f t="shared" si="5"/>
        <v>0.02405453724314848</v>
      </c>
      <c r="C71" s="205">
        <f t="shared" si="6"/>
        <v>0.8172560023684432</v>
      </c>
      <c r="D71" s="213">
        <v>-15.5</v>
      </c>
      <c r="E71" s="216">
        <f>D71</f>
        <v>-15.5</v>
      </c>
      <c r="G71" s="159"/>
      <c r="H71" s="159"/>
      <c r="I71" s="159"/>
      <c r="J71" s="18"/>
      <c r="K71" s="159"/>
      <c r="U71" s="125"/>
      <c r="V71" s="18"/>
      <c r="W71" s="18"/>
      <c r="X71" s="18"/>
      <c r="Y71" s="18"/>
      <c r="Z71" s="18"/>
    </row>
    <row r="72" spans="1:26" ht="12.75" customHeight="1">
      <c r="A72" s="116" t="s">
        <v>101</v>
      </c>
      <c r="B72" s="199">
        <f t="shared" si="5"/>
        <v>0.02405453724314848</v>
      </c>
      <c r="C72" s="205">
        <f t="shared" si="6"/>
        <v>0.8172560023684432</v>
      </c>
      <c r="D72" s="213"/>
      <c r="E72" s="216"/>
      <c r="G72" s="159"/>
      <c r="H72" s="159"/>
      <c r="I72" s="159"/>
      <c r="J72" s="18"/>
      <c r="K72" s="159"/>
      <c r="U72" s="125"/>
      <c r="V72" s="18"/>
      <c r="W72" s="18"/>
      <c r="X72" s="18"/>
      <c r="Y72" s="18"/>
      <c r="Z72" s="18"/>
    </row>
    <row r="73" spans="1:26" ht="12.75" customHeight="1">
      <c r="A73" s="116" t="s">
        <v>69</v>
      </c>
      <c r="B73" s="199">
        <f t="shared" si="5"/>
        <v>0.02405453724314848</v>
      </c>
      <c r="C73" s="205">
        <f t="shared" si="6"/>
        <v>0.8172560023684432</v>
      </c>
      <c r="D73" s="213"/>
      <c r="E73" s="216"/>
      <c r="G73" s="159"/>
      <c r="H73" s="159"/>
      <c r="I73" s="159"/>
      <c r="J73" s="18"/>
      <c r="K73" s="159"/>
      <c r="U73" s="125"/>
      <c r="V73" s="18"/>
      <c r="W73" s="18"/>
      <c r="X73" s="18"/>
      <c r="Y73" s="18"/>
      <c r="Z73" s="18"/>
    </row>
    <row r="74" spans="1:26" ht="12.75" customHeight="1">
      <c r="A74" s="251" t="s">
        <v>70</v>
      </c>
      <c r="B74" s="199">
        <f t="shared" si="5"/>
        <v>0.02405453724314848</v>
      </c>
      <c r="C74" s="205">
        <f t="shared" si="6"/>
        <v>0.8172560023684432</v>
      </c>
      <c r="D74" s="213"/>
      <c r="E74" s="219"/>
      <c r="G74" s="159"/>
      <c r="H74" s="159"/>
      <c r="I74" s="159"/>
      <c r="J74" s="18"/>
      <c r="K74" s="159"/>
      <c r="U74" s="125"/>
      <c r="V74" s="18"/>
      <c r="W74" s="18"/>
      <c r="X74" s="18"/>
      <c r="Y74" s="18"/>
      <c r="Z74" s="18"/>
    </row>
    <row r="75" spans="1:26" ht="12.75" customHeight="1">
      <c r="A75" s="116" t="s">
        <v>71</v>
      </c>
      <c r="B75" s="198">
        <f>$C$42*$C$61</f>
        <v>0.02405453724314848</v>
      </c>
      <c r="C75" s="191">
        <f>$C$41/$C$61</f>
        <v>0.8172560023684432</v>
      </c>
      <c r="D75" s="214">
        <v>1</v>
      </c>
      <c r="E75" s="216">
        <f>D75-10*LOG10(30%)-10*LOG10($B$6/0.02)</f>
        <v>-18.542425094393252</v>
      </c>
      <c r="G75" s="22"/>
      <c r="H75" s="22"/>
      <c r="I75" s="22"/>
      <c r="J75" s="18"/>
      <c r="K75" s="22"/>
      <c r="U75" s="125"/>
      <c r="V75" s="18"/>
      <c r="W75" s="18"/>
      <c r="X75" s="18"/>
      <c r="Y75" s="18"/>
      <c r="Z75" s="18"/>
    </row>
    <row r="76" spans="1:26" ht="12.75" customHeight="1" thickBot="1">
      <c r="A76" s="127" t="s">
        <v>72</v>
      </c>
      <c r="B76" s="199">
        <f>$C$42*$C$61</f>
        <v>0.02405453724314848</v>
      </c>
      <c r="C76" s="160">
        <f>$C$41/$C$61</f>
        <v>0.8172560023684432</v>
      </c>
      <c r="D76" s="215">
        <v>4.5</v>
      </c>
      <c r="E76" s="218">
        <f>D76-10*LOG10(10%)-10*LOG10($B$6/0.02)</f>
        <v>-10.271212547196626</v>
      </c>
      <c r="G76" s="71"/>
      <c r="H76" s="71"/>
      <c r="I76" s="71"/>
      <c r="J76" s="18"/>
      <c r="K76" s="22"/>
      <c r="U76" s="125"/>
      <c r="V76" s="18"/>
      <c r="W76" s="18"/>
      <c r="X76" s="18"/>
      <c r="Y76" s="18"/>
      <c r="Z76" s="18"/>
    </row>
    <row r="77" spans="1:26" ht="12.75" customHeight="1">
      <c r="A77" s="127" t="s">
        <v>73</v>
      </c>
      <c r="B77" s="198">
        <f>$D$42*$C$61</f>
        <v>0.02405453724314848</v>
      </c>
      <c r="C77" s="163">
        <f>$D$41/$C$61</f>
        <v>0.8172560023684432</v>
      </c>
      <c r="D77" s="164">
        <v>5</v>
      </c>
      <c r="E77" s="165"/>
      <c r="G77" s="71"/>
      <c r="H77" s="71"/>
      <c r="I77" s="71"/>
      <c r="J77" s="166"/>
      <c r="K77" s="22"/>
      <c r="U77" s="125"/>
      <c r="V77" s="18"/>
      <c r="W77" s="18"/>
      <c r="X77" s="18"/>
      <c r="Y77" s="18"/>
      <c r="Z77" s="18"/>
    </row>
    <row r="78" spans="1:26" ht="12.75">
      <c r="A78" s="116" t="s">
        <v>74</v>
      </c>
      <c r="B78" s="198">
        <f>$E$42*$C$61</f>
        <v>0.02405453724314848</v>
      </c>
      <c r="C78" s="163">
        <f>$E$41/$C$61</f>
        <v>0.8172560023684432</v>
      </c>
      <c r="D78" s="164">
        <v>5</v>
      </c>
      <c r="E78" s="31"/>
      <c r="G78" s="71"/>
      <c r="H78" s="71"/>
      <c r="I78" s="71"/>
      <c r="J78" s="18"/>
      <c r="K78" s="22"/>
      <c r="U78" s="18"/>
      <c r="V78" s="18"/>
      <c r="W78" s="18"/>
      <c r="X78" s="18"/>
      <c r="Y78" s="18"/>
      <c r="Z78" s="18"/>
    </row>
    <row r="79" spans="1:26" ht="14.25" customHeight="1" thickBot="1">
      <c r="A79" s="143" t="s">
        <v>75</v>
      </c>
      <c r="B79" s="200">
        <f>$E$42*$C$61</f>
        <v>0.02405453724314848</v>
      </c>
      <c r="C79" s="192">
        <f>$E$41/$C$61</f>
        <v>0.8172560023684432</v>
      </c>
      <c r="D79" s="167">
        <v>7</v>
      </c>
      <c r="E79" s="31"/>
      <c r="G79" s="71"/>
      <c r="H79" s="71"/>
      <c r="I79" s="71"/>
      <c r="J79" s="18"/>
      <c r="K79" s="22"/>
      <c r="U79" s="18"/>
      <c r="V79" s="18"/>
      <c r="W79" s="18"/>
      <c r="X79" s="18"/>
      <c r="Y79" s="18"/>
      <c r="Z79" s="18"/>
    </row>
    <row r="80" spans="1:26" ht="13.5" customHeight="1">
      <c r="A80" s="22"/>
      <c r="B80" s="71"/>
      <c r="C80" s="71"/>
      <c r="D80" s="71"/>
      <c r="E80" s="71"/>
      <c r="F80" s="71"/>
      <c r="G80" s="71"/>
      <c r="H80" s="71"/>
      <c r="I80" s="71"/>
      <c r="J80" s="18"/>
      <c r="K80" s="22"/>
      <c r="L80" s="71"/>
      <c r="M80" s="71"/>
      <c r="N80" s="97"/>
      <c r="O80" s="18"/>
      <c r="P80" s="18"/>
      <c r="Q80" s="18"/>
      <c r="R80" s="18"/>
      <c r="S80" s="18"/>
      <c r="T80" s="18"/>
      <c r="U80" s="18"/>
      <c r="V80" s="18"/>
      <c r="W80" s="18"/>
      <c r="X80" s="18"/>
      <c r="Y80" s="18"/>
      <c r="Z80" s="18"/>
    </row>
    <row r="81" spans="1:26" s="109" customFormat="1" ht="39.75" customHeight="1" thickBot="1">
      <c r="A81" s="106" t="s">
        <v>57</v>
      </c>
      <c r="B81" s="107" t="s">
        <v>58</v>
      </c>
      <c r="C81" s="107" t="s">
        <v>59</v>
      </c>
      <c r="D81" s="107" t="s">
        <v>60</v>
      </c>
      <c r="E81" s="107" t="s">
        <v>80</v>
      </c>
      <c r="F81" s="108" t="s">
        <v>63</v>
      </c>
      <c r="G81" s="107" t="s">
        <v>64</v>
      </c>
      <c r="H81" s="465" t="s">
        <v>65</v>
      </c>
      <c r="I81" s="465"/>
      <c r="J81" s="108" t="s">
        <v>81</v>
      </c>
      <c r="O81" s="104"/>
      <c r="P81" s="168"/>
      <c r="Q81" s="155"/>
      <c r="R81" s="18"/>
      <c r="S81" s="18"/>
      <c r="T81" s="18"/>
      <c r="U81" s="18"/>
      <c r="V81" s="18"/>
      <c r="W81" s="18"/>
      <c r="X81" s="18"/>
      <c r="Y81" s="18"/>
      <c r="Z81" s="18"/>
    </row>
    <row r="82" spans="1:17" ht="12.75">
      <c r="A82" s="110" t="s">
        <v>66</v>
      </c>
      <c r="B82" s="111">
        <f>B29</f>
        <v>-22.248983506565885</v>
      </c>
      <c r="C82" s="111">
        <v>0</v>
      </c>
      <c r="D82" s="112">
        <f aca="true" t="shared" si="7" ref="D82:D95">B82-C82</f>
        <v>-22.248983506565885</v>
      </c>
      <c r="E82" s="169">
        <f aca="true" t="shared" si="8" ref="E82:E87">D66</f>
        <v>5</v>
      </c>
      <c r="F82" s="222">
        <f>10^((E82-D82)/5)</f>
        <v>281706.391965912</v>
      </c>
      <c r="G82" s="220">
        <f>ROUNDUP(F82,0)/($B$6*1000)</f>
        <v>46.951166666666666</v>
      </c>
      <c r="H82" s="109"/>
      <c r="I82" s="109"/>
      <c r="J82" s="170">
        <f>4.5*684/286</f>
        <v>10.762237762237762</v>
      </c>
      <c r="O82" s="18"/>
      <c r="P82" s="18"/>
      <c r="Q82" s="18"/>
    </row>
    <row r="83" spans="1:16" ht="12.75">
      <c r="A83" s="116" t="s">
        <v>68</v>
      </c>
      <c r="B83" s="117">
        <f>B$29-11.2+10*LOG10(B6/0.01)</f>
        <v>-5.667471002729446</v>
      </c>
      <c r="C83" s="117">
        <f>(4.5-1.3)*NORMSINV($C$96)</f>
        <v>5.263531606244712</v>
      </c>
      <c r="D83" s="152">
        <f t="shared" si="7"/>
        <v>-10.931002608974158</v>
      </c>
      <c r="E83" s="71">
        <f t="shared" si="8"/>
        <v>5</v>
      </c>
      <c r="F83" s="73">
        <f>10^((E83-D83)/5)</f>
        <v>1535.3257074469643</v>
      </c>
      <c r="G83" s="242">
        <f>ROUNDUP(F83,0)/(0.01*1000)</f>
        <v>153.6</v>
      </c>
      <c r="H83" s="236"/>
      <c r="I83" s="71"/>
      <c r="J83" s="173" t="s">
        <v>82</v>
      </c>
      <c r="O83" s="174"/>
      <c r="P83" s="174"/>
    </row>
    <row r="84" spans="1:16" ht="12.75">
      <c r="A84" s="116" t="s">
        <v>86</v>
      </c>
      <c r="B84" s="117">
        <f>B29</f>
        <v>-22.248983506565885</v>
      </c>
      <c r="C84" s="117">
        <f>(4.5-1.3)*NORMSINV($C$96)</f>
        <v>5.263531606244712</v>
      </c>
      <c r="D84" s="152">
        <f t="shared" si="7"/>
        <v>-27.512515112810597</v>
      </c>
      <c r="E84" s="71">
        <f t="shared" si="8"/>
        <v>18</v>
      </c>
      <c r="F84" s="73">
        <f>10^((E84-D84)/10)</f>
        <v>35583.73336055534</v>
      </c>
      <c r="G84" s="242">
        <f>ROUNDUP(F84,0)/($B$6*1000)</f>
        <v>5.930666666666666</v>
      </c>
      <c r="H84" s="237"/>
      <c r="I84" s="71"/>
      <c r="J84" s="71"/>
      <c r="O84" s="174"/>
      <c r="P84" s="174"/>
    </row>
    <row r="85" spans="1:26" ht="12.75" customHeight="1">
      <c r="A85" s="116" t="s">
        <v>100</v>
      </c>
      <c r="B85" s="117">
        <f>B29</f>
        <v>-22.248983506565885</v>
      </c>
      <c r="C85" s="121">
        <f>C82</f>
        <v>0</v>
      </c>
      <c r="D85" s="152">
        <f t="shared" si="7"/>
        <v>-22.248983506565885</v>
      </c>
      <c r="E85" s="171">
        <f t="shared" si="8"/>
        <v>1</v>
      </c>
      <c r="F85" s="223">
        <f>10^((E85-D85)/10)</f>
        <v>211.29944223768192</v>
      </c>
      <c r="G85" s="172">
        <f>ROUNDUP(F85,0)*(4/$J$82)/1000</f>
        <v>0.07879402209226771</v>
      </c>
      <c r="H85" s="123">
        <f>(ROUNDUP(F85,0)*832/$J$82+4/$J$82)/1000</f>
        <v>16.389528265107216</v>
      </c>
      <c r="I85" s="175" t="s">
        <v>67</v>
      </c>
      <c r="O85" s="174"/>
      <c r="P85" s="174"/>
      <c r="R85" s="125"/>
      <c r="S85" s="125"/>
      <c r="T85" s="125"/>
      <c r="U85" s="125"/>
      <c r="V85" s="18"/>
      <c r="W85" s="18"/>
      <c r="X85" s="18"/>
      <c r="Y85" s="18"/>
      <c r="Z85" s="18"/>
    </row>
    <row r="86" spans="1:17" ht="12.75">
      <c r="A86" s="116" t="s">
        <v>98</v>
      </c>
      <c r="B86" s="117">
        <f>B29</f>
        <v>-22.248983506565885</v>
      </c>
      <c r="C86" s="121">
        <f>C82</f>
        <v>0</v>
      </c>
      <c r="D86" s="152">
        <f t="shared" si="7"/>
        <v>-22.248983506565885</v>
      </c>
      <c r="E86" s="171">
        <f t="shared" si="8"/>
        <v>-20</v>
      </c>
      <c r="F86" s="223">
        <f>10^((E86-D86)/10)</f>
        <v>1.678411129508832</v>
      </c>
      <c r="G86" s="172">
        <f>ROUNDUP(F86,0)*(511/$J$82)/1000</f>
        <v>0.09496166341780378</v>
      </c>
      <c r="H86" s="126">
        <f>(ROUNDUP(F86,0)*(313*832/$J$82)+511/$J$82)/1000</f>
        <v>48.44187719298247</v>
      </c>
      <c r="I86" s="176" t="s">
        <v>67</v>
      </c>
      <c r="O86" s="18"/>
      <c r="P86" s="177"/>
      <c r="Q86" s="18"/>
    </row>
    <row r="87" spans="1:16" ht="12.75">
      <c r="A87" s="116" t="s">
        <v>99</v>
      </c>
      <c r="B87" s="117">
        <f>B29</f>
        <v>-22.248983506565885</v>
      </c>
      <c r="C87" s="117">
        <f>C82</f>
        <v>0</v>
      </c>
      <c r="D87" s="152">
        <f t="shared" si="7"/>
        <v>-22.248983506565885</v>
      </c>
      <c r="E87" s="171">
        <f t="shared" si="8"/>
        <v>-15.5</v>
      </c>
      <c r="F87" s="223">
        <f>10^((E87-D87)/10)</f>
        <v>4.730405279051984</v>
      </c>
      <c r="G87" s="172">
        <f>ROUNDUP(F87,0)*(3*63/$J$82)/1000</f>
        <v>0.08780701754385965</v>
      </c>
      <c r="H87" s="133">
        <f>(ROUNDUP(F87,0)*(313*832/$J$82)+3*63/$J$82)/1000</f>
        <v>121.00355230669268</v>
      </c>
      <c r="I87" s="178" t="s">
        <v>67</v>
      </c>
      <c r="O87" s="174"/>
      <c r="P87" s="174"/>
    </row>
    <row r="88" spans="1:16" ht="12.75">
      <c r="A88" s="116" t="s">
        <v>101</v>
      </c>
      <c r="B88" s="117">
        <f>B29</f>
        <v>-22.248983506565885</v>
      </c>
      <c r="C88" s="253">
        <f>C82</f>
        <v>0</v>
      </c>
      <c r="D88" s="152">
        <f t="shared" si="7"/>
        <v>-22.248983506565885</v>
      </c>
      <c r="E88" s="171"/>
      <c r="F88" s="223"/>
      <c r="G88" s="172"/>
      <c r="H88" s="252"/>
      <c r="I88" s="71"/>
      <c r="O88" s="174"/>
      <c r="P88" s="174"/>
    </row>
    <row r="89" spans="1:16" ht="12.75">
      <c r="A89" s="250" t="s">
        <v>69</v>
      </c>
      <c r="B89" s="117">
        <f>B29</f>
        <v>-22.248983506565885</v>
      </c>
      <c r="C89" s="117">
        <f>C82</f>
        <v>0</v>
      </c>
      <c r="D89" s="152">
        <f t="shared" si="7"/>
        <v>-22.248983506565885</v>
      </c>
      <c r="E89" s="171"/>
      <c r="F89" s="223"/>
      <c r="G89" s="172"/>
      <c r="H89" s="252"/>
      <c r="I89" s="71"/>
      <c r="O89" s="174"/>
      <c r="P89" s="174"/>
    </row>
    <row r="90" spans="1:16" ht="12.75">
      <c r="A90" s="251" t="s">
        <v>70</v>
      </c>
      <c r="B90" s="117">
        <f>B29</f>
        <v>-22.248983506565885</v>
      </c>
      <c r="C90" s="117">
        <f>C82</f>
        <v>0</v>
      </c>
      <c r="D90" s="152">
        <f t="shared" si="7"/>
        <v>-22.248983506565885</v>
      </c>
      <c r="E90" s="171"/>
      <c r="F90" s="224"/>
      <c r="G90" s="234"/>
      <c r="H90" s="252"/>
      <c r="I90" s="71"/>
      <c r="O90" s="174"/>
      <c r="P90" s="174"/>
    </row>
    <row r="91" spans="1:16" ht="13.5" customHeight="1">
      <c r="A91" s="116" t="s">
        <v>71</v>
      </c>
      <c r="B91" s="201">
        <f>C$29+10*LOG10(30%)+10*LOG10(B6/0.02)</f>
        <v>19.293441587827367</v>
      </c>
      <c r="C91" s="134">
        <f>(4-1.3)*NORMSINV($C$96)</f>
        <v>4.441104792768976</v>
      </c>
      <c r="D91" s="179">
        <f t="shared" si="7"/>
        <v>14.852336795058392</v>
      </c>
      <c r="E91" s="180">
        <f>D75</f>
        <v>1</v>
      </c>
      <c r="F91" s="227">
        <f>10^((E91-D91)/5)</f>
        <v>0.0016964170978930467</v>
      </c>
      <c r="G91" s="136">
        <f>ROUNDUP(F91*$C$6/0.02,0)/($C$6*1000)</f>
        <v>0.00016666666666666666</v>
      </c>
      <c r="H91" s="71"/>
      <c r="I91" s="71"/>
      <c r="O91" s="174"/>
      <c r="P91" s="174"/>
    </row>
    <row r="92" spans="1:16" ht="12.75" customHeight="1">
      <c r="A92" s="127" t="s">
        <v>72</v>
      </c>
      <c r="B92" s="128">
        <f>C$29+10*LOG10(10%)+10*LOG10(B6/0.02)</f>
        <v>14.52222904063074</v>
      </c>
      <c r="C92" s="137">
        <f>(4-1.3)*NORMSINV($C$96)</f>
        <v>4.441104792768976</v>
      </c>
      <c r="D92" s="129">
        <f t="shared" si="7"/>
        <v>10.081124247861766</v>
      </c>
      <c r="E92" s="181">
        <f>D76</f>
        <v>4.5</v>
      </c>
      <c r="F92" s="227">
        <f>10^((E92-D92)/5)</f>
        <v>0.076520033313392</v>
      </c>
      <c r="G92" s="136">
        <f>ROUNDUP(F92*$C$6/0.02,0)/($C$6*1000)</f>
        <v>0.003833333333333333</v>
      </c>
      <c r="H92" s="18"/>
      <c r="I92" s="18"/>
      <c r="O92" s="174"/>
      <c r="P92" s="174"/>
    </row>
    <row r="93" spans="1:16" ht="12.75">
      <c r="A93" s="127" t="s">
        <v>73</v>
      </c>
      <c r="B93" s="117">
        <f>D29</f>
        <v>1.5222290406307408</v>
      </c>
      <c r="C93" s="137">
        <f>(2.5-1.3)*NORMSINV($C$96)</f>
        <v>1.973824352341767</v>
      </c>
      <c r="D93" s="152">
        <f t="shared" si="7"/>
        <v>-0.45159531171102607</v>
      </c>
      <c r="E93" s="171">
        <f>D77</f>
        <v>5</v>
      </c>
      <c r="F93" s="225">
        <f>10^((E93-D93)/5)</f>
        <v>12.31172942239339</v>
      </c>
      <c r="G93" s="141">
        <f>ROUNDUP(F93,0)/($D$6*1000)</f>
        <v>0.065</v>
      </c>
      <c r="H93" s="174"/>
      <c r="I93" s="174"/>
      <c r="O93" s="174"/>
      <c r="P93" s="174"/>
    </row>
    <row r="94" spans="1:16" ht="12.75">
      <c r="A94" s="116" t="s">
        <v>74</v>
      </c>
      <c r="B94" s="201">
        <f>E29</f>
        <v>1.5325289972705534</v>
      </c>
      <c r="C94" s="121">
        <f>(4.5-1.3)*NORMSINV($C$96)</f>
        <v>5.263531606244712</v>
      </c>
      <c r="D94" s="179">
        <f t="shared" si="7"/>
        <v>-3.7310026089741584</v>
      </c>
      <c r="E94" s="180">
        <f>D78</f>
        <v>5</v>
      </c>
      <c r="F94" s="223">
        <f>10^((E94-D94)/5)</f>
        <v>55.744307129837324</v>
      </c>
      <c r="G94" s="119">
        <f>ROUNDUP(F94,0)/($E$6*1000)</f>
        <v>5.6</v>
      </c>
      <c r="H94" s="174"/>
      <c r="I94" s="174"/>
      <c r="O94" s="174"/>
      <c r="P94" s="174"/>
    </row>
    <row r="95" spans="1:16" ht="13.5" thickBot="1">
      <c r="A95" s="143" t="s">
        <v>75</v>
      </c>
      <c r="B95" s="146">
        <f>E29</f>
        <v>1.5325289972705534</v>
      </c>
      <c r="C95" s="144">
        <f>(4.5-1.3)*NORMSINV($C$96)</f>
        <v>5.263531606244712</v>
      </c>
      <c r="D95" s="182">
        <f t="shared" si="7"/>
        <v>-3.7310026089741584</v>
      </c>
      <c r="E95" s="183">
        <f>D79</f>
        <v>7</v>
      </c>
      <c r="F95" s="226">
        <f>10^((E95-D95)/10)</f>
        <v>11.833147033369487</v>
      </c>
      <c r="G95" s="148">
        <f>ROUNDUP(F95,0)/($E$6*1000)</f>
        <v>1.2</v>
      </c>
      <c r="H95" s="174"/>
      <c r="I95" s="174"/>
      <c r="O95" s="174"/>
      <c r="P95" s="174"/>
    </row>
    <row r="96" spans="1:16" ht="12.75">
      <c r="A96" s="174"/>
      <c r="B96" s="150" t="s">
        <v>76</v>
      </c>
      <c r="C96" s="151">
        <f>$C$61</f>
        <v>0.95</v>
      </c>
      <c r="D96" s="174"/>
      <c r="E96" s="174"/>
      <c r="F96" s="174"/>
      <c r="G96" s="174"/>
      <c r="H96" s="174"/>
      <c r="I96" s="174"/>
      <c r="J96" s="22"/>
      <c r="K96" s="19"/>
      <c r="L96" s="153"/>
      <c r="M96" s="154"/>
      <c r="N96" s="97"/>
      <c r="O96" s="174"/>
      <c r="P96" s="174"/>
    </row>
    <row r="97" spans="8:17" ht="12.75">
      <c r="H97" s="193"/>
      <c r="J97" s="174"/>
      <c r="K97" s="174"/>
      <c r="L97" s="174"/>
      <c r="M97" s="174"/>
      <c r="N97" s="184"/>
      <c r="O97" s="174"/>
      <c r="P97" s="174"/>
      <c r="Q97" s="174"/>
    </row>
    <row r="98" spans="8:17" ht="12.75">
      <c r="H98" s="193"/>
      <c r="J98" s="174"/>
      <c r="K98" s="174"/>
      <c r="L98" s="174"/>
      <c r="M98" s="174"/>
      <c r="N98" s="184"/>
      <c r="O98" s="174"/>
      <c r="P98" s="174"/>
      <c r="Q98" s="174"/>
    </row>
    <row r="99" spans="10:17" ht="12.75">
      <c r="J99" s="174"/>
      <c r="K99" s="174"/>
      <c r="L99" s="174"/>
      <c r="M99" s="174"/>
      <c r="N99" s="184"/>
      <c r="O99" s="174"/>
      <c r="P99" s="174"/>
      <c r="Q99" s="174"/>
    </row>
    <row r="100" ht="12.75"/>
    <row r="101" ht="12.75"/>
    <row r="102" ht="12.75"/>
    <row r="103" ht="12.75"/>
    <row r="104" ht="12.75"/>
    <row r="105" ht="12.75"/>
    <row r="107" ht="12.75"/>
    <row r="109" ht="12.75"/>
  </sheetData>
  <mergeCells count="21">
    <mergeCell ref="B23:E23"/>
    <mergeCell ref="B19:E19"/>
    <mergeCell ref="M43:Q43"/>
    <mergeCell ref="A1:J1"/>
    <mergeCell ref="A64:E64"/>
    <mergeCell ref="A45:E45"/>
    <mergeCell ref="B17:E17"/>
    <mergeCell ref="B27:E27"/>
    <mergeCell ref="B26:E26"/>
    <mergeCell ref="B25:E25"/>
    <mergeCell ref="B24:E24"/>
    <mergeCell ref="B22:E22"/>
    <mergeCell ref="H81:I81"/>
    <mergeCell ref="B18:E18"/>
    <mergeCell ref="B20:E20"/>
    <mergeCell ref="B21:E21"/>
    <mergeCell ref="B28:E28"/>
    <mergeCell ref="B36:D36"/>
    <mergeCell ref="B40:D40"/>
    <mergeCell ref="D65:E65"/>
    <mergeCell ref="H46:I46"/>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49"/>
  <sheetViews>
    <sheetView zoomScale="75" zoomScaleNormal="75" workbookViewId="0" topLeftCell="A1">
      <selection activeCell="J2" sqref="J2"/>
    </sheetView>
  </sheetViews>
  <sheetFormatPr defaultColWidth="9.140625" defaultRowHeight="12.75"/>
  <cols>
    <col min="1" max="1" width="44.0039062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9" width="10.0039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7.5" customHeight="1">
      <c r="A1" s="436" t="s">
        <v>128</v>
      </c>
      <c r="B1" s="436"/>
      <c r="C1" s="436"/>
      <c r="D1" s="436"/>
      <c r="E1" s="436"/>
      <c r="F1" s="436"/>
      <c r="G1" s="436"/>
      <c r="H1" s="436"/>
      <c r="I1" s="436"/>
      <c r="J1" s="436"/>
    </row>
    <row r="2" spans="1:10" ht="13.5" customHeight="1">
      <c r="A2" s="11"/>
      <c r="B2" s="11"/>
      <c r="C2" s="11"/>
      <c r="D2" s="11"/>
      <c r="E2" s="11"/>
      <c r="F2" s="11"/>
      <c r="G2" s="11"/>
      <c r="H2" s="11"/>
      <c r="I2" s="11"/>
      <c r="J2" s="11"/>
    </row>
    <row r="3" spans="1:10" ht="13.5" customHeight="1" thickBot="1">
      <c r="A3" s="484" t="s">
        <v>108</v>
      </c>
      <c r="B3" s="484"/>
      <c r="C3" s="484"/>
      <c r="D3" s="484"/>
      <c r="E3" s="484"/>
      <c r="F3" s="484"/>
      <c r="G3" s="484"/>
      <c r="H3" s="484"/>
      <c r="I3" s="11"/>
      <c r="J3" s="11"/>
    </row>
    <row r="4" spans="1:10" ht="13.5" customHeight="1">
      <c r="A4" s="24" t="s">
        <v>34</v>
      </c>
      <c r="B4" s="25">
        <f aca="true" t="shared" si="0" ref="B4:H4">B36</f>
        <v>-116</v>
      </c>
      <c r="C4" s="25">
        <f t="shared" si="0"/>
        <v>-112.5</v>
      </c>
      <c r="D4" s="25">
        <f t="shared" si="0"/>
        <v>-109</v>
      </c>
      <c r="E4" s="25">
        <f t="shared" si="0"/>
        <v>-104.82</v>
      </c>
      <c r="F4" s="25">
        <f t="shared" si="0"/>
        <v>-99.08</v>
      </c>
      <c r="G4" s="25">
        <f t="shared" si="0"/>
        <v>-95.74</v>
      </c>
      <c r="H4" s="275">
        <f t="shared" si="0"/>
        <v>-92.03</v>
      </c>
      <c r="I4" s="11"/>
      <c r="J4" s="11"/>
    </row>
    <row r="5" spans="1:11" ht="13.5" customHeight="1" thickBot="1">
      <c r="A5" s="276" t="s">
        <v>106</v>
      </c>
      <c r="B5" s="269">
        <f>B46</f>
        <v>0.999993457993429</v>
      </c>
      <c r="C5" s="270">
        <f aca="true" t="shared" si="1" ref="C5:H5">C46</f>
        <v>0.9999013042466501</v>
      </c>
      <c r="D5" s="261">
        <f t="shared" si="1"/>
        <v>0.9989855468053694</v>
      </c>
      <c r="E5" s="261">
        <f t="shared" si="1"/>
        <v>0.989989871740919</v>
      </c>
      <c r="F5" s="261">
        <f t="shared" si="1"/>
        <v>0.9001368371265333</v>
      </c>
      <c r="G5" s="261">
        <f t="shared" si="1"/>
        <v>0.7501808386498101</v>
      </c>
      <c r="H5" s="277">
        <f t="shared" si="1"/>
        <v>0.5002048487762276</v>
      </c>
      <c r="I5" s="485" t="s">
        <v>107</v>
      </c>
      <c r="J5" s="486"/>
      <c r="K5" s="284">
        <f>C85</f>
        <v>0.95</v>
      </c>
    </row>
    <row r="6" spans="1:15" ht="13.5" customHeight="1">
      <c r="A6" s="313" t="s">
        <v>109</v>
      </c>
      <c r="B6" s="314">
        <f>$B$73/B46</f>
        <v>0.6534318531779039</v>
      </c>
      <c r="C6" s="314">
        <f aca="true" t="shared" si="2" ref="C6:H6">$B$73/C46</f>
        <v>0.6534920753151081</v>
      </c>
      <c r="D6" s="314">
        <f t="shared" si="2"/>
        <v>0.6540911232519891</v>
      </c>
      <c r="E6" s="314">
        <f t="shared" si="2"/>
        <v>0.6600346095191458</v>
      </c>
      <c r="F6" s="314">
        <f t="shared" si="2"/>
        <v>0.7259202728646619</v>
      </c>
      <c r="G6" s="314">
        <f t="shared" si="2"/>
        <v>0.8710267508278113</v>
      </c>
      <c r="H6" s="315">
        <f t="shared" si="2"/>
        <v>1.306319960754209</v>
      </c>
      <c r="I6" s="318">
        <v>5</v>
      </c>
      <c r="J6" s="317" t="s">
        <v>114</v>
      </c>
      <c r="K6" s="316"/>
      <c r="N6" s="331"/>
      <c r="O6" s="331"/>
    </row>
    <row r="7" spans="1:15" ht="13.5" customHeight="1">
      <c r="A7" s="305" t="s">
        <v>110</v>
      </c>
      <c r="B7" s="310">
        <f>$B$74*B46</f>
        <v>0.0010019994659501632</v>
      </c>
      <c r="C7" s="310">
        <f aca="true" t="shared" si="3" ref="C7:H7">$B$74*C46</f>
        <v>0.0010019071273410258</v>
      </c>
      <c r="D7" s="310">
        <f t="shared" si="3"/>
        <v>0.0010009895328710135</v>
      </c>
      <c r="E7" s="310">
        <f t="shared" si="3"/>
        <v>0.0009919758122927539</v>
      </c>
      <c r="F7" s="310">
        <f t="shared" si="3"/>
        <v>0.0009019425305968172</v>
      </c>
      <c r="G7" s="310">
        <f t="shared" si="3"/>
        <v>0.0007516857172260567</v>
      </c>
      <c r="H7" s="311">
        <f t="shared" si="3"/>
        <v>0.0005012082702472596</v>
      </c>
      <c r="I7" s="319"/>
      <c r="J7" s="308"/>
      <c r="K7" s="284"/>
      <c r="N7" s="331"/>
      <c r="O7" s="331"/>
    </row>
    <row r="8" spans="1:15" ht="13.5" customHeight="1">
      <c r="A8" s="305" t="s">
        <v>112</v>
      </c>
      <c r="B8" s="332">
        <f>$B$69</f>
        <v>0.995</v>
      </c>
      <c r="C8" s="332">
        <f aca="true" t="shared" si="4" ref="C8:H8">$B$69</f>
        <v>0.995</v>
      </c>
      <c r="D8" s="332">
        <f t="shared" si="4"/>
        <v>0.995</v>
      </c>
      <c r="E8" s="332">
        <f t="shared" si="4"/>
        <v>0.995</v>
      </c>
      <c r="F8" s="332">
        <f t="shared" si="4"/>
        <v>0.995</v>
      </c>
      <c r="G8" s="332">
        <f t="shared" si="4"/>
        <v>0.995</v>
      </c>
      <c r="H8" s="333">
        <f t="shared" si="4"/>
        <v>0.995</v>
      </c>
      <c r="I8" s="318">
        <v>2</v>
      </c>
      <c r="J8" s="317" t="s">
        <v>113</v>
      </c>
      <c r="K8" s="284"/>
      <c r="N8" s="331"/>
      <c r="O8" s="331"/>
    </row>
    <row r="9" spans="1:15" ht="13.5" customHeight="1">
      <c r="A9" s="305" t="s">
        <v>115</v>
      </c>
      <c r="B9" s="332">
        <f>$B$70</f>
        <v>0.005</v>
      </c>
      <c r="C9" s="332">
        <f aca="true" t="shared" si="5" ref="C9:H9">$B$70</f>
        <v>0.005</v>
      </c>
      <c r="D9" s="332">
        <f t="shared" si="5"/>
        <v>0.005</v>
      </c>
      <c r="E9" s="332">
        <f t="shared" si="5"/>
        <v>0.005</v>
      </c>
      <c r="F9" s="332">
        <f t="shared" si="5"/>
        <v>0.005</v>
      </c>
      <c r="G9" s="332">
        <f t="shared" si="5"/>
        <v>0.005</v>
      </c>
      <c r="H9" s="333">
        <f t="shared" si="5"/>
        <v>0.005</v>
      </c>
      <c r="I9" s="307"/>
      <c r="J9" s="309"/>
      <c r="K9" s="284"/>
      <c r="N9" s="331"/>
      <c r="O9" s="331"/>
    </row>
    <row r="10" spans="1:15" ht="13.5" customHeight="1">
      <c r="A10" s="305" t="s">
        <v>111</v>
      </c>
      <c r="B10" s="332">
        <f>$B$65</f>
        <v>0.99</v>
      </c>
      <c r="C10" s="332">
        <f aca="true" t="shared" si="6" ref="C10:H10">$B$65</f>
        <v>0.99</v>
      </c>
      <c r="D10" s="332">
        <f t="shared" si="6"/>
        <v>0.99</v>
      </c>
      <c r="E10" s="332">
        <f t="shared" si="6"/>
        <v>0.99</v>
      </c>
      <c r="F10" s="332">
        <f t="shared" si="6"/>
        <v>0.99</v>
      </c>
      <c r="G10" s="332">
        <f t="shared" si="6"/>
        <v>0.99</v>
      </c>
      <c r="H10" s="333">
        <f t="shared" si="6"/>
        <v>0.99</v>
      </c>
      <c r="I10" s="312">
        <v>0.99</v>
      </c>
      <c r="K10" s="284"/>
      <c r="N10" s="331"/>
      <c r="O10" s="331"/>
    </row>
    <row r="11" spans="1:15" ht="13.5" customHeight="1" thickBot="1">
      <c r="A11" s="306" t="s">
        <v>116</v>
      </c>
      <c r="B11" s="334">
        <f>$B$66</f>
        <v>0.01</v>
      </c>
      <c r="C11" s="334">
        <f aca="true" t="shared" si="7" ref="C11:H11">$B$66</f>
        <v>0.01</v>
      </c>
      <c r="D11" s="334">
        <f t="shared" si="7"/>
        <v>0.01</v>
      </c>
      <c r="E11" s="334">
        <f t="shared" si="7"/>
        <v>0.01</v>
      </c>
      <c r="F11" s="334">
        <f t="shared" si="7"/>
        <v>0.01</v>
      </c>
      <c r="G11" s="334">
        <f t="shared" si="7"/>
        <v>0.01</v>
      </c>
      <c r="H11" s="335">
        <f t="shared" si="7"/>
        <v>0.01</v>
      </c>
      <c r="I11" s="312">
        <v>0.01</v>
      </c>
      <c r="J11" s="256"/>
      <c r="K11" s="284"/>
      <c r="N11" s="331"/>
      <c r="O11" s="331"/>
    </row>
    <row r="12" spans="1:15" ht="13.5" customHeight="1">
      <c r="A12" s="304" t="s">
        <v>66</v>
      </c>
      <c r="B12" s="274">
        <f>G79</f>
        <v>114.15066666666667</v>
      </c>
      <c r="C12" s="274">
        <f>G89</f>
        <v>22.816666666666666</v>
      </c>
      <c r="D12" s="274">
        <f>G99</f>
        <v>4.574666666666666</v>
      </c>
      <c r="E12" s="274">
        <f>G109</f>
        <v>0.6825</v>
      </c>
      <c r="F12" s="282">
        <f>G119</f>
        <v>0.059</v>
      </c>
      <c r="G12" s="282">
        <f>G129</f>
        <v>0.021166666666666667</v>
      </c>
      <c r="H12" s="283" t="e">
        <f>G139</f>
        <v>#NUM!</v>
      </c>
      <c r="I12" s="11"/>
      <c r="J12" s="11"/>
      <c r="N12" s="331"/>
      <c r="O12" s="331"/>
    </row>
    <row r="13" spans="1:15" ht="13.5" customHeight="1">
      <c r="A13" s="116" t="s">
        <v>68</v>
      </c>
      <c r="B13" s="274">
        <f>G80</f>
        <v>405.6</v>
      </c>
      <c r="C13" s="274">
        <f>G90</f>
        <v>83.2</v>
      </c>
      <c r="D13" s="274">
        <f>G100</f>
        <v>17.7</v>
      </c>
      <c r="E13" s="274">
        <f>G110</f>
        <v>3.1</v>
      </c>
      <c r="F13" s="274">
        <f>G110</f>
        <v>3.1</v>
      </c>
      <c r="G13" s="282">
        <f>G130</f>
        <v>0.8</v>
      </c>
      <c r="H13" s="283" t="e">
        <f>G140</f>
        <v>#NUM!</v>
      </c>
      <c r="N13" s="331"/>
      <c r="O13" s="331"/>
    </row>
    <row r="14" spans="1:10" ht="13.5" customHeight="1">
      <c r="A14" s="116" t="s">
        <v>86</v>
      </c>
      <c r="B14" s="274">
        <f>G81</f>
        <v>16.013666666666666</v>
      </c>
      <c r="C14" s="274">
        <f>G91</f>
        <v>7.156</v>
      </c>
      <c r="D14" s="274">
        <f>G101</f>
        <v>3.2023333333333333</v>
      </c>
      <c r="E14" s="274">
        <f>G111</f>
        <v>1.2396666666666667</v>
      </c>
      <c r="F14" s="274">
        <f>G111</f>
        <v>1.2396666666666667</v>
      </c>
      <c r="G14" s="282">
        <f>G131</f>
        <v>0.25766666666666665</v>
      </c>
      <c r="H14" s="283" t="e">
        <f>G141</f>
        <v>#NUM!</v>
      </c>
      <c r="I14" s="11"/>
      <c r="J14" s="11"/>
    </row>
    <row r="15" spans="1:10" ht="13.5" customHeight="1">
      <c r="A15" s="116" t="s">
        <v>100</v>
      </c>
      <c r="B15" s="274">
        <f>H82</f>
        <v>39.42711630929175</v>
      </c>
      <c r="C15" s="274">
        <f>H92</f>
        <v>17.626445743989606</v>
      </c>
      <c r="D15" s="274">
        <f>H102</f>
        <v>7.963027940220923</v>
      </c>
      <c r="E15" s="274">
        <f>H112</f>
        <v>3.0926653671215076</v>
      </c>
      <c r="F15" s="274">
        <f>H112</f>
        <v>3.0926653671215076</v>
      </c>
      <c r="G15" s="274">
        <f>H132</f>
        <v>0.6961377517868745</v>
      </c>
      <c r="H15" s="278" t="e">
        <f>H142</f>
        <v>#NUM!</v>
      </c>
      <c r="I15" s="11"/>
      <c r="J15" s="11"/>
    </row>
    <row r="16" spans="1:10" ht="13.5" customHeight="1">
      <c r="A16" s="116" t="s">
        <v>98</v>
      </c>
      <c r="B16" s="274">
        <f>H83</f>
        <v>96.83627355425602</v>
      </c>
      <c r="C16" s="274">
        <f>H93</f>
        <v>48.44187719298247</v>
      </c>
      <c r="D16" s="274">
        <f>H103</f>
        <v>24.24467901234568</v>
      </c>
      <c r="E16" s="274">
        <f>H113</f>
        <v>24.24467901234568</v>
      </c>
      <c r="F16" s="274">
        <f>H113</f>
        <v>24.24467901234568</v>
      </c>
      <c r="G16" s="274">
        <f>H133</f>
        <v>24.24467901234568</v>
      </c>
      <c r="H16" s="278" t="e">
        <f>H143</f>
        <v>#NUM!</v>
      </c>
      <c r="I16" s="11"/>
      <c r="J16" s="11"/>
    </row>
    <row r="17" spans="1:10" ht="13.5" customHeight="1" thickBot="1">
      <c r="A17" s="143" t="s">
        <v>99</v>
      </c>
      <c r="B17" s="279">
        <f>H84</f>
        <v>266.18674139051336</v>
      </c>
      <c r="C17" s="279">
        <f>H94</f>
        <v>121.00355230669268</v>
      </c>
      <c r="D17" s="279">
        <f>H104</f>
        <v>72.60915594541912</v>
      </c>
      <c r="E17" s="279">
        <f>H114</f>
        <v>24.21475958414555</v>
      </c>
      <c r="F17" s="279">
        <f>H114</f>
        <v>24.21475958414555</v>
      </c>
      <c r="G17" s="279">
        <f>H134</f>
        <v>24.21475958414555</v>
      </c>
      <c r="H17" s="280" t="e">
        <f>H144</f>
        <v>#NUM!</v>
      </c>
      <c r="I17" s="11"/>
      <c r="J17" s="11"/>
    </row>
    <row r="18" spans="1:10" ht="13.5" customHeight="1">
      <c r="A18" s="11"/>
      <c r="B18" s="11"/>
      <c r="C18" s="11"/>
      <c r="D18" s="11"/>
      <c r="E18" s="11"/>
      <c r="F18" s="11"/>
      <c r="G18" s="11"/>
      <c r="H18" s="11"/>
      <c r="I18" s="11"/>
      <c r="J18" s="11"/>
    </row>
    <row r="19" spans="1:10" ht="13.5" customHeight="1">
      <c r="A19" s="11"/>
      <c r="B19" s="11"/>
      <c r="C19" s="11"/>
      <c r="D19" s="11"/>
      <c r="E19" s="11"/>
      <c r="F19" s="11"/>
      <c r="G19" s="11"/>
      <c r="H19" s="11"/>
      <c r="I19" s="11"/>
      <c r="J19" s="11"/>
    </row>
    <row r="20" spans="1:11" ht="13.5" customHeight="1" thickBot="1">
      <c r="A20" s="484" t="s">
        <v>108</v>
      </c>
      <c r="B20" s="484"/>
      <c r="C20" s="484"/>
      <c r="D20" s="484"/>
      <c r="E20" s="484"/>
      <c r="F20" s="484"/>
      <c r="G20" s="484"/>
      <c r="H20" s="484"/>
      <c r="I20" s="281"/>
      <c r="J20" s="281"/>
      <c r="K20" s="285"/>
    </row>
    <row r="21" spans="1:11" ht="13.5" customHeight="1">
      <c r="A21" s="293" t="s">
        <v>34</v>
      </c>
      <c r="B21" s="294">
        <v>-116</v>
      </c>
      <c r="C21" s="294">
        <v>-112.5</v>
      </c>
      <c r="D21" s="294">
        <v>-109</v>
      </c>
      <c r="E21" s="294">
        <v>-104.82</v>
      </c>
      <c r="F21" s="294">
        <v>-99.08</v>
      </c>
      <c r="G21" s="294">
        <v>-95.74</v>
      </c>
      <c r="H21" s="286">
        <v>-92.04</v>
      </c>
      <c r="I21" s="281"/>
      <c r="J21" s="281"/>
      <c r="K21" s="285"/>
    </row>
    <row r="22" spans="1:11" ht="13.5" customHeight="1" thickBot="1">
      <c r="A22" s="292" t="s">
        <v>106</v>
      </c>
      <c r="B22" s="269">
        <v>0.9999934529366782</v>
      </c>
      <c r="C22" s="297">
        <v>0.9999012752450184</v>
      </c>
      <c r="D22" s="261">
        <v>0.9989854784360485</v>
      </c>
      <c r="E22" s="261">
        <v>0.9899898951201553</v>
      </c>
      <c r="F22" s="261">
        <v>0.9001367715440094</v>
      </c>
      <c r="G22" s="261">
        <v>0.7501809100752412</v>
      </c>
      <c r="H22" s="299">
        <v>0.5009302031424225</v>
      </c>
      <c r="I22" s="485" t="s">
        <v>107</v>
      </c>
      <c r="J22" s="486"/>
      <c r="K22" s="284">
        <v>0.9</v>
      </c>
    </row>
    <row r="23" spans="1:11" ht="13.5" customHeight="1">
      <c r="A23" s="287" t="s">
        <v>66</v>
      </c>
      <c r="B23" s="295">
        <v>45.205666666666666</v>
      </c>
      <c r="C23" s="295">
        <v>9.0135</v>
      </c>
      <c r="D23" s="295">
        <v>1.7975</v>
      </c>
      <c r="E23" s="295">
        <v>0.2643333333333333</v>
      </c>
      <c r="F23" s="298">
        <v>0.021666666666666667</v>
      </c>
      <c r="G23" s="298">
        <v>0.006833333333333334</v>
      </c>
      <c r="H23" s="288">
        <v>0.005166666666666667</v>
      </c>
      <c r="I23" s="281"/>
      <c r="J23" s="281"/>
      <c r="K23" s="285"/>
    </row>
    <row r="24" spans="1:11" ht="13.5" customHeight="1">
      <c r="A24" s="300" t="s">
        <v>68</v>
      </c>
      <c r="B24" s="301">
        <v>100.2</v>
      </c>
      <c r="C24" s="301">
        <v>20</v>
      </c>
      <c r="D24" s="301">
        <v>4</v>
      </c>
      <c r="E24" s="301">
        <v>0.6</v>
      </c>
      <c r="F24" s="301">
        <v>0.6</v>
      </c>
      <c r="G24" s="302">
        <v>0.1</v>
      </c>
      <c r="H24" s="303">
        <v>2.8</v>
      </c>
      <c r="I24" s="281"/>
      <c r="J24" s="281"/>
      <c r="K24" s="285"/>
    </row>
    <row r="25" spans="1:11" ht="13.5" customHeight="1">
      <c r="A25" s="300" t="s">
        <v>86</v>
      </c>
      <c r="B25" s="301">
        <v>5.280833333333334</v>
      </c>
      <c r="C25" s="301">
        <v>2.359166666666667</v>
      </c>
      <c r="D25" s="301">
        <v>1.0551666666666666</v>
      </c>
      <c r="E25" s="301">
        <v>0.4081666666666667</v>
      </c>
      <c r="F25" s="301">
        <v>0.4081666666666667</v>
      </c>
      <c r="G25" s="302">
        <v>0.07766666666666666</v>
      </c>
      <c r="H25" s="303">
        <v>0.18466666666666667</v>
      </c>
      <c r="I25" s="281"/>
      <c r="J25" s="281"/>
      <c r="K25" s="285"/>
    </row>
    <row r="26" spans="1:11" ht="13.5" customHeight="1">
      <c r="A26" s="287" t="s">
        <v>100</v>
      </c>
      <c r="B26" s="295">
        <v>15.693762183235869</v>
      </c>
      <c r="C26" s="295">
        <v>7.0353398310591295</v>
      </c>
      <c r="D26" s="295">
        <v>3.1699727095516574</v>
      </c>
      <c r="E26" s="295">
        <v>1.2372891487979207</v>
      </c>
      <c r="F26" s="295">
        <v>1.2372891487979207</v>
      </c>
      <c r="G26" s="295">
        <v>0.23229369720597792</v>
      </c>
      <c r="H26" s="289">
        <v>0.30960103963612734</v>
      </c>
      <c r="I26" s="281"/>
      <c r="J26" s="281"/>
      <c r="K26" s="285"/>
    </row>
    <row r="27" spans="1:11" ht="13.5" customHeight="1">
      <c r="A27" s="287" t="s">
        <v>98</v>
      </c>
      <c r="B27" s="295">
        <v>48.44187719298247</v>
      </c>
      <c r="C27" s="295">
        <v>24.24467901234568</v>
      </c>
      <c r="D27" s="295">
        <v>24.24467901234568</v>
      </c>
      <c r="E27" s="295">
        <v>24.24467901234568</v>
      </c>
      <c r="F27" s="295">
        <v>24.24467901234568</v>
      </c>
      <c r="G27" s="295">
        <v>24.24467901234568</v>
      </c>
      <c r="H27" s="289">
        <v>24.24467901234568</v>
      </c>
      <c r="I27" s="281"/>
      <c r="J27" s="281"/>
      <c r="K27" s="285"/>
    </row>
    <row r="28" spans="1:11" ht="13.5" customHeight="1" thickBot="1">
      <c r="A28" s="290" t="s">
        <v>99</v>
      </c>
      <c r="B28" s="296">
        <v>121.00355230669268</v>
      </c>
      <c r="C28" s="296">
        <v>48.41195776478233</v>
      </c>
      <c r="D28" s="296">
        <v>24.21475958414555</v>
      </c>
      <c r="E28" s="296">
        <v>24.21475958414555</v>
      </c>
      <c r="F28" s="296">
        <v>24.21475958414555</v>
      </c>
      <c r="G28" s="296">
        <v>24.21475958414555</v>
      </c>
      <c r="H28" s="291">
        <v>24.21475958414555</v>
      </c>
      <c r="I28" s="281"/>
      <c r="J28" s="281"/>
      <c r="K28" s="285"/>
    </row>
    <row r="29" spans="1:10" ht="13.5" customHeight="1">
      <c r="A29" s="11"/>
      <c r="B29" s="11"/>
      <c r="C29" s="11"/>
      <c r="D29" s="11"/>
      <c r="E29" s="11"/>
      <c r="F29" s="11"/>
      <c r="G29" s="11"/>
      <c r="H29" s="11"/>
      <c r="I29" s="11"/>
      <c r="J29" s="11"/>
    </row>
    <row r="30" spans="1:10" ht="13.5" customHeight="1">
      <c r="A30" s="11"/>
      <c r="B30" s="11"/>
      <c r="C30" s="11"/>
      <c r="D30" s="11"/>
      <c r="E30" s="11"/>
      <c r="F30" s="11"/>
      <c r="G30" s="11"/>
      <c r="H30" s="11"/>
      <c r="I30" s="11"/>
      <c r="J30" s="11"/>
    </row>
    <row r="31" spans="1:10" ht="13.5" customHeight="1">
      <c r="A31" s="11"/>
      <c r="B31" s="11"/>
      <c r="C31" s="11"/>
      <c r="D31" s="11"/>
      <c r="E31" s="11"/>
      <c r="F31" s="11"/>
      <c r="G31" s="11"/>
      <c r="H31" s="11"/>
      <c r="I31" s="11"/>
      <c r="J31" s="11"/>
    </row>
    <row r="32" spans="1:10" ht="13.5" customHeight="1">
      <c r="A32" s="11"/>
      <c r="B32" s="11"/>
      <c r="C32" s="11"/>
      <c r="D32" s="11"/>
      <c r="E32" s="11"/>
      <c r="F32" s="11"/>
      <c r="G32" s="11"/>
      <c r="H32" s="11"/>
      <c r="I32" s="11"/>
      <c r="J32" s="11"/>
    </row>
    <row r="33" spans="1:26" ht="13.5" customHeight="1">
      <c r="A33" s="14" t="s">
        <v>27</v>
      </c>
      <c r="B33" s="15">
        <f>IF(AND(E33&gt;13,E33&lt;52),$E$33*6+389,"ERROR")</f>
        <v>617</v>
      </c>
      <c r="D33" s="16" t="s">
        <v>28</v>
      </c>
      <c r="E33" s="17">
        <v>38</v>
      </c>
      <c r="J33" s="18"/>
      <c r="K33" s="19"/>
      <c r="L33" s="19"/>
      <c r="M33" s="19"/>
      <c r="N33" s="20"/>
      <c r="O33" s="18"/>
      <c r="P33" s="18"/>
      <c r="Q33" s="18"/>
      <c r="R33" s="18"/>
      <c r="S33" s="18"/>
      <c r="T33" s="18"/>
      <c r="U33" s="18"/>
      <c r="V33" s="18"/>
      <c r="W33" s="18"/>
      <c r="X33" s="18"/>
      <c r="Y33" s="18"/>
      <c r="Z33" s="18"/>
    </row>
    <row r="34" spans="1:26" ht="13.5" customHeight="1">
      <c r="A34" s="14"/>
      <c r="B34" s="21"/>
      <c r="J34" s="18"/>
      <c r="K34" s="22"/>
      <c r="U34" s="23"/>
      <c r="V34" s="23"/>
      <c r="W34" s="23"/>
      <c r="X34" s="23"/>
      <c r="Y34" s="23"/>
      <c r="Z34" s="23"/>
    </row>
    <row r="35" spans="1:26" ht="13.5" customHeight="1" thickBot="1">
      <c r="A35" s="21" t="s">
        <v>29</v>
      </c>
      <c r="B35" s="487" t="s">
        <v>30</v>
      </c>
      <c r="C35" s="488"/>
      <c r="D35" s="488"/>
      <c r="E35" s="488"/>
      <c r="F35" s="488"/>
      <c r="G35" s="488"/>
      <c r="H35" s="489"/>
      <c r="J35" s="18"/>
      <c r="K35" s="22"/>
      <c r="U35" s="23"/>
      <c r="V35" s="23"/>
      <c r="W35" s="23"/>
      <c r="X35" s="23"/>
      <c r="Y35" s="23"/>
      <c r="Z35" s="23"/>
    </row>
    <row r="36" spans="1:26" ht="13.5" customHeight="1">
      <c r="A36" s="24" t="s">
        <v>34</v>
      </c>
      <c r="B36" s="30">
        <v>-116</v>
      </c>
      <c r="C36" s="30">
        <v>-112.5</v>
      </c>
      <c r="D36" s="30">
        <v>-109</v>
      </c>
      <c r="E36" s="30">
        <v>-104.82</v>
      </c>
      <c r="F36" s="30">
        <v>-99.08</v>
      </c>
      <c r="G36" s="30">
        <v>-95.74</v>
      </c>
      <c r="H36" s="30">
        <v>-92.03</v>
      </c>
      <c r="J36" s="18"/>
      <c r="K36" s="22"/>
      <c r="U36" s="23"/>
      <c r="V36" s="23"/>
      <c r="W36" s="23"/>
      <c r="X36" s="23"/>
      <c r="Y36" s="23"/>
      <c r="Z36" s="23"/>
    </row>
    <row r="37" spans="1:26" ht="13.5" customHeight="1">
      <c r="A37" s="29" t="s">
        <v>35</v>
      </c>
      <c r="B37" s="30">
        <v>6</v>
      </c>
      <c r="C37" s="30">
        <v>6</v>
      </c>
      <c r="D37" s="30">
        <v>6</v>
      </c>
      <c r="E37" s="30">
        <v>6</v>
      </c>
      <c r="F37" s="30">
        <v>6</v>
      </c>
      <c r="G37" s="30">
        <v>6</v>
      </c>
      <c r="H37" s="30">
        <v>6</v>
      </c>
      <c r="J37" s="18"/>
      <c r="K37" s="22"/>
      <c r="U37" s="23"/>
      <c r="V37" s="23"/>
      <c r="W37" s="23"/>
      <c r="X37" s="23"/>
      <c r="Y37" s="23"/>
      <c r="Z37" s="23"/>
    </row>
    <row r="38" spans="1:26" ht="13.5" customHeight="1">
      <c r="A38" s="29" t="s">
        <v>36</v>
      </c>
      <c r="B38" s="30">
        <v>0</v>
      </c>
      <c r="C38" s="30">
        <v>0</v>
      </c>
      <c r="D38" s="30">
        <v>0</v>
      </c>
      <c r="E38" s="30">
        <v>0</v>
      </c>
      <c r="F38" s="30">
        <v>0</v>
      </c>
      <c r="G38" s="30">
        <v>0</v>
      </c>
      <c r="H38" s="30">
        <v>0</v>
      </c>
      <c r="J38" s="18"/>
      <c r="K38" s="22"/>
      <c r="U38" s="23"/>
      <c r="V38" s="23"/>
      <c r="W38" s="23"/>
      <c r="X38" s="23"/>
      <c r="Y38" s="23"/>
      <c r="Z38" s="23"/>
    </row>
    <row r="39" spans="1:26" ht="13.5" customHeight="1">
      <c r="A39" s="34" t="s">
        <v>37</v>
      </c>
      <c r="B39" s="35">
        <f aca="true" t="shared" si="8" ref="B39:H39">(300/$B$33)^2/(4*PI())</f>
        <v>0.01881318461824558</v>
      </c>
      <c r="C39" s="35">
        <f t="shared" si="8"/>
        <v>0.01881318461824558</v>
      </c>
      <c r="D39" s="35">
        <f t="shared" si="8"/>
        <v>0.01881318461824558</v>
      </c>
      <c r="E39" s="35">
        <f t="shared" si="8"/>
        <v>0.01881318461824558</v>
      </c>
      <c r="F39" s="35">
        <f t="shared" si="8"/>
        <v>0.01881318461824558</v>
      </c>
      <c r="G39" s="35">
        <f t="shared" si="8"/>
        <v>0.01881318461824558</v>
      </c>
      <c r="H39" s="35">
        <f t="shared" si="8"/>
        <v>0.01881318461824558</v>
      </c>
      <c r="J39" s="18"/>
      <c r="K39" s="22"/>
      <c r="U39" s="23"/>
      <c r="V39" s="23"/>
      <c r="W39" s="23"/>
      <c r="X39" s="23"/>
      <c r="Y39" s="23"/>
      <c r="Z39" s="23"/>
    </row>
    <row r="40" spans="1:26" ht="13.5" customHeight="1">
      <c r="A40" s="39" t="s">
        <v>38</v>
      </c>
      <c r="B40" s="40">
        <f aca="true" t="shared" si="9" ref="B40:H40">(B36-30)-B38-10*LOG10(B39)</f>
        <v>-128.74462317350745</v>
      </c>
      <c r="C40" s="40">
        <f t="shared" si="9"/>
        <v>-125.24462317350745</v>
      </c>
      <c r="D40" s="40">
        <f t="shared" si="9"/>
        <v>-121.74462317350745</v>
      </c>
      <c r="E40" s="40">
        <f t="shared" si="9"/>
        <v>-117.56462317350744</v>
      </c>
      <c r="F40" s="40">
        <f t="shared" si="9"/>
        <v>-111.82462317350743</v>
      </c>
      <c r="G40" s="40">
        <f t="shared" si="9"/>
        <v>-108.48462317350746</v>
      </c>
      <c r="H40" s="40">
        <f t="shared" si="9"/>
        <v>-104.77462317350745</v>
      </c>
      <c r="K40" s="22"/>
      <c r="U40" s="23"/>
      <c r="V40" s="23"/>
      <c r="W40" s="23"/>
      <c r="X40" s="23"/>
      <c r="Y40" s="23"/>
      <c r="Z40" s="23"/>
    </row>
    <row r="41" spans="1:26" ht="13.5" customHeight="1" thickBot="1">
      <c r="A41" s="44" t="s">
        <v>39</v>
      </c>
      <c r="B41" s="45">
        <f aca="true" t="shared" si="10" ref="B41:H41">B40+145.8</f>
        <v>17.055376826492562</v>
      </c>
      <c r="C41" s="45">
        <f t="shared" si="10"/>
        <v>20.555376826492562</v>
      </c>
      <c r="D41" s="45">
        <f t="shared" si="10"/>
        <v>24.055376826492562</v>
      </c>
      <c r="E41" s="45">
        <f t="shared" si="10"/>
        <v>28.23537682649257</v>
      </c>
      <c r="F41" s="45">
        <f t="shared" si="10"/>
        <v>33.97537682649258</v>
      </c>
      <c r="G41" s="45">
        <f t="shared" si="10"/>
        <v>37.31537682649255</v>
      </c>
      <c r="H41" s="45">
        <f t="shared" si="10"/>
        <v>41.02537682649256</v>
      </c>
      <c r="J41" s="18"/>
      <c r="K41" s="22"/>
      <c r="U41" s="23"/>
      <c r="V41" s="23"/>
      <c r="W41" s="23"/>
      <c r="X41" s="23"/>
      <c r="Y41" s="23"/>
      <c r="Z41" s="23"/>
    </row>
    <row r="42" spans="1:26" ht="13.5" customHeight="1" thickBot="1">
      <c r="A42" s="14"/>
      <c r="B42" s="21"/>
      <c r="C42" s="21"/>
      <c r="D42" s="21"/>
      <c r="E42" s="21"/>
      <c r="F42" s="21"/>
      <c r="G42" s="21"/>
      <c r="H42" s="21"/>
      <c r="J42" s="18"/>
      <c r="K42" s="22"/>
      <c r="N42" s="263"/>
      <c r="U42" s="23"/>
      <c r="V42" s="23"/>
      <c r="W42" s="23"/>
      <c r="X42" s="23"/>
      <c r="Y42" s="23"/>
      <c r="Z42" s="23"/>
    </row>
    <row r="43" spans="1:26" ht="13.5" customHeight="1">
      <c r="A43" s="50" t="s">
        <v>40</v>
      </c>
      <c r="B43" s="190">
        <f aca="true" t="shared" si="11" ref="B43:H43">41-20*LOG10(615/$B$33)</f>
        <v>41.0282009651565</v>
      </c>
      <c r="C43" s="190">
        <f t="shared" si="11"/>
        <v>41.0282009651565</v>
      </c>
      <c r="D43" s="190">
        <f t="shared" si="11"/>
        <v>41.0282009651565</v>
      </c>
      <c r="E43" s="190">
        <f t="shared" si="11"/>
        <v>41.0282009651565</v>
      </c>
      <c r="F43" s="190">
        <f t="shared" si="11"/>
        <v>41.0282009651565</v>
      </c>
      <c r="G43" s="190">
        <f t="shared" si="11"/>
        <v>41.0282009651565</v>
      </c>
      <c r="H43" s="190">
        <f t="shared" si="11"/>
        <v>41.0282009651565</v>
      </c>
      <c r="I43" s="53" t="s">
        <v>41</v>
      </c>
      <c r="U43" s="23"/>
      <c r="V43" s="23"/>
      <c r="W43" s="23"/>
      <c r="X43" s="23"/>
      <c r="Y43" s="23"/>
      <c r="Z43" s="23"/>
    </row>
    <row r="44" spans="1:26" ht="13.5" customHeight="1">
      <c r="A44" s="54" t="s">
        <v>42</v>
      </c>
      <c r="B44" s="55">
        <f aca="true" t="shared" si="12" ref="B44:H44">B41</f>
        <v>17.055376826492562</v>
      </c>
      <c r="C44" s="55">
        <f t="shared" si="12"/>
        <v>20.555376826492562</v>
      </c>
      <c r="D44" s="55">
        <f t="shared" si="12"/>
        <v>24.055376826492562</v>
      </c>
      <c r="E44" s="55">
        <f t="shared" si="12"/>
        <v>28.23537682649257</v>
      </c>
      <c r="F44" s="55">
        <f t="shared" si="12"/>
        <v>33.97537682649258</v>
      </c>
      <c r="G44" s="55">
        <f t="shared" si="12"/>
        <v>37.31537682649255</v>
      </c>
      <c r="H44" s="55">
        <f t="shared" si="12"/>
        <v>41.02537682649256</v>
      </c>
      <c r="I44" s="59" t="s">
        <v>41</v>
      </c>
      <c r="U44" s="23"/>
      <c r="V44" s="23"/>
      <c r="W44" s="23"/>
      <c r="X44" s="23"/>
      <c r="Y44" s="23"/>
      <c r="Z44" s="23"/>
    </row>
    <row r="45" spans="1:26" ht="13.5" customHeight="1">
      <c r="A45" s="257" t="s">
        <v>43</v>
      </c>
      <c r="B45" s="258">
        <f aca="true" t="shared" si="13" ref="B45:H45">B43-B41</f>
        <v>23.97282413866394</v>
      </c>
      <c r="C45" s="258">
        <f t="shared" si="13"/>
        <v>20.47282413866394</v>
      </c>
      <c r="D45" s="258">
        <f t="shared" si="13"/>
        <v>16.97282413866394</v>
      </c>
      <c r="E45" s="258">
        <f t="shared" si="13"/>
        <v>12.792824138663931</v>
      </c>
      <c r="F45" s="258">
        <f t="shared" si="13"/>
        <v>7.052824138663922</v>
      </c>
      <c r="G45" s="258">
        <f t="shared" si="13"/>
        <v>3.7128241386639473</v>
      </c>
      <c r="H45" s="258">
        <f t="shared" si="13"/>
        <v>0.0028241386639393795</v>
      </c>
      <c r="I45" s="61" t="s">
        <v>20</v>
      </c>
      <c r="U45" s="23"/>
      <c r="V45" s="23"/>
      <c r="W45" s="23"/>
      <c r="X45" s="23"/>
      <c r="Y45" s="23"/>
      <c r="Z45" s="23"/>
    </row>
    <row r="46" spans="1:26" ht="13.5" customHeight="1" thickBot="1">
      <c r="A46" s="259" t="s">
        <v>106</v>
      </c>
      <c r="B46" s="269">
        <f aca="true" t="shared" si="14" ref="B46:H46">NORMSDIST(B45/5.5)</f>
        <v>0.999993457993429</v>
      </c>
      <c r="C46" s="270">
        <f t="shared" si="14"/>
        <v>0.9999013042466501</v>
      </c>
      <c r="D46" s="261">
        <f t="shared" si="14"/>
        <v>0.9989855468053694</v>
      </c>
      <c r="E46" s="261">
        <f t="shared" si="14"/>
        <v>0.989989871740919</v>
      </c>
      <c r="F46" s="260">
        <f t="shared" si="14"/>
        <v>0.9001368371265333</v>
      </c>
      <c r="G46" s="261">
        <f t="shared" si="14"/>
        <v>0.7501808386498101</v>
      </c>
      <c r="H46" s="261">
        <f t="shared" si="14"/>
        <v>0.5002048487762276</v>
      </c>
      <c r="U46" s="23"/>
      <c r="V46" s="23"/>
      <c r="W46" s="23"/>
      <c r="X46" s="23"/>
      <c r="Y46" s="23"/>
      <c r="Z46" s="23"/>
    </row>
    <row r="47" spans="1:26" ht="13.5" customHeight="1">
      <c r="A47" s="62"/>
      <c r="B47" s="14"/>
      <c r="C47" s="63"/>
      <c r="J47" s="18"/>
      <c r="K47" s="22"/>
      <c r="U47" s="19"/>
      <c r="V47" s="64"/>
      <c r="W47" s="64"/>
      <c r="X47" s="64"/>
      <c r="Y47" s="64"/>
      <c r="Z47" s="64"/>
    </row>
    <row r="48" spans="1:26" ht="13.5" customHeight="1" thickBot="1">
      <c r="A48" s="65" t="s">
        <v>44</v>
      </c>
      <c r="B48" s="487" t="s">
        <v>30</v>
      </c>
      <c r="C48" s="488"/>
      <c r="D48" s="488"/>
      <c r="E48" s="488"/>
      <c r="F48" s="488"/>
      <c r="G48" s="488"/>
      <c r="H48" s="489"/>
      <c r="J48" s="18"/>
      <c r="K48" s="22"/>
      <c r="V48" s="64"/>
      <c r="W48" s="64"/>
      <c r="X48" s="67"/>
      <c r="Y48" s="64"/>
      <c r="Z48" s="64"/>
    </row>
    <row r="49" spans="1:26" ht="13.5" customHeight="1">
      <c r="A49" s="68" t="s">
        <v>45</v>
      </c>
      <c r="B49" s="320"/>
      <c r="C49" s="255"/>
      <c r="D49" s="321"/>
      <c r="E49" s="255">
        <v>0</v>
      </c>
      <c r="F49" s="322"/>
      <c r="G49" s="322"/>
      <c r="H49" s="323"/>
      <c r="I49" s="69"/>
      <c r="J49" s="18"/>
      <c r="K49" s="22"/>
      <c r="V49" s="70"/>
      <c r="W49" s="70"/>
      <c r="X49" s="70"/>
      <c r="Y49" s="70"/>
      <c r="Z49" s="70"/>
    </row>
    <row r="50" spans="1:26" ht="13.5" customHeight="1">
      <c r="A50" s="34" t="s">
        <v>37</v>
      </c>
      <c r="B50" s="272"/>
      <c r="C50" s="36"/>
      <c r="D50" s="109"/>
      <c r="E50" s="36">
        <f>(300/$B$33)^2/(4*PI())</f>
        <v>0.01881318461824558</v>
      </c>
      <c r="F50" s="71"/>
      <c r="G50" s="109"/>
      <c r="H50" s="324"/>
      <c r="V50" s="72"/>
      <c r="W50" s="73"/>
      <c r="X50" s="18"/>
      <c r="Y50" s="18"/>
      <c r="Z50" s="18"/>
    </row>
    <row r="51" spans="1:26" ht="13.5" customHeight="1">
      <c r="A51" s="34" t="s">
        <v>46</v>
      </c>
      <c r="B51" s="272"/>
      <c r="C51" s="244"/>
      <c r="D51" s="109"/>
      <c r="E51" s="244">
        <f>90*(1/3)+290*(2/3)</f>
        <v>223.33333333333331</v>
      </c>
      <c r="F51" s="109"/>
      <c r="G51" s="109"/>
      <c r="H51" s="324"/>
      <c r="V51" s="73"/>
      <c r="W51" s="73"/>
      <c r="X51" s="73"/>
      <c r="Y51" s="73"/>
      <c r="Z51" s="73"/>
    </row>
    <row r="52" spans="1:26" ht="27.75" customHeight="1">
      <c r="A52" s="189" t="s">
        <v>47</v>
      </c>
      <c r="B52" s="272"/>
      <c r="C52" s="247"/>
      <c r="D52" s="109"/>
      <c r="E52" s="247">
        <v>-99</v>
      </c>
      <c r="F52" s="76"/>
      <c r="G52" s="76"/>
      <c r="H52" s="325"/>
      <c r="I52" s="76"/>
      <c r="J52" s="76"/>
      <c r="W52" s="73"/>
      <c r="X52" s="73"/>
      <c r="Y52" s="73"/>
      <c r="Z52" s="73"/>
    </row>
    <row r="53" spans="1:26" ht="26.25" customHeight="1">
      <c r="A53" s="74" t="s">
        <v>48</v>
      </c>
      <c r="B53" s="272"/>
      <c r="C53" s="248"/>
      <c r="D53" s="109"/>
      <c r="E53" s="248">
        <f>10^((E52-145.8+10*LOG(E50)+E49+168.6-10*LOG10(B37))/10)</f>
        <v>7.521614428973094E-11</v>
      </c>
      <c r="F53" s="76"/>
      <c r="G53" s="109"/>
      <c r="H53" s="324"/>
      <c r="J53" s="76"/>
      <c r="K53" s="76"/>
      <c r="W53" s="73"/>
      <c r="X53" s="73"/>
      <c r="Y53" s="73"/>
      <c r="Z53" s="73"/>
    </row>
    <row r="54" spans="1:26" ht="13.5" customHeight="1">
      <c r="A54" s="209" t="s">
        <v>93</v>
      </c>
      <c r="B54" s="272"/>
      <c r="C54" s="246"/>
      <c r="D54" s="109"/>
      <c r="E54" s="246">
        <v>10</v>
      </c>
      <c r="F54" s="109"/>
      <c r="G54" s="109"/>
      <c r="H54" s="324"/>
      <c r="K54" s="202"/>
      <c r="L54" s="76"/>
      <c r="W54" s="73"/>
      <c r="X54" s="73"/>
      <c r="Y54" s="73"/>
      <c r="Z54" s="73"/>
    </row>
    <row r="55" spans="1:26" ht="13.5" customHeight="1">
      <c r="A55" s="77" t="s">
        <v>49</v>
      </c>
      <c r="B55" s="272"/>
      <c r="C55" s="245"/>
      <c r="D55" s="109"/>
      <c r="E55" s="245">
        <v>0.5</v>
      </c>
      <c r="F55" s="109"/>
      <c r="G55" s="109"/>
      <c r="H55" s="324"/>
      <c r="K55" s="202"/>
      <c r="W55" s="73"/>
      <c r="X55" s="73"/>
      <c r="Y55" s="73"/>
      <c r="Z55" s="73"/>
    </row>
    <row r="56" spans="1:26" ht="13.5" customHeight="1">
      <c r="A56" s="34" t="s">
        <v>50</v>
      </c>
      <c r="B56" s="272"/>
      <c r="C56" s="245"/>
      <c r="D56" s="109"/>
      <c r="E56" s="245">
        <v>4</v>
      </c>
      <c r="F56" s="109"/>
      <c r="G56" s="76"/>
      <c r="H56" s="325"/>
      <c r="I56" s="76"/>
      <c r="J56" s="76"/>
      <c r="K56" s="202"/>
      <c r="L56" s="64"/>
      <c r="W56" s="73"/>
      <c r="X56" s="73"/>
      <c r="Y56" s="73"/>
      <c r="Z56" s="73"/>
    </row>
    <row r="57" spans="1:26" ht="13.5" customHeight="1">
      <c r="A57" s="77" t="s">
        <v>51</v>
      </c>
      <c r="B57" s="272"/>
      <c r="C57" s="245"/>
      <c r="D57" s="109"/>
      <c r="E57" s="245">
        <v>2</v>
      </c>
      <c r="F57" s="109"/>
      <c r="G57" s="109"/>
      <c r="H57" s="324"/>
      <c r="L57" s="70"/>
      <c r="W57" s="73"/>
      <c r="X57" s="73"/>
      <c r="Y57" s="73"/>
      <c r="Z57" s="73"/>
    </row>
    <row r="58" spans="1:26" ht="13.5" customHeight="1">
      <c r="A58" s="77" t="s">
        <v>52</v>
      </c>
      <c r="B58" s="272"/>
      <c r="C58" s="245"/>
      <c r="D58" s="109"/>
      <c r="E58" s="245">
        <v>6</v>
      </c>
      <c r="F58" s="109"/>
      <c r="G58" s="109"/>
      <c r="H58" s="324"/>
      <c r="I58" s="19"/>
      <c r="J58" s="18"/>
      <c r="K58" s="22"/>
      <c r="L58" s="72"/>
      <c r="W58" s="73"/>
      <c r="X58" s="73"/>
      <c r="Y58" s="73"/>
      <c r="Z58" s="73"/>
    </row>
    <row r="59" spans="1:26" ht="13.5" customHeight="1">
      <c r="A59" s="77" t="s">
        <v>53</v>
      </c>
      <c r="B59" s="272"/>
      <c r="C59" s="235"/>
      <c r="D59" s="109"/>
      <c r="E59" s="235">
        <f>E49-(E55+E56+E57)-10*LOG10((E51+E53)*10^(-(E55+E56+E57)/10)+290*(1-10^(-(E55+E56+E57)/10))+290*(10^(E58/10)-1))</f>
        <v>-37.06747100272945</v>
      </c>
      <c r="F59" s="109"/>
      <c r="G59" s="109"/>
      <c r="H59" s="326"/>
      <c r="I59" s="69"/>
      <c r="J59" s="18"/>
      <c r="K59" s="18"/>
      <c r="L59" s="71"/>
      <c r="W59" s="73"/>
      <c r="X59" s="73"/>
      <c r="Y59" s="73"/>
      <c r="Z59" s="73"/>
    </row>
    <row r="60" spans="1:26" ht="13.5" customHeight="1" thickBot="1">
      <c r="A60" s="195" t="s">
        <v>87</v>
      </c>
      <c r="B60" s="273"/>
      <c r="C60" s="249"/>
      <c r="D60" s="109"/>
      <c r="E60" s="249">
        <f>10*LOG10(((E51+E53)*10^(-(E55+E56+E57)/10)+290*(1-10^(-(E55+E56+E57)/10))+290*(10^(E58/10)-1)+290)/290)</f>
        <v>6.9281228460925295</v>
      </c>
      <c r="F60" s="109"/>
      <c r="G60" s="109"/>
      <c r="H60" s="327"/>
      <c r="I60" s="69"/>
      <c r="J60" s="18"/>
      <c r="K60" s="18"/>
      <c r="L60" s="71"/>
      <c r="W60" s="73"/>
      <c r="X60" s="73"/>
      <c r="Y60" s="73"/>
      <c r="Z60" s="73"/>
    </row>
    <row r="61" spans="1:26" ht="12.75" customHeight="1" thickBot="1">
      <c r="A61" s="78" t="s">
        <v>54</v>
      </c>
      <c r="B61" s="79">
        <f aca="true" t="shared" si="15" ref="B61:H61">B40+168.6-10*LOG10(B37)+10*LOG10($E50)+$E59</f>
        <v>-22.248983506565885</v>
      </c>
      <c r="C61" s="80">
        <f t="shared" si="15"/>
        <v>-18.748983506565885</v>
      </c>
      <c r="D61" s="81">
        <f t="shared" si="15"/>
        <v>-15.248983506565885</v>
      </c>
      <c r="E61" s="271">
        <f t="shared" si="15"/>
        <v>-11.068983506565878</v>
      </c>
      <c r="F61" s="262">
        <f t="shared" si="15"/>
        <v>-5.328983506565869</v>
      </c>
      <c r="G61" s="262">
        <f t="shared" si="15"/>
        <v>-1.9889835065658943</v>
      </c>
      <c r="H61" s="82">
        <f t="shared" si="15"/>
        <v>1.7210164934341137</v>
      </c>
      <c r="I61" s="83" t="s">
        <v>20</v>
      </c>
      <c r="Q61" s="85"/>
      <c r="W61" s="73"/>
      <c r="X61" s="18"/>
      <c r="Y61" s="18"/>
      <c r="Z61" s="18"/>
    </row>
    <row r="62" spans="1:26" ht="12.75" customHeight="1">
      <c r="A62" s="86"/>
      <c r="B62" s="87"/>
      <c r="C62" s="87"/>
      <c r="D62" s="87"/>
      <c r="E62" s="87"/>
      <c r="Q62" s="88"/>
      <c r="W62" s="73"/>
      <c r="X62" s="18"/>
      <c r="Y62" s="18"/>
      <c r="Z62" s="18"/>
    </row>
    <row r="63" spans="1:26" ht="13.5" customHeight="1">
      <c r="A63" s="22"/>
      <c r="B63" s="71"/>
      <c r="C63" s="71"/>
      <c r="D63" s="71"/>
      <c r="E63" s="71"/>
      <c r="H63" s="71"/>
      <c r="I63" s="71"/>
      <c r="J63" s="90"/>
      <c r="K63" s="84"/>
      <c r="Q63" s="88"/>
      <c r="W63" s="18"/>
      <c r="X63" s="18"/>
      <c r="Y63" s="18"/>
      <c r="Z63" s="18"/>
    </row>
    <row r="64" spans="1:26" ht="12.75" customHeight="1" thickBot="1">
      <c r="A64" s="91" t="s">
        <v>90</v>
      </c>
      <c r="B64" s="71"/>
      <c r="C64" s="71"/>
      <c r="D64" s="71"/>
      <c r="E64" s="71"/>
      <c r="H64" s="71"/>
      <c r="I64" s="71"/>
      <c r="J64" s="90"/>
      <c r="K64" s="84"/>
      <c r="Q64" s="92"/>
      <c r="W64" s="18"/>
      <c r="X64" s="18"/>
      <c r="Y64" s="18"/>
      <c r="Z64" s="18"/>
    </row>
    <row r="65" spans="1:26" ht="12.75" customHeight="1">
      <c r="A65" s="93" t="s">
        <v>55</v>
      </c>
      <c r="B65" s="94">
        <f>$I$10</f>
        <v>0.99</v>
      </c>
      <c r="C65" s="103"/>
      <c r="D65" s="103"/>
      <c r="E65" s="103"/>
      <c r="I65" s="71"/>
      <c r="J65" s="90"/>
      <c r="K65" s="73"/>
      <c r="Q65" s="97"/>
      <c r="W65" s="18"/>
      <c r="X65" s="18"/>
      <c r="Y65" s="18"/>
      <c r="Z65" s="18"/>
    </row>
    <row r="66" spans="1:26" ht="12.75" customHeight="1" thickBot="1">
      <c r="A66" s="98" t="s">
        <v>94</v>
      </c>
      <c r="B66" s="99">
        <f>$I$11</f>
        <v>0.01</v>
      </c>
      <c r="C66" s="103"/>
      <c r="D66" s="103"/>
      <c r="E66" s="103"/>
      <c r="H66" s="71"/>
      <c r="I66" s="71"/>
      <c r="J66" s="18"/>
      <c r="K66" s="18"/>
      <c r="Q66" s="92"/>
      <c r="W66" s="18"/>
      <c r="X66" s="18"/>
      <c r="Y66" s="18"/>
      <c r="Z66" s="18"/>
    </row>
    <row r="67" spans="1:26" ht="12.75" customHeight="1">
      <c r="A67" s="102"/>
      <c r="B67" s="103"/>
      <c r="C67" s="103"/>
      <c r="D67" s="103"/>
      <c r="E67" s="103"/>
      <c r="F67" s="22"/>
      <c r="H67" s="71"/>
      <c r="I67" s="71"/>
      <c r="J67" s="18"/>
      <c r="K67" s="18"/>
      <c r="Q67" s="92"/>
      <c r="W67" s="18"/>
      <c r="X67" s="18"/>
      <c r="Y67" s="18"/>
      <c r="Z67" s="18"/>
    </row>
    <row r="68" spans="1:26" ht="12.75" customHeight="1" thickBot="1">
      <c r="A68" s="91" t="s">
        <v>88</v>
      </c>
      <c r="B68" s="490" t="s">
        <v>91</v>
      </c>
      <c r="C68" s="491"/>
      <c r="D68" s="491"/>
      <c r="E68" s="267">
        <f>I8</f>
        <v>2</v>
      </c>
      <c r="G68" s="69"/>
      <c r="H68" s="71"/>
      <c r="I68" s="71"/>
      <c r="J68" s="18"/>
      <c r="K68" s="18"/>
      <c r="W68" s="18"/>
      <c r="X68" s="18"/>
      <c r="Y68" s="18"/>
      <c r="Z68" s="18"/>
    </row>
    <row r="69" spans="1:26" ht="12.75" customHeight="1">
      <c r="A69" s="93" t="s">
        <v>55</v>
      </c>
      <c r="B69" s="268">
        <f>1-(1-B65)/$E$68</f>
        <v>0.995</v>
      </c>
      <c r="C69" s="103"/>
      <c r="D69" s="103"/>
      <c r="E69" s="103"/>
      <c r="H69" s="71"/>
      <c r="I69" s="71"/>
      <c r="J69" s="18"/>
      <c r="K69" s="18"/>
      <c r="W69" s="18"/>
      <c r="X69" s="18"/>
      <c r="Y69" s="18"/>
      <c r="Z69" s="18"/>
    </row>
    <row r="70" spans="1:26" ht="12.75" customHeight="1" thickBot="1">
      <c r="A70" s="98" t="s">
        <v>94</v>
      </c>
      <c r="B70" s="204">
        <f>B66/$E$68</f>
        <v>0.005</v>
      </c>
      <c r="C70" s="266"/>
      <c r="D70" s="266"/>
      <c r="E70" s="266"/>
      <c r="H70" s="71"/>
      <c r="I70" s="71"/>
      <c r="J70" s="18"/>
      <c r="K70" s="18"/>
      <c r="Q70" s="92"/>
      <c r="W70" s="18"/>
      <c r="X70" s="18"/>
      <c r="Y70" s="18"/>
      <c r="Z70" s="18"/>
    </row>
    <row r="71" spans="1:26" ht="12.75" customHeight="1">
      <c r="A71" s="102"/>
      <c r="E71" s="103"/>
      <c r="G71" s="89"/>
      <c r="H71" s="71"/>
      <c r="I71" s="71"/>
      <c r="J71" s="18"/>
      <c r="K71" s="18"/>
      <c r="Q71" s="92"/>
      <c r="W71" s="18"/>
      <c r="X71" s="18"/>
      <c r="Y71" s="18"/>
      <c r="Z71" s="18"/>
    </row>
    <row r="72" spans="1:26" ht="12.75" customHeight="1" thickBot="1">
      <c r="A72" s="91" t="s">
        <v>89</v>
      </c>
      <c r="B72" s="492" t="s">
        <v>92</v>
      </c>
      <c r="C72" s="493"/>
      <c r="D72" s="493"/>
      <c r="E72" s="267">
        <f>I6</f>
        <v>5</v>
      </c>
      <c r="G72" s="89"/>
      <c r="H72" s="71"/>
      <c r="I72" s="71"/>
      <c r="J72" s="18"/>
      <c r="K72" s="18"/>
      <c r="Q72" s="92"/>
      <c r="W72" s="18"/>
      <c r="X72" s="18"/>
      <c r="Y72" s="18"/>
      <c r="Z72" s="18"/>
    </row>
    <row r="73" spans="1:26" ht="12.75" customHeight="1">
      <c r="A73" s="93" t="s">
        <v>55</v>
      </c>
      <c r="B73" s="268">
        <f>1-(1-B69)^(1/$E$72)</f>
        <v>0.6534275784224267</v>
      </c>
      <c r="C73" s="103"/>
      <c r="D73" s="103"/>
      <c r="E73" s="103"/>
      <c r="F73" s="71"/>
      <c r="H73" s="71"/>
      <c r="I73" s="71"/>
      <c r="J73" s="18"/>
      <c r="K73" s="18"/>
      <c r="Q73" s="92"/>
      <c r="W73" s="18"/>
      <c r="X73" s="18"/>
      <c r="Y73" s="18"/>
      <c r="Z73" s="18"/>
    </row>
    <row r="74" spans="1:26" ht="12.75" customHeight="1" thickBot="1">
      <c r="A74" s="98" t="s">
        <v>94</v>
      </c>
      <c r="B74" s="203">
        <f>1-(1-B70)^(1/$E$72)</f>
        <v>0.0010020060210801374</v>
      </c>
      <c r="C74" s="160"/>
      <c r="D74" s="160"/>
      <c r="E74" s="160"/>
      <c r="G74" s="71"/>
      <c r="H74" s="71"/>
      <c r="I74" s="71"/>
      <c r="J74" s="18"/>
      <c r="K74" s="18"/>
      <c r="Q74" s="92"/>
      <c r="W74" s="18"/>
      <c r="X74" s="18"/>
      <c r="Y74" s="18"/>
      <c r="Z74" s="18"/>
    </row>
    <row r="75" spans="1:26" ht="12.75" customHeight="1">
      <c r="A75" s="102"/>
      <c r="B75" s="103"/>
      <c r="C75" s="103"/>
      <c r="D75" s="103"/>
      <c r="E75" s="103"/>
      <c r="G75" s="71"/>
      <c r="H75" s="71"/>
      <c r="I75" s="71"/>
      <c r="J75" s="18"/>
      <c r="K75" s="18"/>
      <c r="M75" s="18"/>
      <c r="Q75" s="92"/>
      <c r="W75" s="18"/>
      <c r="X75" s="18"/>
      <c r="Y75" s="18"/>
      <c r="Z75" s="18"/>
    </row>
    <row r="76" spans="1:26" ht="13.5" customHeight="1">
      <c r="A76" s="22"/>
      <c r="B76" s="71"/>
      <c r="C76" s="71"/>
      <c r="D76" s="71"/>
      <c r="E76" s="71"/>
      <c r="F76" s="104"/>
      <c r="G76" s="71"/>
      <c r="H76" s="71"/>
      <c r="I76" s="71"/>
      <c r="J76" s="18"/>
      <c r="K76" s="18"/>
      <c r="M76" s="18"/>
      <c r="Q76" s="92"/>
      <c r="T76" s="18"/>
      <c r="U76" s="18"/>
      <c r="V76" s="105"/>
      <c r="W76" s="18"/>
      <c r="X76" s="18"/>
      <c r="Y76" s="18"/>
      <c r="Z76" s="18"/>
    </row>
    <row r="77" spans="1:26" ht="15.75" customHeight="1">
      <c r="A77" s="380" t="s">
        <v>56</v>
      </c>
      <c r="B77" s="380"/>
      <c r="C77" s="380"/>
      <c r="D77" s="380"/>
      <c r="E77" s="380"/>
      <c r="F77" s="18"/>
      <c r="N77" s="12"/>
      <c r="T77" s="18"/>
      <c r="U77" s="18"/>
      <c r="V77" s="105"/>
      <c r="W77" s="18"/>
      <c r="X77" s="18"/>
      <c r="Y77" s="18"/>
      <c r="Z77" s="18"/>
    </row>
    <row r="78" spans="1:26" s="109" customFormat="1" ht="39.75" customHeight="1" thickBot="1">
      <c r="A78" s="106" t="s">
        <v>57</v>
      </c>
      <c r="B78" s="107" t="s">
        <v>58</v>
      </c>
      <c r="C78" s="107" t="s">
        <v>59</v>
      </c>
      <c r="D78" s="107" t="s">
        <v>60</v>
      </c>
      <c r="E78" s="108" t="s">
        <v>62</v>
      </c>
      <c r="F78" s="108" t="s">
        <v>63</v>
      </c>
      <c r="G78" s="108" t="s">
        <v>64</v>
      </c>
      <c r="H78" s="465" t="s">
        <v>65</v>
      </c>
      <c r="I78" s="465"/>
      <c r="J78" s="239" t="s">
        <v>61</v>
      </c>
      <c r="K78" s="108" t="s">
        <v>81</v>
      </c>
      <c r="L78" s="238"/>
      <c r="M78" s="239"/>
      <c r="U78" s="18"/>
      <c r="V78" s="18"/>
      <c r="W78" s="18"/>
      <c r="X78" s="18"/>
      <c r="Y78" s="18"/>
      <c r="Z78" s="18"/>
    </row>
    <row r="79" spans="1:18" ht="12.75">
      <c r="A79" s="110" t="s">
        <v>66</v>
      </c>
      <c r="B79" s="111">
        <f>B$61</f>
        <v>-22.248983506565885</v>
      </c>
      <c r="C79" s="112">
        <v>0</v>
      </c>
      <c r="D79" s="111">
        <f aca="true" t="shared" si="16" ref="D79:D84">B79-C79</f>
        <v>-22.248983506565885</v>
      </c>
      <c r="E79" s="114"/>
      <c r="F79" s="228">
        <f>2*(NORMSINV($B$74*$B$46)-(10^(D79/10)+1)*NORMSINV($B$73/$B$46))^2/10^(D79/5)</f>
        <v>684903.0331900448</v>
      </c>
      <c r="G79" s="115">
        <f>ROUNDUP(F79,0)/($B$37*1000)</f>
        <v>114.15066666666667</v>
      </c>
      <c r="H79" s="109"/>
      <c r="I79" s="109"/>
      <c r="J79" s="142">
        <v>1</v>
      </c>
      <c r="K79" s="170">
        <f>4.5*684/286</f>
        <v>10.762237762237762</v>
      </c>
      <c r="L79" s="153"/>
      <c r="M79" s="97"/>
      <c r="N79" s="12"/>
      <c r="R79" s="109"/>
    </row>
    <row r="80" spans="1:14" ht="12.75">
      <c r="A80" s="116" t="s">
        <v>68</v>
      </c>
      <c r="B80" s="117">
        <f>B$61-11.2+10*LOG10(B$37/0.01)</f>
        <v>-5.667471002729446</v>
      </c>
      <c r="C80" s="117">
        <f>(4.5-1.3)*NORMSINV($C$85)</f>
        <v>5.263531606244712</v>
      </c>
      <c r="D80" s="117">
        <f t="shared" si="16"/>
        <v>-10.931002608974158</v>
      </c>
      <c r="E80" s="240"/>
      <c r="F80" s="241">
        <f>2*(NORMSINV($B$74*$B$46*$C$85)-(10^(D80/10)+1)*NORMSINV($B$73/($B$46*$C$85)))^2/10^(D80/5)</f>
        <v>4055.2059371934006</v>
      </c>
      <c r="G80" s="242">
        <f>ROUNDUP(F80,0)/(0.01*1000)</f>
        <v>405.6</v>
      </c>
      <c r="H80" s="236"/>
      <c r="I80" s="71"/>
      <c r="J80" s="113">
        <v>1</v>
      </c>
      <c r="K80" s="173" t="s">
        <v>82</v>
      </c>
      <c r="L80" s="153"/>
      <c r="M80" s="97"/>
      <c r="N80" s="12"/>
    </row>
    <row r="81" spans="1:14" ht="12.75">
      <c r="A81" s="116" t="s">
        <v>86</v>
      </c>
      <c r="B81" s="117">
        <f>B$61</f>
        <v>-22.248983506565885</v>
      </c>
      <c r="C81" s="117">
        <f>(4.5-1.3)*NORMSINV($C$85)</f>
        <v>5.263531606244712</v>
      </c>
      <c r="D81" s="117">
        <f t="shared" si="16"/>
        <v>-27.512515112810597</v>
      </c>
      <c r="E81" s="160">
        <f>10^(-11.2/10)</f>
        <v>0.07585775750291839</v>
      </c>
      <c r="F81" s="241">
        <f>(NORMSINV($B$74*$B$46*$C$85)-SQRT(10^(D81/10)+1)*NORMSINV($B$73/($B$46*$C$85)))^2/(E81*(10^(D81/10)))</f>
        <v>96081.79977331153</v>
      </c>
      <c r="G81" s="242">
        <f>ROUNDUP(F81,0)/($B$37*1000)</f>
        <v>16.013666666666666</v>
      </c>
      <c r="H81" s="237"/>
      <c r="I81" s="71"/>
      <c r="J81" s="113">
        <v>2</v>
      </c>
      <c r="K81" s="19"/>
      <c r="L81" s="153"/>
      <c r="M81" s="97"/>
      <c r="N81" s="12"/>
    </row>
    <row r="82" spans="1:26" ht="12.75" customHeight="1">
      <c r="A82" s="116" t="s">
        <v>100</v>
      </c>
      <c r="B82" s="121">
        <f>B$61</f>
        <v>-22.248983506565885</v>
      </c>
      <c r="C82" s="71">
        <f>C79</f>
        <v>0</v>
      </c>
      <c r="D82" s="117">
        <f t="shared" si="16"/>
        <v>-22.248983506565885</v>
      </c>
      <c r="E82" s="122">
        <v>1</v>
      </c>
      <c r="F82" s="229">
        <f>(1/4)*(NORMSINV($B$74*$B$46)-SQRT(10^(D82/10)+1)*NORMSINV($B$73/$B$46))^2/(E82*(10^(D82/10)))</f>
        <v>509.73847804901226</v>
      </c>
      <c r="G82" s="119">
        <f>ROUNDUP(F82,0)*(4/$K$79)/1000</f>
        <v>0.189551656920078</v>
      </c>
      <c r="H82" s="123">
        <f>(ROUNDUP(F82,0)*832/$K$79+4/$K$79)/1000</f>
        <v>39.42711630929175</v>
      </c>
      <c r="I82" s="124" t="s">
        <v>67</v>
      </c>
      <c r="J82" s="113">
        <v>2</v>
      </c>
      <c r="K82" s="19"/>
      <c r="L82" s="19"/>
      <c r="M82" s="154"/>
      <c r="N82" s="12"/>
      <c r="U82" s="125"/>
      <c r="V82" s="18"/>
      <c r="W82" s="18"/>
      <c r="X82" s="18"/>
      <c r="Y82" s="18"/>
      <c r="Z82" s="18"/>
    </row>
    <row r="83" spans="1:14" ht="12.75">
      <c r="A83" s="116" t="s">
        <v>98</v>
      </c>
      <c r="B83" s="121">
        <f>B$61</f>
        <v>-22.248983506565885</v>
      </c>
      <c r="C83" s="71">
        <f>C79</f>
        <v>0</v>
      </c>
      <c r="D83" s="117">
        <f t="shared" si="16"/>
        <v>-22.248983506565885</v>
      </c>
      <c r="E83" s="122">
        <v>1</v>
      </c>
      <c r="F83" s="229">
        <f>(1/511)*(NORMSINV($B$74*$B$46)-SQRT(10^(D83/10)+1)*NORMSINV($B$73/$B$46))^2/(E83*(10^(D83/10)))</f>
        <v>3.9901250727907023</v>
      </c>
      <c r="G83" s="119">
        <f>ROUNDUP(F83,0)*(511/$K$79)/1000</f>
        <v>0.18992332683560756</v>
      </c>
      <c r="H83" s="126">
        <f>(ROUNDUP(F83,0)*(313*832/$K$79)+511/$K$79)/1000</f>
        <v>96.83627355425602</v>
      </c>
      <c r="I83" s="71" t="s">
        <v>67</v>
      </c>
      <c r="J83" s="113">
        <v>2</v>
      </c>
      <c r="K83" s="19"/>
      <c r="L83" s="153"/>
      <c r="M83" s="97"/>
      <c r="N83" s="12"/>
    </row>
    <row r="84" spans="1:14" ht="13.5" thickBot="1">
      <c r="A84" s="143" t="s">
        <v>99</v>
      </c>
      <c r="B84" s="146">
        <f>B$61</f>
        <v>-22.248983506565885</v>
      </c>
      <c r="C84" s="182">
        <f>C79</f>
        <v>0</v>
      </c>
      <c r="D84" s="146">
        <f t="shared" si="16"/>
        <v>-22.248983506565885</v>
      </c>
      <c r="E84" s="147">
        <v>1</v>
      </c>
      <c r="F84" s="233">
        <f>(1/(3*63))*(NORMSINV($B$74*$B$46)-SQRT(10^(D84/10)+1)*NORMSINV($B$73/$B$46))^2/(E84*(10^(D84/10)))</f>
        <v>10.788115937545234</v>
      </c>
      <c r="G84" s="148">
        <f>ROUNDUP(F84,0)*(3*63/$K$79)/1000</f>
        <v>0.19317543859649122</v>
      </c>
      <c r="H84" s="264">
        <f>(ROUNDUP(F84,0)*(313*832/$K$79)+3*63/$K$79)/1000</f>
        <v>266.18674139051336</v>
      </c>
      <c r="I84" s="145" t="s">
        <v>67</v>
      </c>
      <c r="J84" s="265">
        <v>2</v>
      </c>
      <c r="K84" s="19"/>
      <c r="L84" s="153"/>
      <c r="M84" s="97"/>
      <c r="N84" s="12"/>
    </row>
    <row r="85" spans="1:8" ht="12.75">
      <c r="A85" s="149"/>
      <c r="B85" s="150" t="s">
        <v>76</v>
      </c>
      <c r="C85" s="210">
        <v>0.95</v>
      </c>
      <c r="D85" s="152"/>
      <c r="E85" s="19"/>
      <c r="F85" s="153"/>
      <c r="G85" s="154"/>
      <c r="H85" s="97"/>
    </row>
    <row r="86" spans="1:8" ht="12.75">
      <c r="A86" s="149"/>
      <c r="B86" s="150"/>
      <c r="C86" s="103"/>
      <c r="D86" s="152"/>
      <c r="E86" s="19"/>
      <c r="F86" s="153"/>
      <c r="G86" s="154"/>
      <c r="H86" s="97"/>
    </row>
    <row r="87" ht="12.75"/>
    <row r="88" spans="1:9" ht="64.5" thickBot="1">
      <c r="A88" s="106" t="s">
        <v>57</v>
      </c>
      <c r="B88" s="107" t="s">
        <v>58</v>
      </c>
      <c r="C88" s="107" t="s">
        <v>59</v>
      </c>
      <c r="D88" s="107" t="s">
        <v>60</v>
      </c>
      <c r="E88" s="108" t="s">
        <v>62</v>
      </c>
      <c r="F88" s="108" t="s">
        <v>63</v>
      </c>
      <c r="G88" s="108" t="s">
        <v>64</v>
      </c>
      <c r="H88" s="465" t="s">
        <v>65</v>
      </c>
      <c r="I88" s="465"/>
    </row>
    <row r="89" spans="1:9" ht="12.75">
      <c r="A89" s="110" t="s">
        <v>66</v>
      </c>
      <c r="B89" s="111">
        <f>C$61</f>
        <v>-18.748983506565885</v>
      </c>
      <c r="C89" s="112">
        <v>0</v>
      </c>
      <c r="D89" s="111">
        <f aca="true" t="shared" si="17" ref="D89:D94">B89-C89</f>
        <v>-18.748983506565885</v>
      </c>
      <c r="E89" s="114"/>
      <c r="F89" s="228">
        <f>2*(NORMSINV($B$74*$C$46)-(10^(D89/10)+1)*NORMSINV($B$73/$C$46))^2/10^(D89/5)</f>
        <v>136899.63095986628</v>
      </c>
      <c r="G89" s="115">
        <f>ROUNDUP(F89,0)/($B$37*1000)</f>
        <v>22.816666666666666</v>
      </c>
      <c r="H89" s="109"/>
      <c r="I89" s="109"/>
    </row>
    <row r="90" spans="1:9" ht="12.75">
      <c r="A90" s="116" t="s">
        <v>68</v>
      </c>
      <c r="B90" s="117">
        <f>C$61-11.2+10*LOG10(C$37/0.01)</f>
        <v>-2.1674710027294495</v>
      </c>
      <c r="C90" s="117">
        <f>(4.5-1.3)*NORMSINV($C$85)</f>
        <v>5.263531606244712</v>
      </c>
      <c r="D90" s="117">
        <f t="shared" si="17"/>
        <v>-7.431002608974161</v>
      </c>
      <c r="E90" s="240"/>
      <c r="F90" s="241">
        <f>2*(NORMSINV($B$74*$C$46*$C$85)-(10^(D90/10)+1)*NORMSINV($B$73/($C$46*$C$85)))^2/10^(D90/5)</f>
        <v>831.1739922271889</v>
      </c>
      <c r="G90" s="242">
        <f>ROUNDUP(F90,0)/(0.01*1000)</f>
        <v>83.2</v>
      </c>
      <c r="H90" s="236"/>
      <c r="I90" s="71"/>
    </row>
    <row r="91" spans="1:9" ht="12.75">
      <c r="A91" s="116" t="s">
        <v>86</v>
      </c>
      <c r="B91" s="117">
        <f>C$61</f>
        <v>-18.748983506565885</v>
      </c>
      <c r="C91" s="117">
        <f>(4.5-1.3)*NORMSINV($C$85)</f>
        <v>5.263531606244712</v>
      </c>
      <c r="D91" s="117">
        <f t="shared" si="17"/>
        <v>-24.012515112810597</v>
      </c>
      <c r="E91" s="160">
        <f>10^(-11.2/10)</f>
        <v>0.07585775750291839</v>
      </c>
      <c r="F91" s="241">
        <f>(NORMSINV($B$74*$C$46*$C$85)-SQRT(10^(D91/10)+1)*NORMSINV($B$73/($C$46*$C$85)))^2/(E91*(10^(D91/10)))</f>
        <v>42935.924457312925</v>
      </c>
      <c r="G91" s="242">
        <f>ROUNDUP(F91,0)/($B$37*1000)</f>
        <v>7.156</v>
      </c>
      <c r="H91" s="237"/>
      <c r="I91" s="71"/>
    </row>
    <row r="92" spans="1:9" ht="12.75">
      <c r="A92" s="116" t="s">
        <v>100</v>
      </c>
      <c r="B92" s="121">
        <f>C$61</f>
        <v>-18.748983506565885</v>
      </c>
      <c r="C92" s="71">
        <f>C89</f>
        <v>0</v>
      </c>
      <c r="D92" s="117">
        <f t="shared" si="17"/>
        <v>-18.748983506565885</v>
      </c>
      <c r="E92" s="122">
        <v>1</v>
      </c>
      <c r="F92" s="229">
        <f>(1/4)*(NORMSINV($B$74*$C$46)-SQRT(10^(D92/10)+1)*NORMSINV($B$73/$C$46))^2/(E92*(10^(D92/10)))</f>
        <v>227.90624415600163</v>
      </c>
      <c r="G92" s="119">
        <f>ROUNDUP(F92,0)*(4/$K$79)/1000</f>
        <v>0.08474074074074074</v>
      </c>
      <c r="H92" s="123">
        <f>(ROUNDUP(F92,0)*832/$K$79+4/$K$79)/1000</f>
        <v>17.626445743989606</v>
      </c>
      <c r="I92" s="134" t="s">
        <v>67</v>
      </c>
    </row>
    <row r="93" spans="1:9" ht="12.75">
      <c r="A93" s="116" t="s">
        <v>98</v>
      </c>
      <c r="B93" s="121">
        <f>C$61</f>
        <v>-18.748983506565885</v>
      </c>
      <c r="C93" s="71">
        <f>C89</f>
        <v>0</v>
      </c>
      <c r="D93" s="117">
        <f t="shared" si="17"/>
        <v>-18.748983506565885</v>
      </c>
      <c r="E93" s="122">
        <v>1</v>
      </c>
      <c r="F93" s="229">
        <f>(1/511)*(NORMSINV($B$74*$C$46)-SQRT(10^(D93/10)+1)*NORMSINV($B$73/$C$46))^2/(E93*(10^(D93/10)))</f>
        <v>1.7840019112015784</v>
      </c>
      <c r="G93" s="119">
        <f>ROUNDUP(F93,0)*(511/$K$79)/1000</f>
        <v>0.09496166341780378</v>
      </c>
      <c r="H93" s="126">
        <f>(ROUNDUP(F93,0)*(313*832/$K$79)+511/$K$79)/1000</f>
        <v>48.44187719298247</v>
      </c>
      <c r="I93" s="121" t="s">
        <v>67</v>
      </c>
    </row>
    <row r="94" spans="1:9" ht="13.5" thickBot="1">
      <c r="A94" s="143" t="s">
        <v>99</v>
      </c>
      <c r="B94" s="146">
        <f>C$61</f>
        <v>-18.748983506565885</v>
      </c>
      <c r="C94" s="182">
        <f>C89</f>
        <v>0</v>
      </c>
      <c r="D94" s="146">
        <f t="shared" si="17"/>
        <v>-18.748983506565885</v>
      </c>
      <c r="E94" s="147">
        <v>1</v>
      </c>
      <c r="F94" s="233">
        <f>(1/(3*63))*(NORMSINV($B$74*$C$46)-SQRT(10^(D94/10)+1)*NORMSINV($B$73/$C$46))^2/(E94*(10^(D94/10)))</f>
        <v>4.823412574730193</v>
      </c>
      <c r="G94" s="148">
        <f>ROUNDUP(F94,0)*(3*63/$K$79)/1000</f>
        <v>0.08780701754385965</v>
      </c>
      <c r="H94" s="264">
        <f>(ROUNDUP(F94,0)*(313*832/$K$79)+3*63/$K$79)/1000</f>
        <v>121.00355230669268</v>
      </c>
      <c r="I94" s="144" t="s">
        <v>67</v>
      </c>
    </row>
    <row r="95" spans="1:8" ht="12.75">
      <c r="A95" s="149"/>
      <c r="B95" s="150" t="s">
        <v>76</v>
      </c>
      <c r="C95" s="210">
        <f>$C$85</f>
        <v>0.95</v>
      </c>
      <c r="D95" s="152"/>
      <c r="E95" s="19"/>
      <c r="F95" s="153"/>
      <c r="G95" s="154"/>
      <c r="H95" s="97"/>
    </row>
    <row r="98" spans="1:9" ht="39" thickBot="1">
      <c r="A98" s="106" t="s">
        <v>57</v>
      </c>
      <c r="B98" s="107" t="s">
        <v>58</v>
      </c>
      <c r="C98" s="107" t="s">
        <v>59</v>
      </c>
      <c r="D98" s="107" t="s">
        <v>60</v>
      </c>
      <c r="E98" s="108" t="s">
        <v>62</v>
      </c>
      <c r="F98" s="108" t="s">
        <v>63</v>
      </c>
      <c r="G98" s="108" t="s">
        <v>64</v>
      </c>
      <c r="H98" s="465" t="s">
        <v>65</v>
      </c>
      <c r="I98" s="465"/>
    </row>
    <row r="99" spans="1:9" ht="12.75">
      <c r="A99" s="110" t="s">
        <v>66</v>
      </c>
      <c r="B99" s="111">
        <f>D$61</f>
        <v>-15.248983506565885</v>
      </c>
      <c r="C99" s="112">
        <v>0</v>
      </c>
      <c r="D99" s="111">
        <f aca="true" t="shared" si="18" ref="D99:D104">B99-C99</f>
        <v>-15.248983506565885</v>
      </c>
      <c r="E99" s="114"/>
      <c r="F99" s="228">
        <f>2*(NORMSINV($B$74*$D$46)-(10^(D99/10)+1)*NORMSINV($B$73/$D$46))^2/10^(D99/5)</f>
        <v>27447.775678459453</v>
      </c>
      <c r="G99" s="115">
        <f>ROUNDUP(F99,0)/($B$37*1000)</f>
        <v>4.574666666666666</v>
      </c>
      <c r="H99" s="109"/>
      <c r="I99" s="109"/>
    </row>
    <row r="100" spans="1:9" ht="12.75">
      <c r="A100" s="116" t="s">
        <v>68</v>
      </c>
      <c r="B100" s="117">
        <f>D$61-11.2+10*LOG10(D$37/0.01)</f>
        <v>1.3325289972705505</v>
      </c>
      <c r="C100" s="117">
        <f>(4.5-1.3)*NORMSINV($C$85)</f>
        <v>5.263531606244712</v>
      </c>
      <c r="D100" s="117">
        <f t="shared" si="18"/>
        <v>-3.931002608974161</v>
      </c>
      <c r="E100" s="240"/>
      <c r="F100" s="241">
        <f>2*(NORMSINV($B$74*$D$46*$C$85)-(10^(D100/10)+1)*NORMSINV($B$73/($D$46*$C$85)))^2/10^(D100/5)</f>
        <v>176.11826114879193</v>
      </c>
      <c r="G100" s="242">
        <f>ROUNDUP(F100,0)/(0.01*1000)</f>
        <v>17.7</v>
      </c>
      <c r="H100" s="236"/>
      <c r="I100" s="71"/>
    </row>
    <row r="101" spans="1:9" ht="12.75">
      <c r="A101" s="116" t="s">
        <v>86</v>
      </c>
      <c r="B101" s="117">
        <f>D$61</f>
        <v>-15.248983506565885</v>
      </c>
      <c r="C101" s="117">
        <f>(4.5-1.3)*NORMSINV($C$85)</f>
        <v>5.263531606244712</v>
      </c>
      <c r="D101" s="117">
        <f t="shared" si="18"/>
        <v>-20.512515112810597</v>
      </c>
      <c r="E101" s="160">
        <f>10^(-11.2/10)</f>
        <v>0.07585775750291839</v>
      </c>
      <c r="F101" s="241">
        <f>(NORMSINV($B$74*$D$46*$C$85)-SQRT(10^(D101/10)+1)*NORMSINV($B$73/($D$46*$C$85)))^2/(E101*(10^(D101/10)))</f>
        <v>19213.590360909366</v>
      </c>
      <c r="G101" s="242">
        <f>ROUNDUP(F101,0)/($B$37*1000)</f>
        <v>3.2023333333333333</v>
      </c>
      <c r="H101" s="237"/>
      <c r="I101" s="71"/>
    </row>
    <row r="102" spans="1:9" ht="12.75">
      <c r="A102" s="116" t="s">
        <v>100</v>
      </c>
      <c r="B102" s="121">
        <f>D$61</f>
        <v>-15.248983506565885</v>
      </c>
      <c r="C102" s="71">
        <f>C99</f>
        <v>0</v>
      </c>
      <c r="D102" s="117">
        <f t="shared" si="18"/>
        <v>-15.248983506565885</v>
      </c>
      <c r="E102" s="122">
        <v>1</v>
      </c>
      <c r="F102" s="229">
        <f>(1/4)*(NORMSINV($B$74*$D$46)-SQRT(10^(D102/10)+1)*NORMSINV($B$73/$D$46))^2/(E102*(10^(D102/10)))</f>
        <v>102.10270593930439</v>
      </c>
      <c r="G102" s="119">
        <f>ROUNDUP(F102,0)*(4/$K$79)/1000</f>
        <v>0.03828200129954516</v>
      </c>
      <c r="H102" s="123">
        <f>(ROUNDUP(F102,0)*832/$K$79+4/$K$79)/1000</f>
        <v>7.963027940220923</v>
      </c>
      <c r="I102" s="134" t="s">
        <v>67</v>
      </c>
    </row>
    <row r="103" spans="1:9" ht="12.75">
      <c r="A103" s="116" t="s">
        <v>98</v>
      </c>
      <c r="B103" s="121">
        <f>D$61</f>
        <v>-15.248983506565885</v>
      </c>
      <c r="C103" s="71">
        <f>C99</f>
        <v>0</v>
      </c>
      <c r="D103" s="117">
        <f t="shared" si="18"/>
        <v>-15.248983506565885</v>
      </c>
      <c r="E103" s="122">
        <v>1</v>
      </c>
      <c r="F103" s="229">
        <f>(1/511)*(NORMSINV($B$74*$D$46)-SQRT(10^(D103/10)+1)*NORMSINV($B$73/$D$46))^2/(E103*(10^(D103/10)))</f>
        <v>0.799238402656003</v>
      </c>
      <c r="G103" s="119">
        <f>ROUNDUP(F103,0)*(511/$K$79)/1000</f>
        <v>0.04748083170890189</v>
      </c>
      <c r="H103" s="126">
        <f>(ROUNDUP(F103,0)*(313*832/$K$79)+511/$K$79)/1000</f>
        <v>24.24467901234568</v>
      </c>
      <c r="I103" s="121" t="s">
        <v>67</v>
      </c>
    </row>
    <row r="104" spans="1:9" ht="13.5" thickBot="1">
      <c r="A104" s="143" t="s">
        <v>99</v>
      </c>
      <c r="B104" s="146">
        <f>D$61</f>
        <v>-15.248983506565885</v>
      </c>
      <c r="C104" s="182">
        <f>C99</f>
        <v>0</v>
      </c>
      <c r="D104" s="146">
        <f t="shared" si="18"/>
        <v>-15.248983506565885</v>
      </c>
      <c r="E104" s="147">
        <v>1</v>
      </c>
      <c r="F104" s="233">
        <f>(1/(3*63))*(NORMSINV($B$74*$D$46)-SQRT(10^(D104/10)+1)*NORMSINV($B$73/$D$46))^2/(E104*(10^(D104/10)))</f>
        <v>2.160903829403267</v>
      </c>
      <c r="G104" s="148">
        <f>ROUNDUP(F104,0)*(3*63/$K$79)/1000</f>
        <v>0.05268421052631579</v>
      </c>
      <c r="H104" s="264">
        <f>(ROUNDUP(F104,0)*(313*832/$K$79)+3*63/$K$79)/1000</f>
        <v>72.60915594541912</v>
      </c>
      <c r="I104" s="144" t="s">
        <v>67</v>
      </c>
    </row>
    <row r="105" spans="1:8" ht="12.75">
      <c r="A105" s="149"/>
      <c r="B105" s="150" t="s">
        <v>76</v>
      </c>
      <c r="C105" s="210">
        <f>$C$85</f>
        <v>0.95</v>
      </c>
      <c r="D105" s="152"/>
      <c r="E105" s="19"/>
      <c r="F105" s="153"/>
      <c r="G105" s="154"/>
      <c r="H105" s="97"/>
    </row>
    <row r="108" spans="1:9" ht="39" thickBot="1">
      <c r="A108" s="106" t="s">
        <v>57</v>
      </c>
      <c r="B108" s="107" t="s">
        <v>58</v>
      </c>
      <c r="C108" s="107" t="s">
        <v>59</v>
      </c>
      <c r="D108" s="107" t="s">
        <v>60</v>
      </c>
      <c r="E108" s="108" t="s">
        <v>62</v>
      </c>
      <c r="F108" s="108" t="s">
        <v>63</v>
      </c>
      <c r="G108" s="108" t="s">
        <v>64</v>
      </c>
      <c r="H108" s="465" t="s">
        <v>65</v>
      </c>
      <c r="I108" s="465"/>
    </row>
    <row r="109" spans="1:9" ht="12.75">
      <c r="A109" s="110" t="s">
        <v>66</v>
      </c>
      <c r="B109" s="111">
        <f>E$61</f>
        <v>-11.068983506565878</v>
      </c>
      <c r="C109" s="112">
        <v>0</v>
      </c>
      <c r="D109" s="111">
        <f aca="true" t="shared" si="19" ref="D109:D114">B109-C109</f>
        <v>-11.068983506565878</v>
      </c>
      <c r="E109" s="114"/>
      <c r="F109" s="228">
        <f>2*(NORMSINV($B$74*$E$46)-(10^(D109/10)+1)*NORMSINV($B$73/$E$46))^2/10^(D109/5)</f>
        <v>4094.5283977883832</v>
      </c>
      <c r="G109" s="115">
        <f>ROUNDUP(F109,0)/($B$37*1000)</f>
        <v>0.6825</v>
      </c>
      <c r="H109" s="109"/>
      <c r="I109" s="109"/>
    </row>
    <row r="110" spans="1:9" ht="12.75">
      <c r="A110" s="116" t="s">
        <v>68</v>
      </c>
      <c r="B110" s="117">
        <f>E$61-11.2+10*LOG10(E$37/0.01)</f>
        <v>5.512528997270557</v>
      </c>
      <c r="C110" s="117">
        <f>(4.5-1.3)*NORMSINV($C$85)</f>
        <v>5.263531606244712</v>
      </c>
      <c r="D110" s="117">
        <f t="shared" si="19"/>
        <v>0.24899739102584562</v>
      </c>
      <c r="E110" s="240"/>
      <c r="F110" s="241">
        <f>2*(NORMSINV($B$74*$E$46*$C$85)-(10^(D110/10)+1)*NORMSINV($B$73/($E$46*$C$85)))^2/10^(D110/5)</f>
        <v>30.81300240482627</v>
      </c>
      <c r="G110" s="242">
        <f>ROUNDUP(F110,0)/(0.01*1000)</f>
        <v>3.1</v>
      </c>
      <c r="H110" s="236"/>
      <c r="I110" s="71"/>
    </row>
    <row r="111" spans="1:9" ht="12.75">
      <c r="A111" s="116" t="s">
        <v>86</v>
      </c>
      <c r="B111" s="117">
        <f>E$61</f>
        <v>-11.068983506565878</v>
      </c>
      <c r="C111" s="117">
        <f>(4.5-1.3)*NORMSINV($C$85)</f>
        <v>5.263531606244712</v>
      </c>
      <c r="D111" s="117">
        <f t="shared" si="19"/>
        <v>-16.33251511281059</v>
      </c>
      <c r="E111" s="160">
        <f>10^(-11.2/10)</f>
        <v>0.07585775750291839</v>
      </c>
      <c r="F111" s="241">
        <f>(NORMSINV($B$74*$E$46*$C$85)-SQRT(10^(D111/10)+1)*NORMSINV($B$73/($E$46*$C$85)))^2/(E111*(10^(D111/10)))</f>
        <v>7437.388492287448</v>
      </c>
      <c r="G111" s="242">
        <f>ROUNDUP(F111,0)/($B$37*1000)</f>
        <v>1.2396666666666667</v>
      </c>
      <c r="H111" s="237"/>
      <c r="I111" s="71"/>
    </row>
    <row r="112" spans="1:9" ht="12.75">
      <c r="A112" s="116" t="s">
        <v>100</v>
      </c>
      <c r="B112" s="121">
        <f>E$61</f>
        <v>-11.068983506565878</v>
      </c>
      <c r="C112" s="71">
        <f>C109</f>
        <v>0</v>
      </c>
      <c r="D112" s="117">
        <f t="shared" si="19"/>
        <v>-11.068983506565878</v>
      </c>
      <c r="E112" s="122">
        <v>1</v>
      </c>
      <c r="F112" s="229">
        <f>(1/4)*(NORMSINV($B$74*$E$46)-SQRT(10^(D112/10)+1)*NORMSINV($B$73/$E$46))^2/(E112*(10^(D112/10)))</f>
        <v>39.643479050997335</v>
      </c>
      <c r="G112" s="119">
        <f>ROUNDUP(F112,0)*(4/$K$79)/1000</f>
        <v>0.014866796621182588</v>
      </c>
      <c r="H112" s="123">
        <f>(ROUNDUP(F112,0)*832/$K$79+4/$K$79)/1000</f>
        <v>3.0926653671215076</v>
      </c>
      <c r="I112" s="134" t="s">
        <v>67</v>
      </c>
    </row>
    <row r="113" spans="1:9" ht="12.75">
      <c r="A113" s="116" t="s">
        <v>98</v>
      </c>
      <c r="B113" s="121">
        <f>E$61</f>
        <v>-11.068983506565878</v>
      </c>
      <c r="C113" s="71">
        <f>C109</f>
        <v>0</v>
      </c>
      <c r="D113" s="117">
        <f t="shared" si="19"/>
        <v>-11.068983506565878</v>
      </c>
      <c r="E113" s="122">
        <v>1</v>
      </c>
      <c r="F113" s="229">
        <f>(1/511)*(NORMSINV($B$74*$E$46)-SQRT(10^(D113/10)+1)*NORMSINV($B$73/$E$46))^2/(E113*(10^(D113/10)))</f>
        <v>0.31032077535027264</v>
      </c>
      <c r="G113" s="119">
        <f>ROUNDUP(F113,0)*(511/$K$79)/1000</f>
        <v>0.04748083170890189</v>
      </c>
      <c r="H113" s="126">
        <f>(ROUNDUP(F113,0)*(313*832/$K$79)+511/$K$79)/1000</f>
        <v>24.24467901234568</v>
      </c>
      <c r="I113" s="121" t="s">
        <v>67</v>
      </c>
    </row>
    <row r="114" spans="1:9" ht="13.5" thickBot="1">
      <c r="A114" s="143" t="s">
        <v>99</v>
      </c>
      <c r="B114" s="146">
        <f>E$61</f>
        <v>-11.068983506565878</v>
      </c>
      <c r="C114" s="182">
        <f>C109</f>
        <v>0</v>
      </c>
      <c r="D114" s="146">
        <f t="shared" si="19"/>
        <v>-11.068983506565878</v>
      </c>
      <c r="E114" s="147">
        <v>1</v>
      </c>
      <c r="F114" s="233">
        <f>(1/(3*63))*(NORMSINV($B$74*$E$46)-SQRT(10^(D114/10)+1)*NORMSINV($B$73/$E$46))^2/(E114*(10^(D114/10)))</f>
        <v>0.8390154296507372</v>
      </c>
      <c r="G114" s="148">
        <f>ROUNDUP(F114,0)*(3*63/$K$79)/1000</f>
        <v>0.01756140350877193</v>
      </c>
      <c r="H114" s="264">
        <f>(ROUNDUP(F114,0)*(313*832/$K$79)+3*63/$K$79)/1000</f>
        <v>24.21475958414555</v>
      </c>
      <c r="I114" s="144" t="s">
        <v>67</v>
      </c>
    </row>
    <row r="115" spans="1:8" ht="12.75">
      <c r="A115" s="149"/>
      <c r="B115" s="150" t="s">
        <v>76</v>
      </c>
      <c r="C115" s="210">
        <f>$C$85</f>
        <v>0.95</v>
      </c>
      <c r="D115" s="152"/>
      <c r="E115" s="19"/>
      <c r="F115" s="153"/>
      <c r="G115" s="154"/>
      <c r="H115" s="97"/>
    </row>
    <row r="118" spans="1:9" ht="39" thickBot="1">
      <c r="A118" s="106" t="s">
        <v>57</v>
      </c>
      <c r="B118" s="107" t="s">
        <v>58</v>
      </c>
      <c r="C118" s="107" t="s">
        <v>59</v>
      </c>
      <c r="D118" s="107" t="s">
        <v>60</v>
      </c>
      <c r="E118" s="108" t="s">
        <v>62</v>
      </c>
      <c r="F118" s="108" t="s">
        <v>63</v>
      </c>
      <c r="G118" s="108" t="s">
        <v>64</v>
      </c>
      <c r="H118" s="465" t="s">
        <v>65</v>
      </c>
      <c r="I118" s="465"/>
    </row>
    <row r="119" spans="1:9" ht="12.75">
      <c r="A119" s="110" t="s">
        <v>66</v>
      </c>
      <c r="B119" s="111">
        <f>F$61</f>
        <v>-5.328983506565869</v>
      </c>
      <c r="C119" s="112">
        <v>0</v>
      </c>
      <c r="D119" s="111">
        <f aca="true" t="shared" si="20" ref="D119:D124">B119-C119</f>
        <v>-5.328983506565869</v>
      </c>
      <c r="E119" s="114"/>
      <c r="F119" s="228">
        <f>2*(NORMSINV($B$74*$F$46)-(10^(D119/10)+1)*NORMSINV($B$73/$F$46))^2/10^(D119/5)</f>
        <v>353.4754642570907</v>
      </c>
      <c r="G119" s="115">
        <f>ROUNDUP(F119,0)/($B$37*1000)</f>
        <v>0.059</v>
      </c>
      <c r="H119" s="109"/>
      <c r="I119" s="109"/>
    </row>
    <row r="120" spans="1:9" ht="12.75">
      <c r="A120" s="116" t="s">
        <v>68</v>
      </c>
      <c r="B120" s="117">
        <f>F$61-11.2+10*LOG10(F$37/0.01)</f>
        <v>11.252528997270566</v>
      </c>
      <c r="C120" s="117">
        <f>(4.5-1.3)*NORMSINV($C$85)</f>
        <v>5.263531606244712</v>
      </c>
      <c r="D120" s="117">
        <f t="shared" si="20"/>
        <v>5.988997391025855</v>
      </c>
      <c r="E120" s="240"/>
      <c r="F120" s="241">
        <f>2*(NORMSINV($B$74*$F$46*$C$85)-(10^(D120/10)+1)*NORMSINV($B$73/($F$46*$C$85)))^2/10^(D120/5)</f>
        <v>5.7158943928245485</v>
      </c>
      <c r="G120" s="242">
        <f>ROUNDUP(F120,0)/(0.01*1000)</f>
        <v>0.6</v>
      </c>
      <c r="H120" s="236"/>
      <c r="I120" s="71"/>
    </row>
    <row r="121" spans="1:9" ht="12.75">
      <c r="A121" s="116" t="s">
        <v>86</v>
      </c>
      <c r="B121" s="117">
        <f>F$61</f>
        <v>-5.328983506565869</v>
      </c>
      <c r="C121" s="117">
        <f>(4.5-1.3)*NORMSINV($C$85)</f>
        <v>5.263531606244712</v>
      </c>
      <c r="D121" s="117">
        <f t="shared" si="20"/>
        <v>-10.592515112810581</v>
      </c>
      <c r="E121" s="160">
        <f>10^(-11.2/10)</f>
        <v>0.07585775750291839</v>
      </c>
      <c r="F121" s="241">
        <f>(NORMSINV($B$74*$F$46*$C$85)-SQRT(10^(D121/10)+1)*NORMSINV($B$73/($F$46*$C$85)))^2/(E121*(10^(D121/10)))</f>
        <v>2281.933762119375</v>
      </c>
      <c r="G121" s="242">
        <f>ROUNDUP(F121,0)/($B$37*1000)</f>
        <v>0.38033333333333336</v>
      </c>
      <c r="H121" s="237"/>
      <c r="I121" s="71"/>
    </row>
    <row r="122" spans="1:9" ht="12.75">
      <c r="A122" s="116" t="s">
        <v>100</v>
      </c>
      <c r="B122" s="121">
        <f>F$61</f>
        <v>-5.328983506565869</v>
      </c>
      <c r="C122" s="71">
        <f>C119</f>
        <v>0</v>
      </c>
      <c r="D122" s="117">
        <f t="shared" si="20"/>
        <v>-5.328983506565869</v>
      </c>
      <c r="E122" s="122">
        <v>1</v>
      </c>
      <c r="F122" s="229">
        <f>(1/4)*(NORMSINV($B$74*$F$46)-SQRT(10^(D122/10)+1)*NORMSINV($B$73/$F$46))^2/(E122*(10^(D122/10)))</f>
        <v>12.337840470050008</v>
      </c>
      <c r="G122" s="119">
        <f>ROUNDUP(F122,0)*(4/$K$79)/1000</f>
        <v>0.004831708901884341</v>
      </c>
      <c r="H122" s="123">
        <f>(ROUNDUP(F122,0)*832/$K$79+4/$K$79)/1000</f>
        <v>1.0053671215074724</v>
      </c>
      <c r="I122" s="134" t="s">
        <v>67</v>
      </c>
    </row>
    <row r="123" spans="1:9" ht="12.75">
      <c r="A123" s="116" t="s">
        <v>98</v>
      </c>
      <c r="B123" s="121">
        <f>F$61</f>
        <v>-5.328983506565869</v>
      </c>
      <c r="C123" s="71">
        <f>C119</f>
        <v>0</v>
      </c>
      <c r="D123" s="117">
        <f t="shared" si="20"/>
        <v>-5.328983506565869</v>
      </c>
      <c r="E123" s="122">
        <v>1</v>
      </c>
      <c r="F123" s="229">
        <f>(1/511)*(NORMSINV($B$74*$F$46)-SQRT(10^(D123/10)+1)*NORMSINV($B$73/$F$46))^2/(E123*(10^(D123/10)))</f>
        <v>0.09657800759334643</v>
      </c>
      <c r="G123" s="119">
        <f>ROUNDUP(F123,0)*(511/$K$79)/1000</f>
        <v>0.04748083170890189</v>
      </c>
      <c r="H123" s="126">
        <f>(ROUNDUP(F123,0)*(313*832/$K$79)+511/$K$79)/1000</f>
        <v>24.24467901234568</v>
      </c>
      <c r="I123" s="121" t="s">
        <v>67</v>
      </c>
    </row>
    <row r="124" spans="1:9" ht="13.5" thickBot="1">
      <c r="A124" s="143" t="s">
        <v>99</v>
      </c>
      <c r="B124" s="146">
        <f>F$61</f>
        <v>-5.328983506565869</v>
      </c>
      <c r="C124" s="182">
        <f>C119</f>
        <v>0</v>
      </c>
      <c r="D124" s="146">
        <f t="shared" si="20"/>
        <v>-5.328983506565869</v>
      </c>
      <c r="E124" s="147">
        <v>1</v>
      </c>
      <c r="F124" s="233">
        <f>(1/(3*63))*(NORMSINV($B$74*$F$46)-SQRT(10^(D124/10)+1)*NORMSINV($B$73/$F$46))^2/(E124*(10^(D124/10)))</f>
        <v>0.26111831682645514</v>
      </c>
      <c r="G124" s="148">
        <f>ROUNDUP(F124,0)*(3*63/$K$79)/1000</f>
        <v>0.01756140350877193</v>
      </c>
      <c r="H124" s="264">
        <f>(ROUNDUP(F124,0)*(313*832/$K$79)+3*63/$K$79)/1000</f>
        <v>24.21475958414555</v>
      </c>
      <c r="I124" s="144" t="s">
        <v>67</v>
      </c>
    </row>
    <row r="125" spans="1:8" ht="12.75">
      <c r="A125" s="149"/>
      <c r="B125" s="150" t="s">
        <v>76</v>
      </c>
      <c r="C125" s="210">
        <f>$C$85</f>
        <v>0.95</v>
      </c>
      <c r="D125" s="152"/>
      <c r="E125" s="19"/>
      <c r="F125" s="153"/>
      <c r="G125" s="154"/>
      <c r="H125" s="97"/>
    </row>
    <row r="128" spans="1:9" ht="39" thickBot="1">
      <c r="A128" s="106" t="s">
        <v>57</v>
      </c>
      <c r="B128" s="107" t="s">
        <v>58</v>
      </c>
      <c r="C128" s="107" t="s">
        <v>59</v>
      </c>
      <c r="D128" s="107" t="s">
        <v>60</v>
      </c>
      <c r="E128" s="108" t="s">
        <v>62</v>
      </c>
      <c r="F128" s="108" t="s">
        <v>63</v>
      </c>
      <c r="G128" s="108" t="s">
        <v>64</v>
      </c>
      <c r="H128" s="465" t="s">
        <v>65</v>
      </c>
      <c r="I128" s="465"/>
    </row>
    <row r="129" spans="1:9" ht="12.75">
      <c r="A129" s="110" t="s">
        <v>66</v>
      </c>
      <c r="B129" s="111">
        <f>G$61</f>
        <v>-1.9889835065658943</v>
      </c>
      <c r="C129" s="112">
        <v>0</v>
      </c>
      <c r="D129" s="111">
        <f aca="true" t="shared" si="21" ref="D129:D134">B129-C129</f>
        <v>-1.9889835065658943</v>
      </c>
      <c r="E129" s="114"/>
      <c r="F129" s="228">
        <f>2*(NORMSINV($B$74*$G$46)-(10^(D129/10)+1)*NORMSINV($B$73/$G$46))^2/10^(D129/5)</f>
        <v>126.00451654791436</v>
      </c>
      <c r="G129" s="115">
        <f>ROUNDUP(F129,0)/($B$37*1000)</f>
        <v>0.021166666666666667</v>
      </c>
      <c r="H129" s="109"/>
      <c r="I129" s="109"/>
    </row>
    <row r="130" spans="1:9" ht="12.75">
      <c r="A130" s="116" t="s">
        <v>68</v>
      </c>
      <c r="B130" s="117">
        <f>G$61-11.2+10*LOG10(G$37/0.01)</f>
        <v>14.592528997270541</v>
      </c>
      <c r="C130" s="117">
        <f>(4.5-1.3)*NORMSINV($C$85)</f>
        <v>5.263531606244712</v>
      </c>
      <c r="D130" s="117">
        <f t="shared" si="21"/>
        <v>9.32899739102583</v>
      </c>
      <c r="E130" s="240"/>
      <c r="F130" s="241">
        <f>2*(NORMSINV($B$74*$G$46*$C$85)-(10^(D130/10)+1)*NORMSINV($B$73/($G$46*$C$85)))^2/10^(D130/5)</f>
        <v>7.357858074844277</v>
      </c>
      <c r="G130" s="242">
        <f>ROUNDUP(F130,0)/(0.01*1000)</f>
        <v>0.8</v>
      </c>
      <c r="H130" s="236"/>
      <c r="I130" s="71"/>
    </row>
    <row r="131" spans="1:9" ht="12.75">
      <c r="A131" s="116" t="s">
        <v>86</v>
      </c>
      <c r="B131" s="117">
        <f>G$61</f>
        <v>-1.9889835065658943</v>
      </c>
      <c r="C131" s="117">
        <f>(4.5-1.3)*NORMSINV($C$85)</f>
        <v>5.263531606244712</v>
      </c>
      <c r="D131" s="117">
        <f t="shared" si="21"/>
        <v>-7.252515112810606</v>
      </c>
      <c r="E131" s="160">
        <f>10^(-11.2/10)</f>
        <v>0.07585775750291839</v>
      </c>
      <c r="F131" s="241">
        <f>(NORMSINV($B$74*$G$46*$C$85)-SQRT(10^(D131/10)+1)*NORMSINV($B$73/($G$46*$C$85)))^2/(E131*(10^(D131/10)))</f>
        <v>1545.4653733505563</v>
      </c>
      <c r="G131" s="242">
        <f>ROUNDUP(F131,0)/($B$37*1000)</f>
        <v>0.25766666666666665</v>
      </c>
      <c r="H131" s="237"/>
      <c r="I131" s="71"/>
    </row>
    <row r="132" spans="1:9" ht="12.75">
      <c r="A132" s="116" t="s">
        <v>100</v>
      </c>
      <c r="B132" s="121">
        <f>G$61</f>
        <v>-1.9889835065658943</v>
      </c>
      <c r="C132" s="71">
        <f>C129</f>
        <v>0</v>
      </c>
      <c r="D132" s="117">
        <f t="shared" si="21"/>
        <v>-1.9889835065658943</v>
      </c>
      <c r="E132" s="122">
        <v>1</v>
      </c>
      <c r="F132" s="229">
        <f>(1/4)*(NORMSINV($B$74*$G$46)-SQRT(10^(D132/10)+1)*NORMSINV($B$73/$G$46))^2/(E132*(10^(D132/10)))</f>
        <v>8.433748222387104</v>
      </c>
      <c r="G132" s="119">
        <f>ROUNDUP(F132,0)*(4/$K$79)/1000</f>
        <v>0.0033450292397660822</v>
      </c>
      <c r="H132" s="123">
        <f>(ROUNDUP(F132,0)*832/$K$79+4/$K$79)/1000</f>
        <v>0.6961377517868745</v>
      </c>
      <c r="I132" s="134" t="s">
        <v>67</v>
      </c>
    </row>
    <row r="133" spans="1:9" ht="12.75">
      <c r="A133" s="116" t="s">
        <v>98</v>
      </c>
      <c r="B133" s="121">
        <f>G$61</f>
        <v>-1.9889835065658943</v>
      </c>
      <c r="C133" s="71">
        <f>C129</f>
        <v>0</v>
      </c>
      <c r="D133" s="117">
        <f t="shared" si="21"/>
        <v>-1.9889835065658943</v>
      </c>
      <c r="E133" s="122">
        <v>1</v>
      </c>
      <c r="F133" s="229">
        <f>(1/511)*(NORMSINV($B$74*$G$46)-SQRT(10^(D133/10)+1)*NORMSINV($B$73/$G$46))^2/(E133*(10^(D133/10)))</f>
        <v>0.06601759860968379</v>
      </c>
      <c r="G133" s="119">
        <f>ROUNDUP(F133,0)*(511/$K$79)/1000</f>
        <v>0.04748083170890189</v>
      </c>
      <c r="H133" s="126">
        <f>(ROUNDUP(F133,0)*(313*832/$K$79)+511/$K$79)/1000</f>
        <v>24.24467901234568</v>
      </c>
      <c r="I133" s="121" t="s">
        <v>67</v>
      </c>
    </row>
    <row r="134" spans="1:9" ht="13.5" thickBot="1">
      <c r="A134" s="143" t="s">
        <v>99</v>
      </c>
      <c r="B134" s="146">
        <f>G$61</f>
        <v>-1.9889835065658943</v>
      </c>
      <c r="C134" s="182">
        <f>C129</f>
        <v>0</v>
      </c>
      <c r="D134" s="146">
        <f t="shared" si="21"/>
        <v>-1.9889835065658943</v>
      </c>
      <c r="E134" s="147">
        <v>1</v>
      </c>
      <c r="F134" s="233">
        <f>(1/(3*63))*(NORMSINV($B$74*$G$46)-SQRT(10^(D134/10)+1)*NORMSINV($B$73/$G$46))^2/(E134*(10^(D134/10)))</f>
        <v>0.17849202587062654</v>
      </c>
      <c r="G134" s="148">
        <f>ROUNDUP(F134,0)*(3*63/$K$79)/1000</f>
        <v>0.01756140350877193</v>
      </c>
      <c r="H134" s="264">
        <f>(ROUNDUP(F134,0)*(313*832/$K$79)+3*63/$K$79)/1000</f>
        <v>24.21475958414555</v>
      </c>
      <c r="I134" s="144" t="s">
        <v>67</v>
      </c>
    </row>
    <row r="135" spans="1:8" ht="12.75">
      <c r="A135" s="149"/>
      <c r="B135" s="150" t="s">
        <v>76</v>
      </c>
      <c r="C135" s="210">
        <f>$C$85</f>
        <v>0.95</v>
      </c>
      <c r="D135" s="152"/>
      <c r="E135" s="19"/>
      <c r="F135" s="153"/>
      <c r="G135" s="154"/>
      <c r="H135" s="97"/>
    </row>
    <row r="136" ht="12.75">
      <c r="F136" s="223"/>
    </row>
    <row r="138" spans="1:9" ht="39" thickBot="1">
      <c r="A138" s="106" t="s">
        <v>57</v>
      </c>
      <c r="B138" s="107" t="s">
        <v>58</v>
      </c>
      <c r="C138" s="107" t="s">
        <v>59</v>
      </c>
      <c r="D138" s="107" t="s">
        <v>60</v>
      </c>
      <c r="E138" s="108" t="s">
        <v>62</v>
      </c>
      <c r="F138" s="108" t="s">
        <v>63</v>
      </c>
      <c r="G138" s="108" t="s">
        <v>64</v>
      </c>
      <c r="H138" s="465" t="s">
        <v>65</v>
      </c>
      <c r="I138" s="465"/>
    </row>
    <row r="139" spans="1:9" ht="12.75">
      <c r="A139" s="110" t="s">
        <v>66</v>
      </c>
      <c r="B139" s="111">
        <f>H$61</f>
        <v>1.7210164934341137</v>
      </c>
      <c r="C139" s="112">
        <v>0</v>
      </c>
      <c r="D139" s="111">
        <f aca="true" t="shared" si="22" ref="D139:D144">B139-C139</f>
        <v>1.7210164934341137</v>
      </c>
      <c r="E139" s="114"/>
      <c r="F139" s="228" t="e">
        <f>2*(NORMSINV($B$74*$H$46)-(10^(D139/10)+1)*NORMSINV($B$73/$H$46))^2/10^(D139/5)</f>
        <v>#NUM!</v>
      </c>
      <c r="G139" s="115" t="e">
        <f>ROUNDUP(F139,0)/($B$37*1000)</f>
        <v>#NUM!</v>
      </c>
      <c r="H139" s="109"/>
      <c r="I139" s="109"/>
    </row>
    <row r="140" spans="1:9" ht="12.75">
      <c r="A140" s="116" t="s">
        <v>68</v>
      </c>
      <c r="B140" s="117">
        <f>H$61-11.2+10*LOG10(H$37/0.01)</f>
        <v>18.30252899727055</v>
      </c>
      <c r="C140" s="117">
        <f>(4.5-1.3)*NORMSINV($C$85)</f>
        <v>5.263531606244712</v>
      </c>
      <c r="D140" s="117">
        <f t="shared" si="22"/>
        <v>13.038997391025838</v>
      </c>
      <c r="E140" s="240"/>
      <c r="F140" s="241" t="e">
        <f>2*(NORMSINV($B$74*$H$46*$C$85)-(10^(D140/10)+1)*NORMSINV($B$73/($H$46*$C$85)))^2/10^(D140/5)</f>
        <v>#NUM!</v>
      </c>
      <c r="G140" s="242" t="e">
        <f>ROUNDUP(F140,0)/(0.01*1000)</f>
        <v>#NUM!</v>
      </c>
      <c r="H140" s="236"/>
      <c r="I140" s="71"/>
    </row>
    <row r="141" spans="1:9" ht="12.75">
      <c r="A141" s="116" t="s">
        <v>86</v>
      </c>
      <c r="B141" s="117">
        <f>H$61</f>
        <v>1.7210164934341137</v>
      </c>
      <c r="C141" s="117">
        <f>(4.5-1.3)*NORMSINV($C$85)</f>
        <v>5.263531606244712</v>
      </c>
      <c r="D141" s="117">
        <f t="shared" si="22"/>
        <v>-3.542515112810598</v>
      </c>
      <c r="E141" s="160">
        <f>10^(-11.2/10)</f>
        <v>0.07585775750291839</v>
      </c>
      <c r="F141" s="241" t="e">
        <f>(NORMSINV($B$74*$H$46*$C$85)-SQRT(10^(D141/10)+1)*NORMSINV($B$73/($H$46*$C$85)))^2/(E141*(10^(D141/10)))</f>
        <v>#NUM!</v>
      </c>
      <c r="G141" s="242" t="e">
        <f>ROUNDUP(F141,0)/($B$37*1000)</f>
        <v>#NUM!</v>
      </c>
      <c r="H141" s="237"/>
      <c r="I141" s="71"/>
    </row>
    <row r="142" spans="1:9" ht="12.75">
      <c r="A142" s="116" t="s">
        <v>100</v>
      </c>
      <c r="B142" s="121">
        <f>H$61</f>
        <v>1.7210164934341137</v>
      </c>
      <c r="C142" s="71">
        <f>C139</f>
        <v>0</v>
      </c>
      <c r="D142" s="117">
        <f t="shared" si="22"/>
        <v>1.7210164934341137</v>
      </c>
      <c r="E142" s="122">
        <v>1</v>
      </c>
      <c r="F142" s="229" t="e">
        <f>(1/4)*(NORMSINV($B$74*$H$46)-SQRT(10^(D142/10)+1)*NORMSINV($B$73/$H$46))^2/(E142*(10^(D142/10)))</f>
        <v>#NUM!</v>
      </c>
      <c r="G142" s="119" t="e">
        <f>ROUNDUP(F142,0)*(4/$K$79)/1000</f>
        <v>#NUM!</v>
      </c>
      <c r="H142" s="123" t="e">
        <f>(ROUNDUP(F142,0)*832/$K$79+4/$K$79)/1000</f>
        <v>#NUM!</v>
      </c>
      <c r="I142" s="134" t="s">
        <v>67</v>
      </c>
    </row>
    <row r="143" spans="1:9" ht="12.75">
      <c r="A143" s="116" t="s">
        <v>98</v>
      </c>
      <c r="B143" s="121">
        <f>H$61</f>
        <v>1.7210164934341137</v>
      </c>
      <c r="C143" s="71">
        <f>C139</f>
        <v>0</v>
      </c>
      <c r="D143" s="117">
        <f t="shared" si="22"/>
        <v>1.7210164934341137</v>
      </c>
      <c r="E143" s="122">
        <v>1</v>
      </c>
      <c r="F143" s="229" t="e">
        <f>(1/511)*(NORMSINV($B$74*$H$46)-SQRT(10^(D143/10)+1)*NORMSINV($B$73/$H$46))^2/(E143*(10^(D143/10)))</f>
        <v>#NUM!</v>
      </c>
      <c r="G143" s="119" t="e">
        <f>ROUNDUP(F143,0)*(511/$K$79)/1000</f>
        <v>#NUM!</v>
      </c>
      <c r="H143" s="126" t="e">
        <f>(ROUNDUP(F143,0)*(313*832/$K$79)+511/$K$79)/1000</f>
        <v>#NUM!</v>
      </c>
      <c r="I143" s="121" t="s">
        <v>67</v>
      </c>
    </row>
    <row r="144" spans="1:9" ht="13.5" thickBot="1">
      <c r="A144" s="143" t="s">
        <v>99</v>
      </c>
      <c r="B144" s="146">
        <f>H$61</f>
        <v>1.7210164934341137</v>
      </c>
      <c r="C144" s="182">
        <f>C139</f>
        <v>0</v>
      </c>
      <c r="D144" s="146">
        <f t="shared" si="22"/>
        <v>1.7210164934341137</v>
      </c>
      <c r="E144" s="147">
        <v>1</v>
      </c>
      <c r="F144" s="233" t="e">
        <f>(1/(3*63))*(NORMSINV($B$74*$H$46)-SQRT(10^(D144/10)+1)*NORMSINV($B$73/$H$46))^2/(E144*(10^(D144/10)))</f>
        <v>#NUM!</v>
      </c>
      <c r="G144" s="148" t="e">
        <f>ROUNDUP(F144,0)*(3*63/$K$79)/1000</f>
        <v>#NUM!</v>
      </c>
      <c r="H144" s="264" t="e">
        <f>(ROUNDUP(F144,0)*(313*832/$K$79)+3*63/$K$79)/1000</f>
        <v>#NUM!</v>
      </c>
      <c r="I144" s="144" t="s">
        <v>67</v>
      </c>
    </row>
    <row r="145" spans="1:8" ht="12.75">
      <c r="A145" s="149"/>
      <c r="B145" s="150" t="s">
        <v>76</v>
      </c>
      <c r="C145" s="210">
        <f>$C$85</f>
        <v>0.95</v>
      </c>
      <c r="D145" s="152"/>
      <c r="E145" s="19"/>
      <c r="F145" s="153"/>
      <c r="G145" s="154"/>
      <c r="H145" s="97"/>
    </row>
    <row r="148" spans="5:7" ht="12.75">
      <c r="E148" s="330">
        <f>$B$73</f>
        <v>0.6534275784224267</v>
      </c>
      <c r="G148" s="328">
        <f>$H$46</f>
        <v>0.5002048487762276</v>
      </c>
    </row>
    <row r="149" ht="12.75">
      <c r="F149" s="329">
        <f>$B$73/$H$46</f>
        <v>1.306319960754209</v>
      </c>
    </row>
  </sheetData>
  <mergeCells count="17">
    <mergeCell ref="H98:I98"/>
    <mergeCell ref="B35:H35"/>
    <mergeCell ref="A77:E77"/>
    <mergeCell ref="B68:D68"/>
    <mergeCell ref="B72:D72"/>
    <mergeCell ref="H78:I78"/>
    <mergeCell ref="H88:I88"/>
    <mergeCell ref="A1:J1"/>
    <mergeCell ref="H138:I138"/>
    <mergeCell ref="A3:H3"/>
    <mergeCell ref="I5:J5"/>
    <mergeCell ref="I22:J22"/>
    <mergeCell ref="A20:H20"/>
    <mergeCell ref="H108:I108"/>
    <mergeCell ref="H118:I118"/>
    <mergeCell ref="H128:I128"/>
    <mergeCell ref="B48:H4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64"/>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436" t="s">
        <v>129</v>
      </c>
      <c r="B1" s="436"/>
      <c r="C1" s="436"/>
      <c r="D1" s="436"/>
      <c r="E1" s="436"/>
      <c r="F1" s="436"/>
      <c r="G1" s="436"/>
      <c r="H1" s="436"/>
      <c r="I1" s="436"/>
      <c r="J1" s="436"/>
    </row>
    <row r="3" ht="13.5" thickBot="1"/>
    <row r="4" spans="1:9" ht="12.75">
      <c r="A4" s="370" t="s">
        <v>131</v>
      </c>
      <c r="B4" s="344">
        <v>1</v>
      </c>
      <c r="C4" s="344">
        <v>2</v>
      </c>
      <c r="D4" s="344">
        <v>3</v>
      </c>
      <c r="E4" s="344">
        <v>4</v>
      </c>
      <c r="F4" s="344">
        <v>5</v>
      </c>
      <c r="G4" s="344">
        <v>6</v>
      </c>
      <c r="H4" s="344">
        <v>7</v>
      </c>
      <c r="I4" s="345">
        <v>8</v>
      </c>
    </row>
    <row r="5" spans="1:9" ht="12.75">
      <c r="A5" s="494" t="s">
        <v>130</v>
      </c>
      <c r="B5" s="355">
        <v>0.99</v>
      </c>
      <c r="C5" s="338">
        <f>1-(1-$B5)^(1/C$4)</f>
        <v>0.8999999999999999</v>
      </c>
      <c r="D5" s="338">
        <f aca="true" t="shared" si="0" ref="D5:I8">1-(1-$B5)^(1/D$4)</f>
        <v>0.7845565309968116</v>
      </c>
      <c r="E5" s="338">
        <f t="shared" si="0"/>
        <v>0.683772233983162</v>
      </c>
      <c r="F5" s="338">
        <f t="shared" si="0"/>
        <v>0.6018928294465027</v>
      </c>
      <c r="G5" s="338">
        <f t="shared" si="0"/>
        <v>0.535841116638722</v>
      </c>
      <c r="H5" s="338">
        <f t="shared" si="0"/>
        <v>0.4820525320768788</v>
      </c>
      <c r="I5" s="339">
        <f t="shared" si="0"/>
        <v>0.4376586748096509</v>
      </c>
    </row>
    <row r="6" spans="1:9" ht="12.75">
      <c r="A6" s="495"/>
      <c r="B6" s="338">
        <v>0.999</v>
      </c>
      <c r="C6" s="358">
        <f>1-(1-$B6)^(1/C$4)</f>
        <v>0.9683772233983162</v>
      </c>
      <c r="D6" s="338">
        <f t="shared" si="0"/>
        <v>0.8999999999999999</v>
      </c>
      <c r="E6" s="338">
        <f t="shared" si="0"/>
        <v>0.8221720589961077</v>
      </c>
      <c r="F6" s="338">
        <f t="shared" si="0"/>
        <v>0.748811356849042</v>
      </c>
      <c r="G6" s="338">
        <f t="shared" si="0"/>
        <v>0.683772233983162</v>
      </c>
      <c r="H6" s="338">
        <f t="shared" si="0"/>
        <v>0.6272406279685059</v>
      </c>
      <c r="I6" s="339">
        <f t="shared" si="0"/>
        <v>0.5783034965714178</v>
      </c>
    </row>
    <row r="7" spans="1:9" ht="12.75">
      <c r="A7" s="495"/>
      <c r="B7" s="358">
        <v>0.9999</v>
      </c>
      <c r="C7" s="358">
        <f>1-(1-$B7)^(1/C$4)</f>
        <v>0.9900000000000005</v>
      </c>
      <c r="D7" s="358">
        <f t="shared" si="0"/>
        <v>0.9535841116638739</v>
      </c>
      <c r="E7" s="338">
        <f t="shared" si="0"/>
        <v>0.9000000000000028</v>
      </c>
      <c r="F7" s="338">
        <f t="shared" si="0"/>
        <v>0.8415106807538921</v>
      </c>
      <c r="G7" s="338">
        <f t="shared" si="0"/>
        <v>0.7845565309968155</v>
      </c>
      <c r="H7" s="338">
        <f t="shared" si="0"/>
        <v>0.7317304204720316</v>
      </c>
      <c r="I7" s="339">
        <f t="shared" si="0"/>
        <v>0.6837722339831664</v>
      </c>
    </row>
    <row r="8" spans="1:9" ht="13.5" thickBot="1">
      <c r="A8" s="496"/>
      <c r="B8" s="367">
        <v>0.99999</v>
      </c>
      <c r="C8" s="367">
        <f>1-(1-$B8)^(1/C$4)</f>
        <v>0.9968377223398388</v>
      </c>
      <c r="D8" s="371">
        <f t="shared" si="0"/>
        <v>0.9784556530997138</v>
      </c>
      <c r="E8" s="371">
        <f t="shared" si="0"/>
        <v>0.9437658674810291</v>
      </c>
      <c r="F8" s="368">
        <f t="shared" si="0"/>
        <v>0.9000000000000911</v>
      </c>
      <c r="G8" s="368">
        <f t="shared" si="0"/>
        <v>0.8532200732379044</v>
      </c>
      <c r="H8" s="368">
        <f t="shared" si="0"/>
        <v>0.8069302271118005</v>
      </c>
      <c r="I8" s="369">
        <f t="shared" si="0"/>
        <v>0.7628626294339693</v>
      </c>
    </row>
    <row r="11" spans="1:4" ht="12.75">
      <c r="A11" s="361" t="s">
        <v>118</v>
      </c>
      <c r="B11" s="362">
        <v>0.99</v>
      </c>
      <c r="C11" s="349"/>
      <c r="D11" s="357"/>
    </row>
    <row r="12" spans="1:4" ht="12.75">
      <c r="A12" s="350" t="s">
        <v>123</v>
      </c>
      <c r="B12" s="358">
        <f>1-(1-B11)*B14</f>
        <v>0.991</v>
      </c>
      <c r="C12" s="351"/>
      <c r="D12" s="357"/>
    </row>
    <row r="13" spans="1:3" ht="12.75">
      <c r="A13" s="350" t="s">
        <v>120</v>
      </c>
      <c r="B13" s="356">
        <v>41</v>
      </c>
      <c r="C13" s="351" t="s">
        <v>41</v>
      </c>
    </row>
    <row r="14" spans="1:3" ht="12.75">
      <c r="A14" s="350" t="s">
        <v>121</v>
      </c>
      <c r="B14" s="355">
        <v>0.9</v>
      </c>
      <c r="C14" s="351"/>
    </row>
    <row r="15" spans="1:3" ht="12.75">
      <c r="A15" s="350" t="s">
        <v>122</v>
      </c>
      <c r="B15" s="355">
        <v>0.5</v>
      </c>
      <c r="C15" s="351"/>
    </row>
    <row r="16" spans="1:3" ht="12.75">
      <c r="A16" s="352" t="s">
        <v>119</v>
      </c>
      <c r="B16" s="353">
        <v>5.5</v>
      </c>
      <c r="C16" s="354" t="s">
        <v>20</v>
      </c>
    </row>
    <row r="17" ht="13.5" thickBot="1">
      <c r="B17" s="337"/>
    </row>
    <row r="18" spans="1:9" ht="12.75">
      <c r="A18" s="346" t="s">
        <v>92</v>
      </c>
      <c r="B18" s="344">
        <v>1</v>
      </c>
      <c r="C18" s="344">
        <v>2</v>
      </c>
      <c r="D18" s="344">
        <v>3</v>
      </c>
      <c r="E18" s="344">
        <v>4</v>
      </c>
      <c r="F18" s="344">
        <v>5</v>
      </c>
      <c r="G18" s="344">
        <v>6</v>
      </c>
      <c r="H18" s="344">
        <v>7</v>
      </c>
      <c r="I18" s="345">
        <v>8</v>
      </c>
    </row>
    <row r="19" spans="1:9" ht="12.75">
      <c r="A19" s="347" t="s">
        <v>123</v>
      </c>
      <c r="B19" s="338">
        <f>1-(1-$B12)^(1/B$18)</f>
        <v>0.991</v>
      </c>
      <c r="C19" s="338">
        <f aca="true" t="shared" si="1" ref="C19:I19">1-(1-$B12)^(1/C$18)</f>
        <v>0.9051316701949486</v>
      </c>
      <c r="D19" s="338">
        <f t="shared" si="1"/>
        <v>0.7919916176948095</v>
      </c>
      <c r="E19" s="338">
        <f t="shared" si="1"/>
        <v>0.6919929711758976</v>
      </c>
      <c r="F19" s="338">
        <f t="shared" si="1"/>
        <v>0.610194015908381</v>
      </c>
      <c r="G19" s="338">
        <f t="shared" si="1"/>
        <v>0.5439206403429437</v>
      </c>
      <c r="H19" s="338">
        <f t="shared" si="1"/>
        <v>0.48979004289247674</v>
      </c>
      <c r="I19" s="339">
        <f t="shared" si="1"/>
        <v>0.4450161904847112</v>
      </c>
    </row>
    <row r="20" spans="1:9" ht="27.75" customHeight="1">
      <c r="A20" s="347" t="s">
        <v>124</v>
      </c>
      <c r="B20" s="340">
        <f>$B16*NORMSINV(B19)</f>
        <v>13.010899697753615</v>
      </c>
      <c r="C20" s="340">
        <f aca="true" t="shared" si="2" ref="C20:I20">$B16*NORMSINV(C19)</f>
        <v>7.2124719627850835</v>
      </c>
      <c r="D20" s="340">
        <f t="shared" si="2"/>
        <v>4.4734312659890225</v>
      </c>
      <c r="E20" s="340">
        <f t="shared" si="2"/>
        <v>2.758290805911542</v>
      </c>
      <c r="F20" s="340">
        <f t="shared" si="2"/>
        <v>1.539036082052069</v>
      </c>
      <c r="G20" s="340">
        <f t="shared" si="2"/>
        <v>0.6067383414279055</v>
      </c>
      <c r="H20" s="340">
        <f t="shared" si="2"/>
        <v>-0.14077448867297032</v>
      </c>
      <c r="I20" s="341">
        <f t="shared" si="2"/>
        <v>-0.7604477900071497</v>
      </c>
    </row>
    <row r="21" spans="1:9" ht="27" customHeight="1">
      <c r="A21" s="347" t="s">
        <v>125</v>
      </c>
      <c r="B21" s="340">
        <f>$B13-B20</f>
        <v>27.989100302246385</v>
      </c>
      <c r="C21" s="340">
        <f aca="true" t="shared" si="3" ref="C21:I21">$B13-C20</f>
        <v>33.78752803721492</v>
      </c>
      <c r="D21" s="340">
        <f t="shared" si="3"/>
        <v>36.52656873401098</v>
      </c>
      <c r="E21" s="340">
        <f t="shared" si="3"/>
        <v>38.24170919408846</v>
      </c>
      <c r="F21" s="340">
        <f t="shared" si="3"/>
        <v>39.46096391794793</v>
      </c>
      <c r="G21" s="340">
        <f t="shared" si="3"/>
        <v>40.393261658572094</v>
      </c>
      <c r="H21" s="340">
        <f t="shared" si="3"/>
        <v>41.14077448867297</v>
      </c>
      <c r="I21" s="341">
        <f t="shared" si="3"/>
        <v>41.76044779000715</v>
      </c>
    </row>
    <row r="22" spans="1:9" ht="27" customHeight="1" thickBot="1">
      <c r="A22" s="348" t="s">
        <v>126</v>
      </c>
      <c r="B22" s="342">
        <f>B21-'Sensing time'!$B$10+'Sensing time'!$B$5</f>
        <v>-105.06627652424618</v>
      </c>
      <c r="C22" s="342">
        <f>C21-'Sensing time'!$B$10+'Sensing time'!$B$5</f>
        <v>-99.26784878927765</v>
      </c>
      <c r="D22" s="342">
        <f>D21-'Sensing time'!$B$10+'Sensing time'!$B$5</f>
        <v>-96.52880809248158</v>
      </c>
      <c r="E22" s="342">
        <f>E21-'Sensing time'!$B$10+'Sensing time'!$B$5</f>
        <v>-94.8136676324041</v>
      </c>
      <c r="F22" s="342">
        <f>F21-'Sensing time'!$B$10+'Sensing time'!$B$5</f>
        <v>-93.59441290854463</v>
      </c>
      <c r="G22" s="342">
        <f>G21-'Sensing time'!$B$10+'Sensing time'!$B$5</f>
        <v>-92.66211516792046</v>
      </c>
      <c r="H22" s="342">
        <f>H21-'Sensing time'!$B$10+'Sensing time'!$B$5</f>
        <v>-91.91460233781959</v>
      </c>
      <c r="I22" s="343">
        <f>I21-'Sensing time'!$B$10+'Sensing time'!$B$5</f>
        <v>-91.29492903648541</v>
      </c>
    </row>
    <row r="25" spans="1:4" ht="12.75">
      <c r="A25" s="361" t="s">
        <v>118</v>
      </c>
      <c r="B25" s="362">
        <v>0.999</v>
      </c>
      <c r="C25" s="349"/>
      <c r="D25" s="357"/>
    </row>
    <row r="26" spans="1:4" ht="12.75">
      <c r="A26" s="350" t="s">
        <v>123</v>
      </c>
      <c r="B26" s="358">
        <f>1-(1-B25)*B28</f>
        <v>0.9991</v>
      </c>
      <c r="C26" s="351"/>
      <c r="D26" s="357"/>
    </row>
    <row r="27" spans="1:3" ht="12.75">
      <c r="A27" s="350" t="s">
        <v>120</v>
      </c>
      <c r="B27" s="356">
        <v>41</v>
      </c>
      <c r="C27" s="351" t="s">
        <v>41</v>
      </c>
    </row>
    <row r="28" spans="1:3" ht="12.75">
      <c r="A28" s="350" t="s">
        <v>121</v>
      </c>
      <c r="B28" s="355">
        <v>0.9</v>
      </c>
      <c r="C28" s="351"/>
    </row>
    <row r="29" spans="1:3" ht="12.75">
      <c r="A29" s="350" t="s">
        <v>122</v>
      </c>
      <c r="B29" s="355">
        <v>0.5</v>
      </c>
      <c r="C29" s="351"/>
    </row>
    <row r="30" spans="1:3" ht="12.75">
      <c r="A30" s="352" t="s">
        <v>119</v>
      </c>
      <c r="B30" s="353">
        <v>5.5</v>
      </c>
      <c r="C30" s="354" t="s">
        <v>20</v>
      </c>
    </row>
    <row r="31" ht="13.5" thickBot="1">
      <c r="B31" s="337"/>
    </row>
    <row r="32" spans="1:9" ht="12.75">
      <c r="A32" s="346" t="s">
        <v>92</v>
      </c>
      <c r="B32" s="344">
        <v>1</v>
      </c>
      <c r="C32" s="344">
        <v>2</v>
      </c>
      <c r="D32" s="344">
        <v>3</v>
      </c>
      <c r="E32" s="344">
        <v>4</v>
      </c>
      <c r="F32" s="344">
        <v>5</v>
      </c>
      <c r="G32" s="344">
        <v>6</v>
      </c>
      <c r="H32" s="344">
        <v>7</v>
      </c>
      <c r="I32" s="345">
        <v>8</v>
      </c>
    </row>
    <row r="33" spans="1:9" ht="12.75">
      <c r="A33" s="347" t="s">
        <v>123</v>
      </c>
      <c r="B33" s="358">
        <f>1-(1-$B26)^(1/B$18)</f>
        <v>0.9991</v>
      </c>
      <c r="C33" s="358">
        <f aca="true" t="shared" si="4" ref="C33:I33">1-(1-$B26)^(1/C$18)</f>
        <v>0.9699999999999998</v>
      </c>
      <c r="D33" s="358">
        <f t="shared" si="4"/>
        <v>0.9034510615394367</v>
      </c>
      <c r="E33" s="358">
        <f t="shared" si="4"/>
        <v>0.8267949192431117</v>
      </c>
      <c r="F33" s="358">
        <f t="shared" si="4"/>
        <v>0.7540490514150631</v>
      </c>
      <c r="G33" s="358">
        <f t="shared" si="4"/>
        <v>0.6892767494046135</v>
      </c>
      <c r="H33" s="358">
        <f t="shared" si="4"/>
        <v>0.6328092036471826</v>
      </c>
      <c r="I33" s="359">
        <f t="shared" si="4"/>
        <v>0.5838208549712176</v>
      </c>
    </row>
    <row r="34" spans="1:9" ht="27" customHeight="1">
      <c r="A34" s="347" t="s">
        <v>124</v>
      </c>
      <c r="B34" s="340">
        <f>$B30*NORMSINV(B33)</f>
        <v>17.167640321479066</v>
      </c>
      <c r="C34" s="340">
        <f aca="true" t="shared" si="5" ref="C34:I34">$B30*NORMSINV(C33)</f>
        <v>10.344364844831869</v>
      </c>
      <c r="D34" s="340">
        <f t="shared" si="5"/>
        <v>7.1580809783756605</v>
      </c>
      <c r="E34" s="340">
        <f t="shared" si="5"/>
        <v>5.178663709795283</v>
      </c>
      <c r="F34" s="340">
        <f t="shared" si="5"/>
        <v>3.7800784313905083</v>
      </c>
      <c r="G34" s="340">
        <f t="shared" si="5"/>
        <v>2.7159072572929546</v>
      </c>
      <c r="H34" s="340">
        <f t="shared" si="5"/>
        <v>1.8661656981518013</v>
      </c>
      <c r="I34" s="341">
        <f t="shared" si="5"/>
        <v>1.1642287361499033</v>
      </c>
    </row>
    <row r="35" spans="1:9" ht="25.5">
      <c r="A35" s="347" t="s">
        <v>125</v>
      </c>
      <c r="B35" s="340">
        <f>$B27-B34</f>
        <v>23.832359678520934</v>
      </c>
      <c r="C35" s="340">
        <f aca="true" t="shared" si="6" ref="C35:I35">$B27-C34</f>
        <v>30.65563515516813</v>
      </c>
      <c r="D35" s="340">
        <f t="shared" si="6"/>
        <v>33.84191902162434</v>
      </c>
      <c r="E35" s="340">
        <f t="shared" si="6"/>
        <v>35.82133629020472</v>
      </c>
      <c r="F35" s="340">
        <f t="shared" si="6"/>
        <v>37.21992156860949</v>
      </c>
      <c r="G35" s="340">
        <f t="shared" si="6"/>
        <v>38.284092742707045</v>
      </c>
      <c r="H35" s="340">
        <f t="shared" si="6"/>
        <v>39.133834301848196</v>
      </c>
      <c r="I35" s="341">
        <f t="shared" si="6"/>
        <v>39.8357712638501</v>
      </c>
    </row>
    <row r="36" spans="1:9" ht="26.25" thickBot="1">
      <c r="A36" s="348" t="s">
        <v>126</v>
      </c>
      <c r="B36" s="342">
        <f>B35-'Sensing time'!$B$10+'Sensing time'!$B$5</f>
        <v>-109.22301714797163</v>
      </c>
      <c r="C36" s="342">
        <f>C35-'Sensing time'!$B$10+'Sensing time'!$B$5</f>
        <v>-102.39974167132443</v>
      </c>
      <c r="D36" s="342">
        <f>D35-'Sensing time'!$B$10+'Sensing time'!$B$5</f>
        <v>-99.21345780486823</v>
      </c>
      <c r="E36" s="342">
        <f>E35-'Sensing time'!$B$10+'Sensing time'!$B$5</f>
        <v>-97.23404053628784</v>
      </c>
      <c r="F36" s="342">
        <f>F35-'Sensing time'!$B$10+'Sensing time'!$B$5</f>
        <v>-95.83545525788307</v>
      </c>
      <c r="G36" s="342">
        <f>G35-'Sensing time'!$B$10+'Sensing time'!$B$5</f>
        <v>-94.77128408378552</v>
      </c>
      <c r="H36" s="342">
        <f>H35-'Sensing time'!$B$10+'Sensing time'!$B$5</f>
        <v>-93.92154252464437</v>
      </c>
      <c r="I36" s="343">
        <f>I35-'Sensing time'!$B$10+'Sensing time'!$B$5</f>
        <v>-93.21960556264247</v>
      </c>
    </row>
    <row r="39" spans="1:4" ht="12.75">
      <c r="A39" s="361" t="s">
        <v>118</v>
      </c>
      <c r="B39" s="363">
        <v>0.9999</v>
      </c>
      <c r="C39" s="349"/>
      <c r="D39" s="357"/>
    </row>
    <row r="40" spans="1:4" ht="12.75">
      <c r="A40" s="350" t="s">
        <v>123</v>
      </c>
      <c r="B40" s="360">
        <f>1-(1-B39)*B42</f>
        <v>0.99991</v>
      </c>
      <c r="C40" s="351"/>
      <c r="D40" s="357"/>
    </row>
    <row r="41" spans="1:3" ht="12.75">
      <c r="A41" s="350" t="s">
        <v>120</v>
      </c>
      <c r="B41" s="356">
        <v>41</v>
      </c>
      <c r="C41" s="351" t="s">
        <v>41</v>
      </c>
    </row>
    <row r="42" spans="1:3" ht="12.75">
      <c r="A42" s="350" t="s">
        <v>121</v>
      </c>
      <c r="B42" s="355">
        <v>0.9</v>
      </c>
      <c r="C42" s="351"/>
    </row>
    <row r="43" spans="1:3" ht="12.75">
      <c r="A43" s="350" t="s">
        <v>122</v>
      </c>
      <c r="B43" s="355">
        <v>0.5</v>
      </c>
      <c r="C43" s="351"/>
    </row>
    <row r="44" spans="1:3" ht="12.75">
      <c r="A44" s="352" t="s">
        <v>119</v>
      </c>
      <c r="B44" s="353">
        <v>5.5</v>
      </c>
      <c r="C44" s="354" t="s">
        <v>20</v>
      </c>
    </row>
    <row r="45" ht="13.5" thickBot="1">
      <c r="B45" s="337"/>
    </row>
    <row r="46" spans="1:9" ht="12.75">
      <c r="A46" s="346" t="s">
        <v>92</v>
      </c>
      <c r="B46" s="344">
        <v>1</v>
      </c>
      <c r="C46" s="344">
        <v>2</v>
      </c>
      <c r="D46" s="344">
        <v>3</v>
      </c>
      <c r="E46" s="344">
        <v>4</v>
      </c>
      <c r="F46" s="344">
        <v>5</v>
      </c>
      <c r="G46" s="344">
        <v>6</v>
      </c>
      <c r="H46" s="344">
        <v>7</v>
      </c>
      <c r="I46" s="345">
        <v>8</v>
      </c>
    </row>
    <row r="47" spans="1:9" ht="12.75">
      <c r="A47" s="347" t="s">
        <v>123</v>
      </c>
      <c r="B47" s="358">
        <f>1-(1-$B40)^(1/B$18)</f>
        <v>0.99991</v>
      </c>
      <c r="C47" s="358">
        <f aca="true" t="shared" si="7" ref="C47:I47">1-(1-$B40)^(1/C$18)</f>
        <v>0.990513167019493</v>
      </c>
      <c r="D47" s="358">
        <f t="shared" si="7"/>
        <v>0.9551859525344226</v>
      </c>
      <c r="E47" s="358">
        <f t="shared" si="7"/>
        <v>0.902599625357461</v>
      </c>
      <c r="F47" s="358">
        <f t="shared" si="7"/>
        <v>0.8448154426084521</v>
      </c>
      <c r="G47" s="358">
        <f t="shared" si="7"/>
        <v>0.7883067136974405</v>
      </c>
      <c r="H47" s="358">
        <f t="shared" si="7"/>
        <v>0.7357380446069797</v>
      </c>
      <c r="I47" s="359">
        <f t="shared" si="7"/>
        <v>0.6879096690979694</v>
      </c>
    </row>
    <row r="48" spans="1:9" ht="27" customHeight="1">
      <c r="A48" s="347" t="s">
        <v>124</v>
      </c>
      <c r="B48" s="340">
        <f aca="true" t="shared" si="8" ref="B48:I48">$B44*NORMSINV(B47)</f>
        <v>20.600517262833506</v>
      </c>
      <c r="C48" s="340">
        <f t="shared" si="8"/>
        <v>12.90326376804815</v>
      </c>
      <c r="D48" s="340">
        <f t="shared" si="8"/>
        <v>9.335495286107133</v>
      </c>
      <c r="E48" s="340">
        <f t="shared" si="8"/>
        <v>7.130790427918709</v>
      </c>
      <c r="F48" s="340">
        <f t="shared" si="8"/>
        <v>5.579463024186252</v>
      </c>
      <c r="G48" s="340">
        <f t="shared" si="8"/>
        <v>4.4030785061663895</v>
      </c>
      <c r="H48" s="340">
        <f t="shared" si="8"/>
        <v>3.4664348616146503</v>
      </c>
      <c r="I48" s="341">
        <f t="shared" si="8"/>
        <v>2.6946365415844937</v>
      </c>
    </row>
    <row r="49" spans="1:9" ht="25.5">
      <c r="A49" s="347" t="s">
        <v>125</v>
      </c>
      <c r="B49" s="340">
        <f aca="true" t="shared" si="9" ref="B49:I49">$B41-B48</f>
        <v>20.399482737166494</v>
      </c>
      <c r="C49" s="340">
        <f t="shared" si="9"/>
        <v>28.09673623195185</v>
      </c>
      <c r="D49" s="340">
        <f t="shared" si="9"/>
        <v>31.664504713892867</v>
      </c>
      <c r="E49" s="340">
        <f t="shared" si="9"/>
        <v>33.86920957208129</v>
      </c>
      <c r="F49" s="340">
        <f t="shared" si="9"/>
        <v>35.42053697581375</v>
      </c>
      <c r="G49" s="340">
        <f t="shared" si="9"/>
        <v>36.59692149383361</v>
      </c>
      <c r="H49" s="340">
        <f t="shared" si="9"/>
        <v>37.53356513838535</v>
      </c>
      <c r="I49" s="341">
        <f t="shared" si="9"/>
        <v>38.305363458415506</v>
      </c>
    </row>
    <row r="50" spans="1:9" ht="26.25" thickBot="1">
      <c r="A50" s="348" t="s">
        <v>126</v>
      </c>
      <c r="B50" s="342">
        <f>B49-'Sensing time'!$B$10+'Sensing time'!$B$5</f>
        <v>-112.65589408932607</v>
      </c>
      <c r="C50" s="342">
        <f>C49-'Sensing time'!$B$10+'Sensing time'!$B$5</f>
        <v>-104.95864059454071</v>
      </c>
      <c r="D50" s="342">
        <f>D49-'Sensing time'!$B$10+'Sensing time'!$B$5</f>
        <v>-101.3908721125997</v>
      </c>
      <c r="E50" s="342">
        <f>E49-'Sensing time'!$B$10+'Sensing time'!$B$5</f>
        <v>-99.18616725441127</v>
      </c>
      <c r="F50" s="342">
        <f>F49-'Sensing time'!$B$10+'Sensing time'!$B$5</f>
        <v>-97.63483985067882</v>
      </c>
      <c r="G50" s="342">
        <f>G49-'Sensing time'!$B$10+'Sensing time'!$B$5</f>
        <v>-96.45845533265896</v>
      </c>
      <c r="H50" s="342">
        <f>H49-'Sensing time'!$B$10+'Sensing time'!$B$5</f>
        <v>-95.52181168810722</v>
      </c>
      <c r="I50" s="343">
        <f>I49-'Sensing time'!$B$10+'Sensing time'!$B$5</f>
        <v>-94.75001336807705</v>
      </c>
    </row>
    <row r="53" spans="1:4" ht="12.75">
      <c r="A53" s="361" t="s">
        <v>118</v>
      </c>
      <c r="B53" s="364">
        <v>0.99999</v>
      </c>
      <c r="C53" s="349"/>
      <c r="D53" s="357"/>
    </row>
    <row r="54" spans="1:4" ht="12.75">
      <c r="A54" s="350" t="s">
        <v>123</v>
      </c>
      <c r="B54" s="365">
        <f>1-(1-B53)*B56</f>
        <v>0.9999910000000001</v>
      </c>
      <c r="C54" s="351"/>
      <c r="D54" s="357"/>
    </row>
    <row r="55" spans="1:3" ht="12.75">
      <c r="A55" s="350" t="s">
        <v>120</v>
      </c>
      <c r="B55" s="356">
        <v>41</v>
      </c>
      <c r="C55" s="351" t="s">
        <v>41</v>
      </c>
    </row>
    <row r="56" spans="1:3" ht="12.75">
      <c r="A56" s="350" t="s">
        <v>121</v>
      </c>
      <c r="B56" s="355">
        <v>0.9</v>
      </c>
      <c r="C56" s="351"/>
    </row>
    <row r="57" spans="1:3" ht="12.75">
      <c r="A57" s="350" t="s">
        <v>122</v>
      </c>
      <c r="B57" s="355">
        <v>0.5</v>
      </c>
      <c r="C57" s="351"/>
    </row>
    <row r="58" spans="1:3" ht="12.75">
      <c r="A58" s="352" t="s">
        <v>119</v>
      </c>
      <c r="B58" s="353">
        <v>5.5</v>
      </c>
      <c r="C58" s="354" t="s">
        <v>20</v>
      </c>
    </row>
    <row r="59" ht="13.5" thickBot="1">
      <c r="B59" s="337"/>
    </row>
    <row r="60" spans="1:9" ht="12.75">
      <c r="A60" s="346" t="s">
        <v>92</v>
      </c>
      <c r="B60" s="344">
        <v>1</v>
      </c>
      <c r="C60" s="344">
        <v>2</v>
      </c>
      <c r="D60" s="344">
        <v>3</v>
      </c>
      <c r="E60" s="344">
        <v>4</v>
      </c>
      <c r="F60" s="344">
        <v>5</v>
      </c>
      <c r="G60" s="344">
        <v>6</v>
      </c>
      <c r="H60" s="344">
        <v>7</v>
      </c>
      <c r="I60" s="345">
        <v>8</v>
      </c>
    </row>
    <row r="61" spans="1:9" ht="12.75">
      <c r="A61" s="347" t="s">
        <v>123</v>
      </c>
      <c r="B61" s="358">
        <f>1-(1-$B54)^(1/B$18)</f>
        <v>0.9999910000000001</v>
      </c>
      <c r="C61" s="358">
        <f aca="true" t="shared" si="10" ref="C61:I61">1-(1-$B54)^(1/C$18)</f>
        <v>0.9970000000000124</v>
      </c>
      <c r="D61" s="358">
        <f t="shared" si="10"/>
        <v>0.9791991617695381</v>
      </c>
      <c r="E61" s="358">
        <f t="shared" si="10"/>
        <v>0.9452277442495964</v>
      </c>
      <c r="F61" s="358">
        <f t="shared" si="10"/>
        <v>0.9020851637640639</v>
      </c>
      <c r="G61" s="358">
        <f t="shared" si="10"/>
        <v>0.8557750429694575</v>
      </c>
      <c r="H61" s="358">
        <f t="shared" si="10"/>
        <v>0.8098144567846083</v>
      </c>
      <c r="I61" s="359">
        <f t="shared" si="10"/>
        <v>0.7659652680681698</v>
      </c>
    </row>
    <row r="62" spans="1:9" ht="38.25">
      <c r="A62" s="347" t="s">
        <v>124</v>
      </c>
      <c r="B62" s="340">
        <f aca="true" t="shared" si="11" ref="B62:I62">$B58*NORMSINV(B61)</f>
        <v>23.585960952194373</v>
      </c>
      <c r="C62" s="340">
        <f t="shared" si="11"/>
        <v>15.11279761995493</v>
      </c>
      <c r="D62" s="340">
        <f t="shared" si="11"/>
        <v>11.20615580590973</v>
      </c>
      <c r="E62" s="340">
        <f t="shared" si="11"/>
        <v>8.801340836685657</v>
      </c>
      <c r="F62" s="340">
        <f t="shared" si="11"/>
        <v>7.114385443697634</v>
      </c>
      <c r="G62" s="340">
        <f t="shared" si="11"/>
        <v>5.838405222954089</v>
      </c>
      <c r="H62" s="340">
        <f t="shared" si="11"/>
        <v>4.824670182265383</v>
      </c>
      <c r="I62" s="341">
        <f t="shared" si="11"/>
        <v>3.9909305667592867</v>
      </c>
    </row>
    <row r="63" spans="1:9" ht="25.5">
      <c r="A63" s="347" t="s">
        <v>125</v>
      </c>
      <c r="B63" s="340">
        <f aca="true" t="shared" si="12" ref="B63:I63">$B55-B62</f>
        <v>17.414039047805627</v>
      </c>
      <c r="C63" s="340">
        <f t="shared" si="12"/>
        <v>25.887202380045068</v>
      </c>
      <c r="D63" s="340">
        <f t="shared" si="12"/>
        <v>29.79384419409027</v>
      </c>
      <c r="E63" s="340">
        <f t="shared" si="12"/>
        <v>32.198659163314346</v>
      </c>
      <c r="F63" s="340">
        <f t="shared" si="12"/>
        <v>33.885614556302365</v>
      </c>
      <c r="G63" s="340">
        <f t="shared" si="12"/>
        <v>35.16159477704591</v>
      </c>
      <c r="H63" s="340">
        <f t="shared" si="12"/>
        <v>36.17532981773462</v>
      </c>
      <c r="I63" s="341">
        <f t="shared" si="12"/>
        <v>37.00906943324071</v>
      </c>
    </row>
    <row r="64" spans="1:9" ht="26.25" thickBot="1">
      <c r="A64" s="348" t="s">
        <v>126</v>
      </c>
      <c r="B64" s="342">
        <f>B63-'Sensing time'!$B$10+'Sensing time'!$B$5</f>
        <v>-115.64133777868693</v>
      </c>
      <c r="C64" s="342">
        <f>C63-'Sensing time'!$B$10+'Sensing time'!$B$5</f>
        <v>-107.1681744464475</v>
      </c>
      <c r="D64" s="342">
        <f>D63-'Sensing time'!$B$10+'Sensing time'!$B$5</f>
        <v>-103.2615326324023</v>
      </c>
      <c r="E64" s="342">
        <f>E63-'Sensing time'!$B$10+'Sensing time'!$B$5</f>
        <v>-100.85671766317822</v>
      </c>
      <c r="F64" s="342">
        <f>F63-'Sensing time'!$B$10+'Sensing time'!$B$5</f>
        <v>-99.1697622701902</v>
      </c>
      <c r="G64" s="342">
        <f>G63-'Sensing time'!$B$10+'Sensing time'!$B$5</f>
        <v>-97.89378204944666</v>
      </c>
      <c r="H64" s="342">
        <f>H63-'Sensing time'!$B$10+'Sensing time'!$B$5</f>
        <v>-96.88004700875794</v>
      </c>
      <c r="I64" s="343">
        <f>I63-'Sensing time'!$B$10+'Sensing time'!$B$5</f>
        <v>-96.04630739325185</v>
      </c>
    </row>
  </sheetData>
  <mergeCells count="2">
    <mergeCell ref="A1:J1"/>
    <mergeCell ref="A5:A8"/>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L64"/>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436" t="s">
        <v>129</v>
      </c>
      <c r="B1" s="436"/>
      <c r="C1" s="436"/>
      <c r="D1" s="436"/>
      <c r="E1" s="436"/>
      <c r="F1" s="436"/>
      <c r="G1" s="436"/>
      <c r="H1" s="436"/>
      <c r="I1" s="436"/>
      <c r="J1" s="436"/>
    </row>
    <row r="3" ht="13.5" thickBot="1"/>
    <row r="4" spans="1:9" ht="12.75">
      <c r="A4" s="370" t="s">
        <v>131</v>
      </c>
      <c r="B4" s="344">
        <v>1</v>
      </c>
      <c r="C4" s="344">
        <v>2</v>
      </c>
      <c r="D4" s="344">
        <v>3</v>
      </c>
      <c r="E4" s="344">
        <v>4</v>
      </c>
      <c r="F4" s="344">
        <v>5</v>
      </c>
      <c r="G4" s="344">
        <v>6</v>
      </c>
      <c r="H4" s="344">
        <v>7</v>
      </c>
      <c r="I4" s="345">
        <v>8</v>
      </c>
    </row>
    <row r="5" spans="1:9" ht="12.75">
      <c r="A5" s="494" t="s">
        <v>130</v>
      </c>
      <c r="B5" s="355">
        <v>0.99</v>
      </c>
      <c r="C5" s="338">
        <f>1-(1-$B5)^(1/C$4)</f>
        <v>0.8999999999999999</v>
      </c>
      <c r="D5" s="338">
        <f aca="true" t="shared" si="0" ref="D5:I8">1-(1-$B5)^(1/D$4)</f>
        <v>0.7845565309968116</v>
      </c>
      <c r="E5" s="338">
        <f t="shared" si="0"/>
        <v>0.683772233983162</v>
      </c>
      <c r="F5" s="338">
        <f t="shared" si="0"/>
        <v>0.6018928294465027</v>
      </c>
      <c r="G5" s="338">
        <f t="shared" si="0"/>
        <v>0.535841116638722</v>
      </c>
      <c r="H5" s="338">
        <f t="shared" si="0"/>
        <v>0.4820525320768788</v>
      </c>
      <c r="I5" s="339">
        <f t="shared" si="0"/>
        <v>0.4376586748096509</v>
      </c>
    </row>
    <row r="6" spans="1:9" ht="12.75">
      <c r="A6" s="495"/>
      <c r="B6" s="338">
        <v>0.999</v>
      </c>
      <c r="C6" s="358">
        <f>1-(1-$B6)^(1/C$4)</f>
        <v>0.9683772233983162</v>
      </c>
      <c r="D6" s="338">
        <f t="shared" si="0"/>
        <v>0.8999999999999999</v>
      </c>
      <c r="E6" s="338">
        <f t="shared" si="0"/>
        <v>0.8221720589961077</v>
      </c>
      <c r="F6" s="338">
        <f t="shared" si="0"/>
        <v>0.748811356849042</v>
      </c>
      <c r="G6" s="338">
        <f t="shared" si="0"/>
        <v>0.683772233983162</v>
      </c>
      <c r="H6" s="338">
        <f t="shared" si="0"/>
        <v>0.6272406279685059</v>
      </c>
      <c r="I6" s="339">
        <f t="shared" si="0"/>
        <v>0.5783034965714178</v>
      </c>
    </row>
    <row r="7" spans="1:9" ht="12.75">
      <c r="A7" s="495"/>
      <c r="B7" s="358">
        <v>0.9999</v>
      </c>
      <c r="C7" s="358">
        <f>1-(1-$B7)^(1/C$4)</f>
        <v>0.9900000000000005</v>
      </c>
      <c r="D7" s="358">
        <f t="shared" si="0"/>
        <v>0.9535841116638739</v>
      </c>
      <c r="E7" s="338">
        <f t="shared" si="0"/>
        <v>0.9000000000000028</v>
      </c>
      <c r="F7" s="338">
        <f t="shared" si="0"/>
        <v>0.8415106807538921</v>
      </c>
      <c r="G7" s="338">
        <f t="shared" si="0"/>
        <v>0.7845565309968155</v>
      </c>
      <c r="H7" s="338">
        <f t="shared" si="0"/>
        <v>0.7317304204720316</v>
      </c>
      <c r="I7" s="339">
        <f t="shared" si="0"/>
        <v>0.6837722339831664</v>
      </c>
    </row>
    <row r="8" spans="1:9" ht="13.5" thickBot="1">
      <c r="A8" s="496"/>
      <c r="B8" s="367">
        <v>0.99999</v>
      </c>
      <c r="C8" s="367">
        <f>1-(1-$B8)^(1/C$4)</f>
        <v>0.9968377223398388</v>
      </c>
      <c r="D8" s="371">
        <f t="shared" si="0"/>
        <v>0.9784556530997138</v>
      </c>
      <c r="E8" s="371">
        <f t="shared" si="0"/>
        <v>0.9437658674810291</v>
      </c>
      <c r="F8" s="368">
        <f t="shared" si="0"/>
        <v>0.9000000000000911</v>
      </c>
      <c r="G8" s="368">
        <f t="shared" si="0"/>
        <v>0.8532200732379044</v>
      </c>
      <c r="H8" s="368">
        <f t="shared" si="0"/>
        <v>0.8069302271118005</v>
      </c>
      <c r="I8" s="369">
        <f t="shared" si="0"/>
        <v>0.7628626294339693</v>
      </c>
    </row>
    <row r="11" spans="1:4" ht="12.75">
      <c r="A11" s="361" t="s">
        <v>118</v>
      </c>
      <c r="B11" s="362">
        <v>0.99</v>
      </c>
      <c r="C11" s="349"/>
      <c r="D11" s="357"/>
    </row>
    <row r="12" spans="1:4" ht="12.75">
      <c r="A12" s="350" t="s">
        <v>123</v>
      </c>
      <c r="B12" s="358">
        <f>1-(1-B11)*B14</f>
        <v>0.995</v>
      </c>
      <c r="C12" s="351"/>
      <c r="D12" s="357"/>
    </row>
    <row r="13" spans="1:3" ht="12.75">
      <c r="A13" s="350" t="s">
        <v>120</v>
      </c>
      <c r="B13" s="356">
        <v>64</v>
      </c>
      <c r="C13" s="351" t="s">
        <v>41</v>
      </c>
    </row>
    <row r="14" spans="1:3" ht="12.75">
      <c r="A14" s="350" t="s">
        <v>121</v>
      </c>
      <c r="B14" s="355">
        <v>0.5</v>
      </c>
      <c r="C14" s="351"/>
    </row>
    <row r="15" spans="1:3" ht="12.75">
      <c r="A15" s="350" t="s">
        <v>122</v>
      </c>
      <c r="B15" s="355">
        <v>0.5</v>
      </c>
      <c r="C15" s="351"/>
    </row>
    <row r="16" spans="1:3" ht="12.75">
      <c r="A16" s="352" t="s">
        <v>119</v>
      </c>
      <c r="B16" s="353">
        <v>7</v>
      </c>
      <c r="C16" s="354" t="s">
        <v>20</v>
      </c>
    </row>
    <row r="17" ht="13.5" thickBot="1">
      <c r="B17" s="337"/>
    </row>
    <row r="18" spans="1:9" ht="12.75">
      <c r="A18" s="346" t="s">
        <v>92</v>
      </c>
      <c r="B18" s="344">
        <v>1</v>
      </c>
      <c r="C18" s="344">
        <v>2</v>
      </c>
      <c r="D18" s="344">
        <v>3</v>
      </c>
      <c r="E18" s="344">
        <v>4</v>
      </c>
      <c r="F18" s="344">
        <v>5</v>
      </c>
      <c r="G18" s="344">
        <v>6</v>
      </c>
      <c r="H18" s="344">
        <v>7</v>
      </c>
      <c r="I18" s="345">
        <v>8</v>
      </c>
    </row>
    <row r="19" spans="1:9" ht="12.75">
      <c r="A19" s="347" t="s">
        <v>123</v>
      </c>
      <c r="B19" s="338">
        <f aca="true" t="shared" si="1" ref="B19:I19">1-(1-$B12)^(1/B$18)</f>
        <v>0.995</v>
      </c>
      <c r="C19" s="338">
        <f t="shared" si="1"/>
        <v>0.9292893218813452</v>
      </c>
      <c r="D19" s="338">
        <f t="shared" si="1"/>
        <v>0.8290024053323302</v>
      </c>
      <c r="E19" s="338">
        <f t="shared" si="1"/>
        <v>0.7340852051527504</v>
      </c>
      <c r="F19" s="338">
        <f t="shared" si="1"/>
        <v>0.6534275784224267</v>
      </c>
      <c r="G19" s="338">
        <f t="shared" si="1"/>
        <v>0.5864814457999861</v>
      </c>
      <c r="H19" s="338">
        <f t="shared" si="1"/>
        <v>0.5308827214564584</v>
      </c>
      <c r="I19" s="339">
        <f t="shared" si="1"/>
        <v>0.48433073113937697</v>
      </c>
    </row>
    <row r="20" spans="1:9" ht="27.75" customHeight="1">
      <c r="A20" s="347" t="s">
        <v>124</v>
      </c>
      <c r="B20" s="340">
        <f aca="true" t="shared" si="2" ref="B20:I20">$B16*NORMSINV(B19)</f>
        <v>18.03080512484237</v>
      </c>
      <c r="C20" s="340">
        <f t="shared" si="2"/>
        <v>10.293630087818128</v>
      </c>
      <c r="D20" s="340">
        <f t="shared" si="2"/>
        <v>6.651612878276157</v>
      </c>
      <c r="E20" s="340">
        <f t="shared" si="2"/>
        <v>4.376508932555366</v>
      </c>
      <c r="F20" s="340">
        <f t="shared" si="2"/>
        <v>2.7621361795556183</v>
      </c>
      <c r="G20" s="340">
        <f t="shared" si="2"/>
        <v>1.529522012874639</v>
      </c>
      <c r="H20" s="340">
        <f t="shared" si="2"/>
        <v>0.5424228645211071</v>
      </c>
      <c r="I20" s="341">
        <f t="shared" si="2"/>
        <v>-0.2750099555586318</v>
      </c>
    </row>
    <row r="21" spans="1:9" ht="27" customHeight="1">
      <c r="A21" s="347" t="s">
        <v>125</v>
      </c>
      <c r="B21" s="340">
        <f aca="true" t="shared" si="3" ref="B21:I21">$B13-B20</f>
        <v>45.969194875157626</v>
      </c>
      <c r="C21" s="340">
        <f t="shared" si="3"/>
        <v>53.70636991218187</v>
      </c>
      <c r="D21" s="340">
        <f t="shared" si="3"/>
        <v>57.348387121723846</v>
      </c>
      <c r="E21" s="340">
        <f t="shared" si="3"/>
        <v>59.62349106744463</v>
      </c>
      <c r="F21" s="340">
        <f t="shared" si="3"/>
        <v>61.23786382044438</v>
      </c>
      <c r="G21" s="340">
        <f t="shared" si="3"/>
        <v>62.47047798712536</v>
      </c>
      <c r="H21" s="340">
        <f t="shared" si="3"/>
        <v>63.45757713547889</v>
      </c>
      <c r="I21" s="341">
        <f t="shared" si="3"/>
        <v>64.27500995555863</v>
      </c>
    </row>
    <row r="22" spans="1:9" ht="27" customHeight="1" thickBot="1">
      <c r="A22" s="348" t="s">
        <v>126</v>
      </c>
      <c r="B22" s="342">
        <f>B21-'Sensing time'!$B$10+'Sensing time'!$B$5</f>
        <v>-87.08618195133494</v>
      </c>
      <c r="C22" s="342">
        <f>C21-'Sensing time'!$B$10+'Sensing time'!$B$5</f>
        <v>-79.34900691431069</v>
      </c>
      <c r="D22" s="342">
        <f>D21-'Sensing time'!$B$10+'Sensing time'!$B$5</f>
        <v>-75.70698970476872</v>
      </c>
      <c r="E22" s="342">
        <f>E21-'Sensing time'!$B$10+'Sensing time'!$B$5</f>
        <v>-73.43188575904793</v>
      </c>
      <c r="F22" s="342">
        <f>F21-'Sensing time'!$B$10+'Sensing time'!$B$5</f>
        <v>-71.81751300604819</v>
      </c>
      <c r="G22" s="342">
        <f>G21-'Sensing time'!$B$10+'Sensing time'!$B$5</f>
        <v>-70.5848988393672</v>
      </c>
      <c r="H22" s="342">
        <f>H21-'Sensing time'!$B$10+'Sensing time'!$B$5</f>
        <v>-69.59779969101368</v>
      </c>
      <c r="I22" s="343">
        <f>I21-'Sensing time'!$B$10+'Sensing time'!$B$5</f>
        <v>-68.78036687093393</v>
      </c>
    </row>
    <row r="25" spans="1:4" ht="12.75">
      <c r="A25" s="361" t="s">
        <v>118</v>
      </c>
      <c r="B25" s="362">
        <v>0.999</v>
      </c>
      <c r="C25" s="349"/>
      <c r="D25" s="357"/>
    </row>
    <row r="26" spans="1:4" ht="12.75">
      <c r="A26" s="350" t="s">
        <v>123</v>
      </c>
      <c r="B26" s="358">
        <f>1-(1-B25)*B28</f>
        <v>0.9995</v>
      </c>
      <c r="C26" s="351"/>
      <c r="D26" s="357"/>
    </row>
    <row r="27" spans="1:3" ht="12.75">
      <c r="A27" s="350" t="s">
        <v>120</v>
      </c>
      <c r="B27" s="356">
        <v>64</v>
      </c>
      <c r="C27" s="351" t="s">
        <v>41</v>
      </c>
    </row>
    <row r="28" spans="1:3" ht="12.75">
      <c r="A28" s="350" t="s">
        <v>121</v>
      </c>
      <c r="B28" s="355">
        <v>0.5</v>
      </c>
      <c r="C28" s="351"/>
    </row>
    <row r="29" spans="1:3" ht="12.75">
      <c r="A29" s="350" t="s">
        <v>122</v>
      </c>
      <c r="B29" s="355">
        <v>0.5</v>
      </c>
      <c r="C29" s="351"/>
    </row>
    <row r="30" spans="1:3" ht="12.75">
      <c r="A30" s="352" t="s">
        <v>119</v>
      </c>
      <c r="B30" s="353">
        <v>7</v>
      </c>
      <c r="C30" s="354" t="s">
        <v>20</v>
      </c>
    </row>
    <row r="31" ht="13.5" thickBot="1">
      <c r="B31" s="337"/>
    </row>
    <row r="32" spans="1:9" ht="12.75">
      <c r="A32" s="346" t="s">
        <v>92</v>
      </c>
      <c r="B32" s="344">
        <v>1</v>
      </c>
      <c r="C32" s="344">
        <v>2</v>
      </c>
      <c r="D32" s="344">
        <v>3</v>
      </c>
      <c r="E32" s="344">
        <v>4</v>
      </c>
      <c r="F32" s="344">
        <v>5</v>
      </c>
      <c r="G32" s="344">
        <v>6</v>
      </c>
      <c r="H32" s="344">
        <v>7</v>
      </c>
      <c r="I32" s="345">
        <v>8</v>
      </c>
    </row>
    <row r="33" spans="1:9" ht="12.75">
      <c r="A33" s="347" t="s">
        <v>123</v>
      </c>
      <c r="B33" s="358">
        <f aca="true" t="shared" si="4" ref="B33:I33">1-(1-$B26)^(1/B$18)</f>
        <v>0.9995</v>
      </c>
      <c r="C33" s="358">
        <f t="shared" si="4"/>
        <v>0.9776393202250033</v>
      </c>
      <c r="D33" s="358">
        <f t="shared" si="4"/>
        <v>0.9206299474015929</v>
      </c>
      <c r="E33" s="358">
        <f t="shared" si="4"/>
        <v>0.850465121877882</v>
      </c>
      <c r="F33" s="358">
        <f t="shared" si="4"/>
        <v>0.7813275852113493</v>
      </c>
      <c r="G33" s="358">
        <f t="shared" si="4"/>
        <v>0.7182730886152211</v>
      </c>
      <c r="H33" s="358">
        <f t="shared" si="4"/>
        <v>0.6623830156749277</v>
      </c>
      <c r="I33" s="359">
        <f t="shared" si="4"/>
        <v>0.6133026013507229</v>
      </c>
    </row>
    <row r="34" spans="1:9" ht="27" customHeight="1">
      <c r="A34" s="347" t="s">
        <v>124</v>
      </c>
      <c r="B34" s="340">
        <f aca="true" t="shared" si="5" ref="B34:I34">$B30*NORMSINV(B33)</f>
        <v>23.033687120441627</v>
      </c>
      <c r="C34" s="340">
        <f t="shared" si="5"/>
        <v>14.050861198494434</v>
      </c>
      <c r="D34" s="340">
        <f t="shared" si="5"/>
        <v>9.865250950204985</v>
      </c>
      <c r="E34" s="340">
        <f t="shared" si="5"/>
        <v>7.269012294400078</v>
      </c>
      <c r="F34" s="340">
        <f t="shared" si="5"/>
        <v>5.436792736776781</v>
      </c>
      <c r="G34" s="340">
        <f t="shared" si="5"/>
        <v>4.044033275321523</v>
      </c>
      <c r="H34" s="340">
        <f t="shared" si="5"/>
        <v>2.932829162552456</v>
      </c>
      <c r="I34" s="341">
        <f t="shared" si="5"/>
        <v>2.015560522634386</v>
      </c>
    </row>
    <row r="35" spans="1:9" ht="25.5">
      <c r="A35" s="347" t="s">
        <v>125</v>
      </c>
      <c r="B35" s="340">
        <f aca="true" t="shared" si="6" ref="B35:I35">$B27-B34</f>
        <v>40.96631287955837</v>
      </c>
      <c r="C35" s="340">
        <f t="shared" si="6"/>
        <v>49.94913880150557</v>
      </c>
      <c r="D35" s="340">
        <f t="shared" si="6"/>
        <v>54.13474904979502</v>
      </c>
      <c r="E35" s="340">
        <f t="shared" si="6"/>
        <v>56.73098770559992</v>
      </c>
      <c r="F35" s="340">
        <f t="shared" si="6"/>
        <v>58.56320726322322</v>
      </c>
      <c r="G35" s="340">
        <f t="shared" si="6"/>
        <v>59.955966724678476</v>
      </c>
      <c r="H35" s="340">
        <f t="shared" si="6"/>
        <v>61.06717083744754</v>
      </c>
      <c r="I35" s="341">
        <f t="shared" si="6"/>
        <v>61.98443947736561</v>
      </c>
    </row>
    <row r="36" spans="1:9" ht="26.25" thickBot="1">
      <c r="A36" s="348" t="s">
        <v>126</v>
      </c>
      <c r="B36" s="342">
        <f>B35-'Sensing time'!$B$10+'Sensing time'!$B$5</f>
        <v>-92.08906394693419</v>
      </c>
      <c r="C36" s="342">
        <f>C35-'Sensing time'!$B$10+'Sensing time'!$B$5</f>
        <v>-83.106238024987</v>
      </c>
      <c r="D36" s="342">
        <f>D35-'Sensing time'!$B$10+'Sensing time'!$B$5</f>
        <v>-78.92062777669754</v>
      </c>
      <c r="E36" s="342">
        <f>E35-'Sensing time'!$B$10+'Sensing time'!$B$5</f>
        <v>-76.32438912089265</v>
      </c>
      <c r="F36" s="342">
        <f>F35-'Sensing time'!$B$10+'Sensing time'!$B$5</f>
        <v>-74.49216956326934</v>
      </c>
      <c r="G36" s="342">
        <f>G35-'Sensing time'!$B$10+'Sensing time'!$B$5</f>
        <v>-73.09941010181409</v>
      </c>
      <c r="H36" s="342">
        <f>H35-'Sensing time'!$B$10+'Sensing time'!$B$5</f>
        <v>-71.98820598904501</v>
      </c>
      <c r="I36" s="343">
        <f>I35-'Sensing time'!$B$10+'Sensing time'!$B$5</f>
        <v>-71.07093734912695</v>
      </c>
    </row>
    <row r="39" spans="1:4" ht="12.75">
      <c r="A39" s="361" t="s">
        <v>118</v>
      </c>
      <c r="B39" s="363">
        <v>0.9999</v>
      </c>
      <c r="C39" s="349"/>
      <c r="D39" s="357"/>
    </row>
    <row r="40" spans="1:4" ht="12.75">
      <c r="A40" s="350" t="s">
        <v>123</v>
      </c>
      <c r="B40" s="360">
        <f>1-(1-B39)*B42</f>
        <v>0.99995</v>
      </c>
      <c r="C40" s="351"/>
      <c r="D40" s="357"/>
    </row>
    <row r="41" spans="1:3" ht="12.75">
      <c r="A41" s="350" t="s">
        <v>120</v>
      </c>
      <c r="B41" s="356">
        <v>64</v>
      </c>
      <c r="C41" s="351" t="s">
        <v>41</v>
      </c>
    </row>
    <row r="42" spans="1:3" ht="12.75">
      <c r="A42" s="350" t="s">
        <v>121</v>
      </c>
      <c r="B42" s="355">
        <v>0.5</v>
      </c>
      <c r="C42" s="351"/>
    </row>
    <row r="43" spans="1:3" ht="12.75">
      <c r="A43" s="350" t="s">
        <v>122</v>
      </c>
      <c r="B43" s="355">
        <v>0.5</v>
      </c>
      <c r="C43" s="351"/>
    </row>
    <row r="44" spans="1:11" ht="12.75">
      <c r="A44" s="352" t="s">
        <v>119</v>
      </c>
      <c r="B44" s="353">
        <v>7</v>
      </c>
      <c r="C44" s="354" t="s">
        <v>20</v>
      </c>
      <c r="K44" s="372"/>
    </row>
    <row r="45" spans="2:11" ht="13.5" thickBot="1">
      <c r="B45" s="337"/>
      <c r="K45" s="372"/>
    </row>
    <row r="46" spans="1:11" ht="12.75">
      <c r="A46" s="346" t="s">
        <v>92</v>
      </c>
      <c r="B46" s="344">
        <v>1</v>
      </c>
      <c r="C46" s="344">
        <v>2</v>
      </c>
      <c r="D46" s="344">
        <v>3</v>
      </c>
      <c r="E46" s="344">
        <v>4</v>
      </c>
      <c r="F46" s="344">
        <v>5</v>
      </c>
      <c r="G46" s="344">
        <v>6</v>
      </c>
      <c r="H46" s="344">
        <v>7</v>
      </c>
      <c r="I46" s="345">
        <v>8</v>
      </c>
      <c r="K46" s="372"/>
    </row>
    <row r="47" spans="1:11" ht="12.75">
      <c r="A47" s="347" t="s">
        <v>123</v>
      </c>
      <c r="B47" s="360">
        <f aca="true" t="shared" si="7" ref="B47:I47">1-(1-$B40)^(1/B$18)</f>
        <v>0.99995</v>
      </c>
      <c r="C47" s="358">
        <f t="shared" si="7"/>
        <v>0.9929289321881349</v>
      </c>
      <c r="D47" s="358">
        <f t="shared" si="7"/>
        <v>0.9631596850135975</v>
      </c>
      <c r="E47" s="358">
        <f t="shared" si="7"/>
        <v>0.9159103584746309</v>
      </c>
      <c r="F47" s="358">
        <f t="shared" si="7"/>
        <v>0.8620270338538816</v>
      </c>
      <c r="G47" s="358">
        <f t="shared" si="7"/>
        <v>0.808061689633355</v>
      </c>
      <c r="H47" s="358">
        <f t="shared" si="7"/>
        <v>0.757021893419391</v>
      </c>
      <c r="I47" s="359">
        <f t="shared" si="7"/>
        <v>0.7100178599889828</v>
      </c>
      <c r="K47" s="372"/>
    </row>
    <row r="48" spans="1:11" ht="27" customHeight="1">
      <c r="A48" s="347" t="s">
        <v>124</v>
      </c>
      <c r="B48" s="340">
        <f aca="true" t="shared" si="8" ref="B48:I48">$B44*NORMSINV(B47)</f>
        <v>27.23414320489138</v>
      </c>
      <c r="C48" s="340">
        <f t="shared" si="8"/>
        <v>17.175428778765102</v>
      </c>
      <c r="D48" s="340">
        <f t="shared" si="8"/>
        <v>12.520140404325037</v>
      </c>
      <c r="E48" s="340">
        <f t="shared" si="8"/>
        <v>9.646544279577117</v>
      </c>
      <c r="F48" s="340">
        <f t="shared" si="8"/>
        <v>7.6263018323215785</v>
      </c>
      <c r="G48" s="340">
        <f t="shared" si="8"/>
        <v>6.095430093734095</v>
      </c>
      <c r="H48" s="340">
        <f t="shared" si="8"/>
        <v>4.877284095513332</v>
      </c>
      <c r="I48" s="341">
        <f t="shared" si="8"/>
        <v>3.8740582727735813</v>
      </c>
      <c r="K48" s="372"/>
    </row>
    <row r="49" spans="1:11" ht="25.5">
      <c r="A49" s="347" t="s">
        <v>125</v>
      </c>
      <c r="B49" s="340">
        <f aca="true" t="shared" si="9" ref="B49:I49">$B41-B48</f>
        <v>36.76585679510862</v>
      </c>
      <c r="C49" s="340">
        <f t="shared" si="9"/>
        <v>46.8245712212349</v>
      </c>
      <c r="D49" s="340">
        <f t="shared" si="9"/>
        <v>51.47985959567497</v>
      </c>
      <c r="E49" s="340">
        <f t="shared" si="9"/>
        <v>54.353455720422886</v>
      </c>
      <c r="F49" s="340">
        <f t="shared" si="9"/>
        <v>56.37369816767842</v>
      </c>
      <c r="G49" s="340">
        <f t="shared" si="9"/>
        <v>57.904569906265905</v>
      </c>
      <c r="H49" s="340">
        <f t="shared" si="9"/>
        <v>59.12271590448667</v>
      </c>
      <c r="I49" s="341">
        <f t="shared" si="9"/>
        <v>60.12594172722642</v>
      </c>
      <c r="K49" s="372"/>
    </row>
    <row r="50" spans="1:11" ht="26.25" thickBot="1">
      <c r="A50" s="348" t="s">
        <v>126</v>
      </c>
      <c r="B50" s="342">
        <f>B49-'Sensing time'!$B$10+'Sensing time'!$B$5</f>
        <v>-96.28952003138394</v>
      </c>
      <c r="C50" s="342">
        <f>C49-'Sensing time'!$B$10+'Sensing time'!$B$5</f>
        <v>-86.23080560525767</v>
      </c>
      <c r="D50" s="342">
        <f>D49-'Sensing time'!$B$10+'Sensing time'!$B$5</f>
        <v>-81.5755172308176</v>
      </c>
      <c r="E50" s="342">
        <f>E49-'Sensing time'!$B$10+'Sensing time'!$B$5</f>
        <v>-78.70192110606968</v>
      </c>
      <c r="F50" s="342">
        <f>F49-'Sensing time'!$B$10+'Sensing time'!$B$5</f>
        <v>-76.68167865881415</v>
      </c>
      <c r="G50" s="342">
        <f>G49-'Sensing time'!$B$10+'Sensing time'!$B$5</f>
        <v>-75.15080692022666</v>
      </c>
      <c r="H50" s="342">
        <f>H49-'Sensing time'!$B$10+'Sensing time'!$B$5</f>
        <v>-73.9326609220059</v>
      </c>
      <c r="I50" s="343">
        <f>I49-'Sensing time'!$B$10+'Sensing time'!$B$5</f>
        <v>-72.92943509926614</v>
      </c>
      <c r="K50" s="372"/>
    </row>
    <row r="51" ht="12.75">
      <c r="K51" s="372"/>
    </row>
    <row r="52" ht="12.75">
      <c r="K52" s="372"/>
    </row>
    <row r="53" spans="1:11" ht="12.75">
      <c r="A53" s="361" t="s">
        <v>118</v>
      </c>
      <c r="B53" s="364">
        <v>0.99999</v>
      </c>
      <c r="C53" s="349"/>
      <c r="D53" s="357"/>
      <c r="K53" s="372"/>
    </row>
    <row r="54" spans="1:11" ht="12.75">
      <c r="A54" s="350" t="s">
        <v>123</v>
      </c>
      <c r="B54" s="365">
        <f>1-(1-B53)*B56</f>
        <v>0.999995</v>
      </c>
      <c r="C54" s="351"/>
      <c r="D54" s="357"/>
      <c r="K54" s="372"/>
    </row>
    <row r="55" spans="1:11" ht="12.75">
      <c r="A55" s="350" t="s">
        <v>120</v>
      </c>
      <c r="B55" s="356">
        <v>64</v>
      </c>
      <c r="C55" s="351" t="s">
        <v>41</v>
      </c>
      <c r="K55" s="372"/>
    </row>
    <row r="56" spans="1:3" ht="12.75">
      <c r="A56" s="350" t="s">
        <v>121</v>
      </c>
      <c r="B56" s="355">
        <v>0.5</v>
      </c>
      <c r="C56" s="351"/>
    </row>
    <row r="57" spans="1:3" ht="12.75">
      <c r="A57" s="350" t="s">
        <v>122</v>
      </c>
      <c r="B57" s="355">
        <v>0.5</v>
      </c>
      <c r="C57" s="351"/>
    </row>
    <row r="58" spans="1:3" ht="12.75">
      <c r="A58" s="352" t="s">
        <v>119</v>
      </c>
      <c r="B58" s="353">
        <v>7</v>
      </c>
      <c r="C58" s="354" t="s">
        <v>20</v>
      </c>
    </row>
    <row r="59" ht="13.5" thickBot="1">
      <c r="B59" s="337"/>
    </row>
    <row r="60" spans="1:9" ht="12.75">
      <c r="A60" s="346" t="s">
        <v>92</v>
      </c>
      <c r="B60" s="344">
        <v>1</v>
      </c>
      <c r="C60" s="344">
        <v>2</v>
      </c>
      <c r="D60" s="344">
        <v>3</v>
      </c>
      <c r="E60" s="344">
        <v>4</v>
      </c>
      <c r="F60" s="344">
        <v>5</v>
      </c>
      <c r="G60" s="344">
        <v>6</v>
      </c>
      <c r="H60" s="344">
        <v>7</v>
      </c>
      <c r="I60" s="345">
        <v>8</v>
      </c>
    </row>
    <row r="61" spans="1:9" ht="12.75">
      <c r="A61" s="347" t="s">
        <v>123</v>
      </c>
      <c r="B61" s="365">
        <f aca="true" t="shared" si="10" ref="B61:I61">1-(1-$B54)^(1/B$18)</f>
        <v>0.999995</v>
      </c>
      <c r="C61" s="360">
        <f t="shared" si="10"/>
        <v>0.9977639320224929</v>
      </c>
      <c r="D61" s="358">
        <f t="shared" si="10"/>
        <v>0.9829002405331957</v>
      </c>
      <c r="E61" s="358">
        <f t="shared" si="10"/>
        <v>0.9527129195497638</v>
      </c>
      <c r="F61" s="358">
        <f t="shared" si="10"/>
        <v>0.9129449436702736</v>
      </c>
      <c r="G61" s="358">
        <f t="shared" si="10"/>
        <v>0.8692339513986742</v>
      </c>
      <c r="H61" s="358">
        <f t="shared" si="10"/>
        <v>0.8251321378408223</v>
      </c>
      <c r="I61" s="359">
        <f t="shared" si="10"/>
        <v>0.7825440723957238</v>
      </c>
    </row>
    <row r="62" spans="1:12" ht="38.25">
      <c r="A62" s="347" t="s">
        <v>124</v>
      </c>
      <c r="B62" s="340">
        <f aca="true" t="shared" si="11" ref="B62:I62">$B58*NORMSINV(B61)</f>
        <v>30.920213901718043</v>
      </c>
      <c r="C62" s="340">
        <f t="shared" si="11"/>
        <v>19.899488401822467</v>
      </c>
      <c r="D62" s="340">
        <f t="shared" si="11"/>
        <v>14.823979623545537</v>
      </c>
      <c r="E62" s="340">
        <f t="shared" si="11"/>
        <v>11.702231164673929</v>
      </c>
      <c r="F62" s="340">
        <f t="shared" si="11"/>
        <v>9.51380583257397</v>
      </c>
      <c r="G62" s="340">
        <f t="shared" si="11"/>
        <v>7.859440956905512</v>
      </c>
      <c r="H62" s="340">
        <f t="shared" si="11"/>
        <v>6.545714158178345</v>
      </c>
      <c r="I62" s="341">
        <f t="shared" si="11"/>
        <v>5.465698517640595</v>
      </c>
      <c r="L62" s="373"/>
    </row>
    <row r="63" spans="1:9" ht="25.5">
      <c r="A63" s="347" t="s">
        <v>125</v>
      </c>
      <c r="B63" s="340">
        <f aca="true" t="shared" si="12" ref="B63:I63">$B55-B62</f>
        <v>33.07978609828196</v>
      </c>
      <c r="C63" s="340">
        <f t="shared" si="12"/>
        <v>44.10051159817753</v>
      </c>
      <c r="D63" s="340">
        <f t="shared" si="12"/>
        <v>49.17602037645446</v>
      </c>
      <c r="E63" s="340">
        <f t="shared" si="12"/>
        <v>52.29776883532607</v>
      </c>
      <c r="F63" s="340">
        <f t="shared" si="12"/>
        <v>54.48619416742603</v>
      </c>
      <c r="G63" s="340">
        <f t="shared" si="12"/>
        <v>56.140559043094484</v>
      </c>
      <c r="H63" s="340">
        <f t="shared" si="12"/>
        <v>57.45428584182166</v>
      </c>
      <c r="I63" s="341">
        <f t="shared" si="12"/>
        <v>58.5343014823594</v>
      </c>
    </row>
    <row r="64" spans="1:9" ht="26.25" thickBot="1">
      <c r="A64" s="348" t="s">
        <v>126</v>
      </c>
      <c r="B64" s="342">
        <f>B63-'Sensing time'!$B$10+'Sensing time'!$B$5</f>
        <v>-99.9755907282106</v>
      </c>
      <c r="C64" s="342">
        <f>C63-'Sensing time'!$B$10+'Sensing time'!$B$5</f>
        <v>-88.95486522831503</v>
      </c>
      <c r="D64" s="342">
        <f>D63-'Sensing time'!$B$10+'Sensing time'!$B$5</f>
        <v>-83.8793564500381</v>
      </c>
      <c r="E64" s="342">
        <f>E63-'Sensing time'!$B$10+'Sensing time'!$B$5</f>
        <v>-80.7576079911665</v>
      </c>
      <c r="F64" s="342">
        <f>F63-'Sensing time'!$B$10+'Sensing time'!$B$5</f>
        <v>-78.56918265906654</v>
      </c>
      <c r="G64" s="342">
        <f>G63-'Sensing time'!$B$10+'Sensing time'!$B$5</f>
        <v>-76.91481778339808</v>
      </c>
      <c r="H64" s="342">
        <f>H63-'Sensing time'!$B$10+'Sensing time'!$B$5</f>
        <v>-75.6010909846709</v>
      </c>
      <c r="I64" s="343">
        <f>I63-'Sensing time'!$B$10+'Sensing time'!$B$5</f>
        <v>-74.52107534413315</v>
      </c>
    </row>
  </sheetData>
  <mergeCells count="2">
    <mergeCell ref="A1:J1"/>
    <mergeCell ref="A5:A8"/>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O115"/>
  <sheetViews>
    <sheetView zoomScale="75" zoomScaleNormal="75" workbookViewId="0" topLeftCell="A1">
      <selection activeCell="O2" sqref="O2"/>
    </sheetView>
  </sheetViews>
  <sheetFormatPr defaultColWidth="9.140625" defaultRowHeight="12.75"/>
  <cols>
    <col min="1" max="1" width="17.7109375" style="0" customWidth="1"/>
    <col min="9" max="9" width="16.8515625" style="0" customWidth="1"/>
  </cols>
  <sheetData>
    <row r="1" spans="1:15" ht="38.25" customHeight="1">
      <c r="A1" s="436" t="s">
        <v>170</v>
      </c>
      <c r="B1" s="436"/>
      <c r="C1" s="436"/>
      <c r="D1" s="436"/>
      <c r="E1" s="436"/>
      <c r="F1" s="436"/>
      <c r="G1" s="436"/>
      <c r="H1" s="436"/>
      <c r="I1" s="436"/>
      <c r="J1" s="436"/>
      <c r="K1" s="436"/>
      <c r="L1" s="436"/>
      <c r="M1" s="436"/>
      <c r="N1" s="436"/>
      <c r="O1" s="436"/>
    </row>
    <row r="3" spans="1:2" ht="12.75">
      <c r="A3" s="403" t="s">
        <v>148</v>
      </c>
      <c r="B3" s="413">
        <v>6</v>
      </c>
    </row>
    <row r="4" ht="12.75">
      <c r="B4" s="337"/>
    </row>
    <row r="5" ht="12.75">
      <c r="A5" s="400" t="s">
        <v>146</v>
      </c>
    </row>
    <row r="6" spans="1:3" ht="12.75">
      <c r="A6" s="399" t="s">
        <v>158</v>
      </c>
      <c r="B6" s="417">
        <f>'Sensing time'!$B$12+$I$7*NORMSINV(90%)+0+0</f>
        <v>46.93939686640984</v>
      </c>
      <c r="C6" s="349" t="s">
        <v>152</v>
      </c>
    </row>
    <row r="7" spans="1:9" ht="12.75">
      <c r="A7" s="350" t="s">
        <v>159</v>
      </c>
      <c r="B7" s="416">
        <f>$B$6-'Sensing time'!$B$10+'Sensing time'!$B$5</f>
        <v>-86.11597996008273</v>
      </c>
      <c r="C7" s="351" t="s">
        <v>149</v>
      </c>
      <c r="D7" t="s">
        <v>154</v>
      </c>
      <c r="I7" s="458">
        <v>4.61253066999403</v>
      </c>
    </row>
    <row r="8" spans="1:3" ht="12.75">
      <c r="A8" s="352" t="s">
        <v>160</v>
      </c>
      <c r="B8" s="418">
        <f>B6-'Sensing time'!$B$10+'Sensing time'!$B$29</f>
        <v>7.635036533351389</v>
      </c>
      <c r="C8" s="354" t="s">
        <v>20</v>
      </c>
    </row>
    <row r="9" ht="12.75">
      <c r="B9" s="404"/>
    </row>
    <row r="10" spans="1:2" ht="12.75">
      <c r="A10" s="400" t="s">
        <v>147</v>
      </c>
      <c r="B10" s="404"/>
    </row>
    <row r="11" spans="1:3" ht="12.75">
      <c r="A11" s="399" t="s">
        <v>161</v>
      </c>
      <c r="B11" s="417">
        <f>5.5^2+$I$7^2+(-1.11*LOG10($B$3)+0.86)^2</f>
        <v>51.52545322829948</v>
      </c>
      <c r="C11" s="349"/>
    </row>
    <row r="12" spans="1:3" ht="12.75">
      <c r="A12" s="352" t="s">
        <v>162</v>
      </c>
      <c r="B12" s="459">
        <f>SQRT($B$11)</f>
        <v>7.178123238583988</v>
      </c>
      <c r="C12" s="354" t="s">
        <v>20</v>
      </c>
    </row>
    <row r="14" spans="1:4" ht="12.75">
      <c r="A14" s="402" t="s">
        <v>153</v>
      </c>
      <c r="B14" s="402" t="s">
        <v>151</v>
      </c>
      <c r="C14" s="402" t="s">
        <v>133</v>
      </c>
      <c r="D14" s="400"/>
    </row>
    <row r="15" spans="1:4" ht="12.75">
      <c r="A15" s="402" t="s">
        <v>152</v>
      </c>
      <c r="B15" s="402" t="s">
        <v>149</v>
      </c>
      <c r="C15" s="402" t="s">
        <v>20</v>
      </c>
      <c r="D15" s="402" t="s">
        <v>150</v>
      </c>
    </row>
    <row r="16" spans="1:4" ht="12.75">
      <c r="A16" s="402">
        <v>80</v>
      </c>
      <c r="B16" s="404">
        <f>A16-$B$6+$B$7</f>
        <v>-53.05537682649256</v>
      </c>
      <c r="C16" s="404">
        <f>A16-$B$6+$B$8</f>
        <v>40.69563966694155</v>
      </c>
      <c r="D16" s="409">
        <f aca="true" t="shared" si="0" ref="D16:D46">1/($B$12*SQRT(2*PI()))*EXP(-((A16-$B$6)^2/(2*$B$11)))</f>
        <v>1.375877757532747E-06</v>
      </c>
    </row>
    <row r="17" spans="1:4" ht="12.75">
      <c r="A17" s="402">
        <v>78</v>
      </c>
      <c r="B17" s="404">
        <f aca="true" t="shared" si="1" ref="B17:B46">A17-$B$6+$B$7</f>
        <v>-55.05537682649256</v>
      </c>
      <c r="C17" s="404">
        <f aca="true" t="shared" si="2" ref="C17:C46">A17-$B$6+$B$8</f>
        <v>38.69563966694155</v>
      </c>
      <c r="D17" s="409">
        <f t="shared" si="0"/>
        <v>4.775739378998941E-06</v>
      </c>
    </row>
    <row r="18" spans="1:4" ht="12.75">
      <c r="A18" s="402">
        <v>76</v>
      </c>
      <c r="B18" s="404">
        <f t="shared" si="1"/>
        <v>-57.05537682649256</v>
      </c>
      <c r="C18" s="404">
        <f t="shared" si="2"/>
        <v>36.69563966694155</v>
      </c>
      <c r="D18" s="409">
        <f t="shared" si="0"/>
        <v>1.5338625358706894E-05</v>
      </c>
    </row>
    <row r="19" spans="1:4" ht="12.75">
      <c r="A19" s="402">
        <v>74</v>
      </c>
      <c r="B19" s="404">
        <f t="shared" si="1"/>
        <v>-59.05537682649256</v>
      </c>
      <c r="C19" s="404">
        <f t="shared" si="2"/>
        <v>34.69563966694155</v>
      </c>
      <c r="D19" s="409">
        <f t="shared" si="0"/>
        <v>4.558451249286357E-05</v>
      </c>
    </row>
    <row r="20" spans="1:4" ht="12.75">
      <c r="A20" s="402">
        <v>72</v>
      </c>
      <c r="B20" s="404">
        <f t="shared" si="1"/>
        <v>-61.05537682649256</v>
      </c>
      <c r="C20" s="404">
        <f t="shared" si="2"/>
        <v>32.69563966694155</v>
      </c>
      <c r="D20" s="409">
        <f t="shared" si="0"/>
        <v>0.00012535256989683368</v>
      </c>
    </row>
    <row r="21" spans="1:4" ht="12.75">
      <c r="A21" s="402">
        <v>70</v>
      </c>
      <c r="B21" s="404">
        <f t="shared" si="1"/>
        <v>-63.05537682649256</v>
      </c>
      <c r="C21" s="404">
        <f t="shared" si="2"/>
        <v>30.695639666941553</v>
      </c>
      <c r="D21" s="409">
        <f t="shared" si="0"/>
        <v>0.0003189585309493094</v>
      </c>
    </row>
    <row r="22" spans="1:4" ht="12.75">
      <c r="A22" s="402">
        <v>68</v>
      </c>
      <c r="B22" s="404">
        <f t="shared" si="1"/>
        <v>-65.05537682649256</v>
      </c>
      <c r="C22" s="404">
        <f t="shared" si="2"/>
        <v>28.695639666941553</v>
      </c>
      <c r="D22" s="409">
        <f t="shared" si="0"/>
        <v>0.000750965967096785</v>
      </c>
    </row>
    <row r="23" spans="1:4" ht="12.75">
      <c r="A23" s="402">
        <v>66</v>
      </c>
      <c r="B23" s="404">
        <f t="shared" si="1"/>
        <v>-67.05537682649256</v>
      </c>
      <c r="C23" s="404">
        <f t="shared" si="2"/>
        <v>26.695639666941553</v>
      </c>
      <c r="D23" s="409">
        <f t="shared" si="0"/>
        <v>0.0016360302972600873</v>
      </c>
    </row>
    <row r="24" spans="1:4" ht="12.75">
      <c r="A24" s="402">
        <v>64</v>
      </c>
      <c r="B24" s="404">
        <f t="shared" si="1"/>
        <v>-69.05537682649256</v>
      </c>
      <c r="C24" s="404">
        <f t="shared" si="2"/>
        <v>24.695639666941553</v>
      </c>
      <c r="D24" s="409">
        <f t="shared" si="0"/>
        <v>0.0032979759267366747</v>
      </c>
    </row>
    <row r="25" spans="1:4" ht="12.75">
      <c r="A25" s="402">
        <v>62</v>
      </c>
      <c r="B25" s="404">
        <f t="shared" si="1"/>
        <v>-71.05537682649256</v>
      </c>
      <c r="C25" s="404">
        <f t="shared" si="2"/>
        <v>22.695639666941553</v>
      </c>
      <c r="D25" s="409">
        <f t="shared" si="0"/>
        <v>0.006151608288150961</v>
      </c>
    </row>
    <row r="26" spans="1:4" ht="12.75">
      <c r="A26" s="402">
        <v>60</v>
      </c>
      <c r="B26" s="404">
        <f t="shared" si="1"/>
        <v>-73.05537682649256</v>
      </c>
      <c r="C26" s="404">
        <f t="shared" si="2"/>
        <v>20.695639666941553</v>
      </c>
      <c r="D26" s="409">
        <f t="shared" si="0"/>
        <v>0.010617320282629785</v>
      </c>
    </row>
    <row r="27" spans="1:4" ht="12.75">
      <c r="A27" s="402">
        <v>58</v>
      </c>
      <c r="B27" s="404">
        <f t="shared" si="1"/>
        <v>-75.05537682649256</v>
      </c>
      <c r="C27" s="404">
        <f t="shared" si="2"/>
        <v>18.695639666941553</v>
      </c>
      <c r="D27" s="409">
        <f t="shared" si="0"/>
        <v>0.01695610965794016</v>
      </c>
    </row>
    <row r="28" spans="1:4" ht="12.75">
      <c r="A28" s="402">
        <v>56</v>
      </c>
      <c r="B28" s="404">
        <f t="shared" si="1"/>
        <v>-77.05537682649256</v>
      </c>
      <c r="C28" s="404">
        <f t="shared" si="2"/>
        <v>16.695639666941553</v>
      </c>
      <c r="D28" s="409">
        <f t="shared" si="0"/>
        <v>0.02505662466645939</v>
      </c>
    </row>
    <row r="29" spans="1:4" ht="12.75">
      <c r="A29" s="402">
        <v>54</v>
      </c>
      <c r="B29" s="404">
        <f t="shared" si="1"/>
        <v>-79.05537682649256</v>
      </c>
      <c r="C29" s="404">
        <f t="shared" si="2"/>
        <v>14.695639666941553</v>
      </c>
      <c r="D29" s="409">
        <f t="shared" si="0"/>
        <v>0.03426131055740326</v>
      </c>
    </row>
    <row r="30" spans="1:4" ht="12.75">
      <c r="A30" s="402">
        <v>52</v>
      </c>
      <c r="B30" s="404">
        <f t="shared" si="1"/>
        <v>-81.05537682649256</v>
      </c>
      <c r="C30" s="404">
        <f t="shared" si="2"/>
        <v>12.695639666941553</v>
      </c>
      <c r="D30" s="409">
        <f t="shared" si="0"/>
        <v>0.043348136113678694</v>
      </c>
    </row>
    <row r="31" spans="1:4" ht="12.75">
      <c r="A31" s="402">
        <v>50</v>
      </c>
      <c r="B31" s="404">
        <f t="shared" si="1"/>
        <v>-83.05537682649256</v>
      </c>
      <c r="C31" s="404">
        <f t="shared" si="2"/>
        <v>10.695639666941553</v>
      </c>
      <c r="D31" s="409">
        <f t="shared" si="0"/>
        <v>0.05074835137685456</v>
      </c>
    </row>
    <row r="32" spans="1:4" ht="12.75">
      <c r="A32" s="402">
        <v>48</v>
      </c>
      <c r="B32" s="404">
        <f t="shared" si="1"/>
        <v>-85.05537682649256</v>
      </c>
      <c r="C32" s="404">
        <f t="shared" si="2"/>
        <v>8.695639666941553</v>
      </c>
      <c r="D32" s="409">
        <f t="shared" si="0"/>
        <v>0.05497414720131543</v>
      </c>
    </row>
    <row r="33" spans="1:4" ht="12.75">
      <c r="A33" s="402">
        <v>46</v>
      </c>
      <c r="B33" s="404">
        <f t="shared" si="1"/>
        <v>-87.05537682649256</v>
      </c>
      <c r="C33" s="404">
        <f t="shared" si="2"/>
        <v>6.6956396669415525</v>
      </c>
      <c r="D33" s="409">
        <f t="shared" si="0"/>
        <v>0.05510361824971438</v>
      </c>
    </row>
    <row r="34" spans="1:4" ht="12.75">
      <c r="A34" s="402">
        <v>44</v>
      </c>
      <c r="B34" s="404">
        <f t="shared" si="1"/>
        <v>-89.05537682649256</v>
      </c>
      <c r="C34" s="404">
        <f t="shared" si="2"/>
        <v>4.6956396669415525</v>
      </c>
      <c r="D34" s="409">
        <f t="shared" si="0"/>
        <v>0.05110775278426869</v>
      </c>
    </row>
    <row r="35" spans="1:4" ht="12.75">
      <c r="A35" s="402">
        <v>42</v>
      </c>
      <c r="B35" s="404">
        <f t="shared" si="1"/>
        <v>-91.05537682649256</v>
      </c>
      <c r="C35" s="404">
        <f t="shared" si="2"/>
        <v>2.6956396669415525</v>
      </c>
      <c r="D35" s="409">
        <f t="shared" si="0"/>
        <v>0.0438609977705901</v>
      </c>
    </row>
    <row r="36" spans="1:4" ht="12.75">
      <c r="A36" s="402">
        <v>40</v>
      </c>
      <c r="B36" s="404">
        <f t="shared" si="1"/>
        <v>-93.05537682649256</v>
      </c>
      <c r="C36" s="404">
        <f t="shared" si="2"/>
        <v>0.6956396669415525</v>
      </c>
      <c r="D36" s="409">
        <f t="shared" si="0"/>
        <v>0.03483014492667889</v>
      </c>
    </row>
    <row r="37" spans="1:4" ht="12.75">
      <c r="A37" s="402">
        <v>38</v>
      </c>
      <c r="B37" s="404">
        <f t="shared" si="1"/>
        <v>-95.05537682649256</v>
      </c>
      <c r="C37" s="404">
        <f t="shared" si="2"/>
        <v>-1.3043603330584475</v>
      </c>
      <c r="D37" s="409">
        <f t="shared" si="0"/>
        <v>0.025592759116471023</v>
      </c>
    </row>
    <row r="38" spans="1:4" ht="12.75">
      <c r="A38" s="402">
        <v>36</v>
      </c>
      <c r="B38" s="404">
        <f t="shared" si="1"/>
        <v>-97.05537682649256</v>
      </c>
      <c r="C38" s="404">
        <f t="shared" si="2"/>
        <v>-3.3043603330584475</v>
      </c>
      <c r="D38" s="409">
        <f t="shared" si="0"/>
        <v>0.017400590615854465</v>
      </c>
    </row>
    <row r="39" spans="1:4" ht="12.75">
      <c r="A39" s="402">
        <v>34</v>
      </c>
      <c r="B39" s="404">
        <f t="shared" si="1"/>
        <v>-99.05537682649256</v>
      </c>
      <c r="C39" s="404">
        <f t="shared" si="2"/>
        <v>-5.3043603330584475</v>
      </c>
      <c r="D39" s="409">
        <f t="shared" si="0"/>
        <v>0.010947020285694286</v>
      </c>
    </row>
    <row r="40" spans="1:4" ht="12.75">
      <c r="A40" s="402">
        <v>32</v>
      </c>
      <c r="B40" s="404">
        <f t="shared" si="1"/>
        <v>-101.05537682649256</v>
      </c>
      <c r="C40" s="404">
        <f t="shared" si="2"/>
        <v>-7.3043603330584475</v>
      </c>
      <c r="D40" s="409">
        <f t="shared" si="0"/>
        <v>0.006372544974411608</v>
      </c>
    </row>
    <row r="41" spans="1:4" ht="12.75">
      <c r="A41" s="402">
        <v>30</v>
      </c>
      <c r="B41" s="404">
        <f t="shared" si="1"/>
        <v>-103.05537682649256</v>
      </c>
      <c r="C41" s="404">
        <f t="shared" si="2"/>
        <v>-9.304360333058447</v>
      </c>
      <c r="D41" s="409">
        <f t="shared" si="0"/>
        <v>0.0034325347963776055</v>
      </c>
    </row>
    <row r="42" spans="1:4" ht="12.75">
      <c r="A42" s="402">
        <v>28</v>
      </c>
      <c r="B42" s="404">
        <f t="shared" si="1"/>
        <v>-105.05537682649256</v>
      </c>
      <c r="C42" s="404">
        <f t="shared" si="2"/>
        <v>-11.304360333058447</v>
      </c>
      <c r="D42" s="409">
        <f t="shared" si="0"/>
        <v>0.0017108110264495656</v>
      </c>
    </row>
    <row r="43" spans="1:4" ht="12.75">
      <c r="A43" s="402">
        <v>26</v>
      </c>
      <c r="B43" s="404">
        <f t="shared" si="1"/>
        <v>-107.05537682649256</v>
      </c>
      <c r="C43" s="404">
        <f t="shared" si="2"/>
        <v>-13.304360333058447</v>
      </c>
      <c r="D43" s="409">
        <f t="shared" si="0"/>
        <v>0.000788994881615546</v>
      </c>
    </row>
    <row r="44" spans="1:4" ht="12.75">
      <c r="A44" s="402">
        <v>24</v>
      </c>
      <c r="B44" s="404">
        <f t="shared" si="1"/>
        <v>-109.05537682649256</v>
      </c>
      <c r="C44" s="404">
        <f t="shared" si="2"/>
        <v>-15.304360333058447</v>
      </c>
      <c r="D44" s="409">
        <f t="shared" si="0"/>
        <v>0.00033669090420257393</v>
      </c>
    </row>
    <row r="45" spans="1:4" ht="12.75">
      <c r="A45" s="402">
        <v>22</v>
      </c>
      <c r="B45" s="404">
        <f t="shared" si="1"/>
        <v>-111.05537682649256</v>
      </c>
      <c r="C45" s="404">
        <f t="shared" si="2"/>
        <v>-17.304360333058447</v>
      </c>
      <c r="D45" s="409">
        <f t="shared" si="0"/>
        <v>0.00013294549794748845</v>
      </c>
    </row>
    <row r="46" spans="1:4" ht="12.75">
      <c r="A46" s="402">
        <v>20</v>
      </c>
      <c r="B46" s="404">
        <f t="shared" si="1"/>
        <v>-113.05537682649256</v>
      </c>
      <c r="C46" s="404">
        <f t="shared" si="2"/>
        <v>-19.304360333058447</v>
      </c>
      <c r="D46" s="409">
        <f t="shared" si="0"/>
        <v>4.857367235220898E-05</v>
      </c>
    </row>
    <row r="47" spans="1:4" ht="12.75">
      <c r="A47" s="402"/>
      <c r="B47" s="404"/>
      <c r="C47" s="404"/>
      <c r="D47" s="409"/>
    </row>
    <row r="48" spans="1:4" ht="12.75">
      <c r="A48" s="402"/>
      <c r="B48" s="404"/>
      <c r="C48" s="404"/>
      <c r="D48" s="409"/>
    </row>
    <row r="49" spans="1:9" ht="13.5" thickBot="1">
      <c r="A49" s="500" t="s">
        <v>166</v>
      </c>
      <c r="B49" s="500"/>
      <c r="C49" s="500"/>
      <c r="D49" s="500"/>
      <c r="E49" s="500"/>
      <c r="F49" s="500"/>
      <c r="G49" s="500"/>
      <c r="H49" s="500"/>
      <c r="I49" s="500"/>
    </row>
    <row r="50" spans="1:9" ht="25.5">
      <c r="A50" s="370" t="s">
        <v>131</v>
      </c>
      <c r="B50" s="446">
        <v>1</v>
      </c>
      <c r="C50" s="446">
        <v>2</v>
      </c>
      <c r="D50" s="446">
        <v>3</v>
      </c>
      <c r="E50" s="446">
        <v>4</v>
      </c>
      <c r="F50" s="446">
        <v>5</v>
      </c>
      <c r="G50" s="446">
        <v>6</v>
      </c>
      <c r="H50" s="446">
        <v>7</v>
      </c>
      <c r="I50" s="447">
        <v>8</v>
      </c>
    </row>
    <row r="51" spans="1:9" ht="12.75">
      <c r="A51" s="494" t="s">
        <v>130</v>
      </c>
      <c r="B51" s="448">
        <v>0.99</v>
      </c>
      <c r="C51" s="338">
        <f>1-(1-$B51)^(1/C$50)</f>
        <v>0.8999999999999999</v>
      </c>
      <c r="D51" s="338">
        <f aca="true" t="shared" si="3" ref="D51:I51">1-(1-$B51)^(1/D$50)</f>
        <v>0.7845565309968116</v>
      </c>
      <c r="E51" s="338">
        <f t="shared" si="3"/>
        <v>0.683772233983162</v>
      </c>
      <c r="F51" s="338">
        <f t="shared" si="3"/>
        <v>0.6018928294465027</v>
      </c>
      <c r="G51" s="338">
        <f t="shared" si="3"/>
        <v>0.535841116638722</v>
      </c>
      <c r="H51" s="338">
        <f t="shared" si="3"/>
        <v>0.4820525320768788</v>
      </c>
      <c r="I51" s="339">
        <f t="shared" si="3"/>
        <v>0.4376586748096509</v>
      </c>
    </row>
    <row r="52" spans="1:9" ht="12.75">
      <c r="A52" s="495"/>
      <c r="B52" s="449">
        <v>0.999</v>
      </c>
      <c r="C52" s="338">
        <f aca="true" t="shared" si="4" ref="C52:I54">1-(1-$B52)^(1/C$50)</f>
        <v>0.9683772233983162</v>
      </c>
      <c r="D52" s="338">
        <f t="shared" si="4"/>
        <v>0.8999999999999999</v>
      </c>
      <c r="E52" s="338">
        <f t="shared" si="4"/>
        <v>0.8221720589961077</v>
      </c>
      <c r="F52" s="338">
        <f t="shared" si="4"/>
        <v>0.748811356849042</v>
      </c>
      <c r="G52" s="338">
        <f t="shared" si="4"/>
        <v>0.683772233983162</v>
      </c>
      <c r="H52" s="338">
        <f t="shared" si="4"/>
        <v>0.6272406279685059</v>
      </c>
      <c r="I52" s="339">
        <f t="shared" si="4"/>
        <v>0.5783034965714178</v>
      </c>
    </row>
    <row r="53" spans="1:9" ht="12.75">
      <c r="A53" s="495"/>
      <c r="B53" s="450">
        <v>0.9999</v>
      </c>
      <c r="C53" s="338">
        <f t="shared" si="4"/>
        <v>0.9900000000000005</v>
      </c>
      <c r="D53" s="338">
        <f t="shared" si="4"/>
        <v>0.9535841116638739</v>
      </c>
      <c r="E53" s="338">
        <f t="shared" si="4"/>
        <v>0.9000000000000028</v>
      </c>
      <c r="F53" s="338">
        <f t="shared" si="4"/>
        <v>0.8415106807538921</v>
      </c>
      <c r="G53" s="338">
        <f t="shared" si="4"/>
        <v>0.7845565309968155</v>
      </c>
      <c r="H53" s="338">
        <f t="shared" si="4"/>
        <v>0.7317304204720316</v>
      </c>
      <c r="I53" s="339">
        <f t="shared" si="4"/>
        <v>0.6837722339831664</v>
      </c>
    </row>
    <row r="54" spans="1:9" ht="13.5" thickBot="1">
      <c r="A54" s="496"/>
      <c r="B54" s="451">
        <v>0.99999</v>
      </c>
      <c r="C54" s="368">
        <f t="shared" si="4"/>
        <v>0.9968377223398388</v>
      </c>
      <c r="D54" s="368">
        <f t="shared" si="4"/>
        <v>0.9784556530997138</v>
      </c>
      <c r="E54" s="368">
        <f t="shared" si="4"/>
        <v>0.9437658674810291</v>
      </c>
      <c r="F54" s="368">
        <f t="shared" si="4"/>
        <v>0.9000000000000911</v>
      </c>
      <c r="G54" s="368">
        <f t="shared" si="4"/>
        <v>0.8532200732379044</v>
      </c>
      <c r="H54" s="368">
        <f t="shared" si="4"/>
        <v>0.8069302271118005</v>
      </c>
      <c r="I54" s="369">
        <f t="shared" si="4"/>
        <v>0.7628626294339693</v>
      </c>
    </row>
    <row r="55" spans="1:9" ht="12.75">
      <c r="A55" s="456"/>
      <c r="B55" s="457"/>
      <c r="C55" s="338"/>
      <c r="D55" s="338"/>
      <c r="E55" s="338"/>
      <c r="F55" s="338"/>
      <c r="G55" s="338"/>
      <c r="H55" s="338"/>
      <c r="I55" s="338"/>
    </row>
    <row r="56" spans="1:9" ht="13.5" thickBot="1">
      <c r="A56" s="501" t="s">
        <v>167</v>
      </c>
      <c r="B56" s="501"/>
      <c r="C56" s="501"/>
      <c r="D56" s="501"/>
      <c r="E56" s="501"/>
      <c r="F56" s="501"/>
      <c r="G56" s="501"/>
      <c r="H56" s="501"/>
      <c r="I56" s="501"/>
    </row>
    <row r="57" spans="1:9" ht="25.5">
      <c r="A57" s="370" t="s">
        <v>131</v>
      </c>
      <c r="B57" s="446">
        <v>1</v>
      </c>
      <c r="C57" s="446">
        <v>2</v>
      </c>
      <c r="D57" s="446">
        <v>3</v>
      </c>
      <c r="E57" s="446">
        <v>4</v>
      </c>
      <c r="F57" s="446">
        <v>5</v>
      </c>
      <c r="G57" s="446">
        <v>6</v>
      </c>
      <c r="H57" s="446">
        <v>7</v>
      </c>
      <c r="I57" s="447">
        <v>8</v>
      </c>
    </row>
    <row r="58" spans="1:9" ht="12.75">
      <c r="A58" s="494" t="s">
        <v>130</v>
      </c>
      <c r="B58" s="452">
        <f>NORMINV(1-B51,$B$7,$B$12)</f>
        <v>-102.81479169576579</v>
      </c>
      <c r="C58" s="452">
        <f aca="true" t="shared" si="5" ref="C58:I58">NORMINV(1-C51,$B$7,$B$12)</f>
        <v>-95.31511503416212</v>
      </c>
      <c r="D58" s="452">
        <f t="shared" si="5"/>
        <v>-91.77000688671596</v>
      </c>
      <c r="E58" s="452">
        <f t="shared" si="5"/>
        <v>-89.54908631723171</v>
      </c>
      <c r="F58" s="452">
        <f t="shared" si="5"/>
        <v>-87.96972685176901</v>
      </c>
      <c r="G58" s="452">
        <f t="shared" si="5"/>
        <v>-86.76173507822581</v>
      </c>
      <c r="H58" s="452">
        <f t="shared" si="5"/>
        <v>-85.79294419865347</v>
      </c>
      <c r="I58" s="453">
        <f t="shared" si="5"/>
        <v>-84.98967495111978</v>
      </c>
    </row>
    <row r="59" spans="1:9" ht="12.75">
      <c r="A59" s="495"/>
      <c r="B59" s="452">
        <f aca="true" t="shared" si="6" ref="B59:I61">NORMINV(1-B52,$B$7,$B$12)</f>
        <v>-108.29804828960872</v>
      </c>
      <c r="C59" s="452">
        <f t="shared" si="6"/>
        <v>-99.44906603165145</v>
      </c>
      <c r="D59" s="452">
        <f t="shared" si="6"/>
        <v>-95.31511503416212</v>
      </c>
      <c r="E59" s="452">
        <f t="shared" si="6"/>
        <v>-92.74622839543204</v>
      </c>
      <c r="F59" s="452">
        <f t="shared" si="6"/>
        <v>-90.93073449369781</v>
      </c>
      <c r="G59" s="452">
        <f t="shared" si="6"/>
        <v>-89.54908631723171</v>
      </c>
      <c r="H59" s="452">
        <f t="shared" si="6"/>
        <v>-88.4456676457755</v>
      </c>
      <c r="I59" s="453">
        <f t="shared" si="6"/>
        <v>-87.53405628662614</v>
      </c>
    </row>
    <row r="60" spans="1:9" ht="12.75">
      <c r="A60" s="495"/>
      <c r="B60" s="452">
        <f t="shared" si="6"/>
        <v>-112.81153861902125</v>
      </c>
      <c r="C60" s="452">
        <f t="shared" si="6"/>
        <v>-102.81479169576592</v>
      </c>
      <c r="D60" s="452">
        <f t="shared" si="6"/>
        <v>-98.1798610603327</v>
      </c>
      <c r="E60" s="452">
        <f t="shared" si="6"/>
        <v>-95.31511503416223</v>
      </c>
      <c r="F60" s="452">
        <f t="shared" si="6"/>
        <v>-93.29902738240816</v>
      </c>
      <c r="G60" s="452">
        <f t="shared" si="6"/>
        <v>-91.77000688671606</v>
      </c>
      <c r="H60" s="452">
        <f t="shared" si="6"/>
        <v>-90.55245410249401</v>
      </c>
      <c r="I60" s="453">
        <f t="shared" si="6"/>
        <v>-89.5490863172318</v>
      </c>
    </row>
    <row r="61" spans="1:9" ht="13.5" thickBot="1">
      <c r="A61" s="496"/>
      <c r="B61" s="454">
        <f t="shared" si="6"/>
        <v>-116.7298916782319</v>
      </c>
      <c r="C61" s="454">
        <f t="shared" si="6"/>
        <v>-105.71557534058417</v>
      </c>
      <c r="D61" s="454">
        <f t="shared" si="6"/>
        <v>-100.63624105920547</v>
      </c>
      <c r="E61" s="454">
        <f t="shared" si="6"/>
        <v>-97.5090683060078</v>
      </c>
      <c r="F61" s="454">
        <f t="shared" si="6"/>
        <v>-95.31511503416584</v>
      </c>
      <c r="G61" s="454">
        <f t="shared" si="6"/>
        <v>-93.6554806478399</v>
      </c>
      <c r="H61" s="454">
        <f t="shared" si="6"/>
        <v>-92.33682533021464</v>
      </c>
      <c r="I61" s="455">
        <f t="shared" si="6"/>
        <v>-91.25222230753518</v>
      </c>
    </row>
    <row r="62" spans="1:2" ht="12.75">
      <c r="A62" s="337"/>
      <c r="B62" s="404"/>
    </row>
    <row r="63" spans="1:2" ht="12.75">
      <c r="A63" s="337"/>
      <c r="B63" s="404"/>
    </row>
    <row r="64" spans="1:2" ht="12.75">
      <c r="A64" s="337"/>
      <c r="B64" s="404"/>
    </row>
    <row r="65" ht="12.75">
      <c r="A65" s="400" t="s">
        <v>145</v>
      </c>
    </row>
    <row r="66" spans="1:12" ht="12.75">
      <c r="A66" s="400"/>
      <c r="B66" s="400"/>
      <c r="C66" s="424" t="s">
        <v>137</v>
      </c>
      <c r="D66" s="424"/>
      <c r="E66" s="400"/>
      <c r="F66" s="400"/>
      <c r="G66" s="400"/>
      <c r="H66" s="400"/>
      <c r="I66" s="400"/>
      <c r="J66" s="400"/>
      <c r="K66" s="402" t="s">
        <v>138</v>
      </c>
      <c r="L66" s="400"/>
    </row>
    <row r="67" spans="1:12" ht="12.75">
      <c r="A67" s="419" t="s">
        <v>136</v>
      </c>
      <c r="B67" s="383">
        <v>0.03</v>
      </c>
      <c r="C67" s="383">
        <v>1.47</v>
      </c>
      <c r="D67" s="384">
        <v>3</v>
      </c>
      <c r="E67" s="400"/>
      <c r="F67" s="400"/>
      <c r="G67" s="400"/>
      <c r="H67" s="400"/>
      <c r="I67" s="419" t="s">
        <v>136</v>
      </c>
      <c r="J67" s="383">
        <v>0.03</v>
      </c>
      <c r="K67" s="383">
        <v>1.47</v>
      </c>
      <c r="L67" s="384">
        <v>3</v>
      </c>
    </row>
    <row r="68" spans="1:12" ht="12.75">
      <c r="A68" s="420" t="s">
        <v>134</v>
      </c>
      <c r="B68" s="421">
        <v>3.6</v>
      </c>
      <c r="C68" s="421">
        <v>1.7</v>
      </c>
      <c r="D68" s="422">
        <v>1.4</v>
      </c>
      <c r="E68" s="400"/>
      <c r="F68" s="400"/>
      <c r="G68" s="400"/>
      <c r="H68" s="400"/>
      <c r="I68" s="420" t="s">
        <v>134</v>
      </c>
      <c r="J68" s="421">
        <v>6.2</v>
      </c>
      <c r="K68" s="421">
        <v>4.6</v>
      </c>
      <c r="L68" s="422">
        <v>4.3</v>
      </c>
    </row>
    <row r="69" spans="1:12" ht="12.75">
      <c r="A69" s="423" t="s">
        <v>135</v>
      </c>
      <c r="B69" s="424">
        <v>3.4</v>
      </c>
      <c r="C69" s="424">
        <v>1.3</v>
      </c>
      <c r="D69" s="425">
        <v>1.3</v>
      </c>
      <c r="E69" s="400"/>
      <c r="F69" s="400"/>
      <c r="G69" s="400"/>
      <c r="H69" s="400"/>
      <c r="I69" s="423" t="s">
        <v>135</v>
      </c>
      <c r="J69" s="424">
        <v>5.8</v>
      </c>
      <c r="K69" s="424">
        <v>4.6</v>
      </c>
      <c r="L69" s="425">
        <v>4.2</v>
      </c>
    </row>
    <row r="97" spans="2:13" ht="12.75">
      <c r="B97" s="497" t="s">
        <v>134</v>
      </c>
      <c r="C97" s="498"/>
      <c r="D97" s="497" t="s">
        <v>135</v>
      </c>
      <c r="E97" s="499"/>
      <c r="J97" s="497" t="s">
        <v>134</v>
      </c>
      <c r="K97" s="498"/>
      <c r="L97" s="497" t="s">
        <v>135</v>
      </c>
      <c r="M97" s="499"/>
    </row>
    <row r="98" spans="2:13" ht="12.75">
      <c r="B98" s="385" t="s">
        <v>140</v>
      </c>
      <c r="C98" s="356" t="s">
        <v>139</v>
      </c>
      <c r="D98" s="385" t="s">
        <v>140</v>
      </c>
      <c r="E98" s="386" t="s">
        <v>139</v>
      </c>
      <c r="J98" s="385" t="s">
        <v>140</v>
      </c>
      <c r="K98" s="356" t="s">
        <v>139</v>
      </c>
      <c r="L98" s="385" t="s">
        <v>140</v>
      </c>
      <c r="M98" s="386" t="s">
        <v>139</v>
      </c>
    </row>
    <row r="99" spans="1:13" ht="12.75">
      <c r="A99" s="337" t="s">
        <v>141</v>
      </c>
      <c r="B99" s="385">
        <v>0.03</v>
      </c>
      <c r="C99" s="356">
        <f>-0.4812*LN(B99)+1.9089</f>
        <v>3.5962556601903755</v>
      </c>
      <c r="D99" s="385">
        <v>0.03</v>
      </c>
      <c r="E99" s="386">
        <f>-0.4841*LN(D99)+1.6736</f>
        <v>3.371124678092603</v>
      </c>
      <c r="J99" s="385">
        <v>0.03</v>
      </c>
      <c r="K99" s="356">
        <f>-0.4121*LN(J99)+4.7555</f>
        <v>6.200552509485564</v>
      </c>
      <c r="L99" s="385">
        <v>0.03</v>
      </c>
      <c r="M99" s="386">
        <f>-0.3343*LN(L99)+4.6413</f>
        <v>5.81354230507407</v>
      </c>
    </row>
    <row r="100" spans="1:13" ht="12.75">
      <c r="A100" s="337">
        <f>LN(10)</f>
        <v>2.302585092994046</v>
      </c>
      <c r="B100" s="385">
        <v>0.03</v>
      </c>
      <c r="C100" s="356">
        <f>-0.4812*(2.302585*LOG10(B100))+1.9089</f>
        <v>3.5962555920434784</v>
      </c>
      <c r="D100" s="385">
        <v>0.03</v>
      </c>
      <c r="E100" s="386">
        <f>-0.4841*(2.302585*LOG10(D100))+1.6736</f>
        <v>3.371124609535012</v>
      </c>
      <c r="J100" s="385">
        <v>0.03</v>
      </c>
      <c r="K100" s="356">
        <f>-0.4121*(2.302585*LOG10(J100))+4.7555</f>
        <v>6.2005524511245165</v>
      </c>
      <c r="L100" s="385">
        <v>0.03</v>
      </c>
      <c r="M100" s="386">
        <f>-0.3343*(2.302585*LOG10(L100))+4.6413</f>
        <v>5.813542257730953</v>
      </c>
    </row>
    <row r="101" spans="2:13" ht="12.75">
      <c r="B101" s="387">
        <v>6</v>
      </c>
      <c r="C101" s="353">
        <f>-0.4812*(2.302585*LOG10(B101))+1.9089</f>
        <v>1.0467053782287439</v>
      </c>
      <c r="D101" s="387">
        <v>6</v>
      </c>
      <c r="E101" s="388">
        <f>-0.4841*(2.302585*LOG10(D101))+1.6736</f>
        <v>0.8062092759778364</v>
      </c>
      <c r="J101" s="387">
        <v>6</v>
      </c>
      <c r="K101" s="353">
        <f>-0.4121*(2.302585*LOG10(J101))+4.7555</f>
        <v>4.017115952552089</v>
      </c>
      <c r="L101" s="387">
        <v>6</v>
      </c>
      <c r="M101" s="388">
        <f>-0.3343*(2.302585*LOG10(L101))+4.6413</f>
        <v>4.042314833628157</v>
      </c>
    </row>
    <row r="103" spans="2:13" ht="12.75">
      <c r="B103" s="390" t="s">
        <v>143</v>
      </c>
      <c r="C103" s="391" t="s">
        <v>142</v>
      </c>
      <c r="D103" s="390" t="s">
        <v>143</v>
      </c>
      <c r="E103" s="392" t="s">
        <v>142</v>
      </c>
      <c r="J103" s="390" t="s">
        <v>143</v>
      </c>
      <c r="K103" s="391" t="s">
        <v>142</v>
      </c>
      <c r="L103" s="390" t="s">
        <v>143</v>
      </c>
      <c r="M103" s="392" t="s">
        <v>142</v>
      </c>
    </row>
    <row r="104" spans="2:13" ht="12.75">
      <c r="B104" s="393">
        <v>0.03</v>
      </c>
      <c r="C104" s="357">
        <f>C100-C101</f>
        <v>2.549550213814735</v>
      </c>
      <c r="D104" s="393">
        <v>0.03</v>
      </c>
      <c r="E104" s="351">
        <f>E100-E101</f>
        <v>2.5649153335571753</v>
      </c>
      <c r="J104" s="393">
        <v>0.03</v>
      </c>
      <c r="K104" s="357">
        <f>K100-K101</f>
        <v>2.1834364985724273</v>
      </c>
      <c r="L104" s="393">
        <v>0.03</v>
      </c>
      <c r="M104" s="351">
        <f>M100-M101</f>
        <v>1.771227424102796</v>
      </c>
    </row>
    <row r="105" spans="2:13" ht="12.75">
      <c r="B105" s="393">
        <v>0.03</v>
      </c>
      <c r="C105" s="357">
        <f>-0.4812*(2.302585*LOG10(B105))+1.9089-1.046705</f>
        <v>2.5495505920434782</v>
      </c>
      <c r="D105" s="393">
        <v>0.03</v>
      </c>
      <c r="E105" s="351">
        <f>-0.4841*(2.302585*LOG10(D100))+1.6736-0.806209</f>
        <v>2.564915609535012</v>
      </c>
      <c r="J105" s="393">
        <v>0.03</v>
      </c>
      <c r="K105" s="357">
        <f>-0.4121*(2.302585*LOG10(J100))+4.7555-4.017116</f>
        <v>2.183436451124517</v>
      </c>
      <c r="L105" s="393">
        <v>0.03</v>
      </c>
      <c r="M105" s="351">
        <f>-0.3343*(2.302585*LOG10(L100))+4.6413-4.042315</f>
        <v>1.7712272577309527</v>
      </c>
    </row>
    <row r="106" spans="2:13" ht="12.75">
      <c r="B106" s="393">
        <v>0.03</v>
      </c>
      <c r="C106" s="394">
        <f>-1.108003902*LOG10(B106)+0.862195</f>
        <v>2.5495505920434782</v>
      </c>
      <c r="D106" s="393">
        <v>0.03</v>
      </c>
      <c r="E106" s="395">
        <f>-1.1146813985*LOG10(D106)+0.867391</f>
        <v>2.564915609535012</v>
      </c>
      <c r="J106" s="393">
        <v>0.03</v>
      </c>
      <c r="K106" s="394">
        <f>-0.9488952785*LOG10(J106)+0.738384</f>
        <v>2.1834364511245163</v>
      </c>
      <c r="L106" s="393">
        <v>0.03</v>
      </c>
      <c r="M106" s="395">
        <f>-0.7697541655*LOG10(L106)+0.598985</f>
        <v>1.7712272577309531</v>
      </c>
    </row>
    <row r="107" spans="2:13" ht="12.75">
      <c r="B107" s="393">
        <v>1.47</v>
      </c>
      <c r="C107" s="394">
        <f>-1.108003902*LOG10(B107)+0.862195</f>
        <v>0.6768067402267808</v>
      </c>
      <c r="D107" s="393">
        <v>1.47</v>
      </c>
      <c r="E107" s="395">
        <f>-1.1146813985*LOG10(D107)+0.867391</f>
        <v>0.6808854793096104</v>
      </c>
      <c r="J107" s="393">
        <v>1.47</v>
      </c>
      <c r="K107" s="394">
        <f>-0.9488952785*LOG10(J107)+0.738384</f>
        <v>0.5796173710462518</v>
      </c>
      <c r="L107" s="393">
        <v>1.47</v>
      </c>
      <c r="M107" s="395">
        <f>-0.7697541655*LOG10(L107)+0.598985</f>
        <v>0.47019178461723354</v>
      </c>
    </row>
    <row r="108" spans="2:13" ht="12.75">
      <c r="B108" s="393">
        <v>3</v>
      </c>
      <c r="C108" s="394">
        <f>-1.108003902*LOG10(B108)+0.862195</f>
        <v>0.33354278804347814</v>
      </c>
      <c r="D108" s="393">
        <v>3</v>
      </c>
      <c r="E108" s="395">
        <f>-1.1146813985*LOG10(D108)+0.867391</f>
        <v>0.335552812535012</v>
      </c>
      <c r="J108" s="393">
        <v>3</v>
      </c>
      <c r="K108" s="394">
        <f>-0.9488952785*LOG10(J108)+0.738384</f>
        <v>0.2856458941245165</v>
      </c>
      <c r="L108" s="393">
        <v>3</v>
      </c>
      <c r="M108" s="395">
        <f>-0.7697541655*LOG10(L108)+0.598985</f>
        <v>0.2317189267309533</v>
      </c>
    </row>
    <row r="109" spans="2:13" ht="12.75">
      <c r="B109" s="396">
        <v>6</v>
      </c>
      <c r="C109" s="397">
        <f>-1.108003902*LOG10(B109)+0.862195</f>
        <v>3.7822874388027117E-07</v>
      </c>
      <c r="D109" s="396">
        <v>6</v>
      </c>
      <c r="E109" s="398">
        <f>-1.1146813985*LOG10(D109)+0.867391</f>
        <v>2.759778365835075E-07</v>
      </c>
      <c r="J109" s="396">
        <v>6</v>
      </c>
      <c r="K109" s="397">
        <f>-0.9488952785*LOG10(J109)+0.738384</f>
        <v>-4.7447910711539976E-08</v>
      </c>
      <c r="L109" s="396">
        <v>6</v>
      </c>
      <c r="M109" s="398">
        <f>-0.7697541655*LOG10(L109)+0.598985</f>
        <v>-1.663718431910155E-07</v>
      </c>
    </row>
    <row r="111" ht="12.75">
      <c r="B111" s="400" t="s">
        <v>144</v>
      </c>
    </row>
    <row r="112" spans="2:3" ht="12.75">
      <c r="B112" s="401">
        <v>0.03</v>
      </c>
      <c r="C112" s="349">
        <f>-1.11*LOG10(B112)+0.86</f>
        <v>2.550395407261175</v>
      </c>
    </row>
    <row r="113" spans="2:3" ht="12.75">
      <c r="B113" s="393">
        <v>1.47</v>
      </c>
      <c r="C113" s="351">
        <f>-1.11*LOG10(B113)+0.86</f>
        <v>0.6742777584295245</v>
      </c>
    </row>
    <row r="114" spans="2:3" ht="12.75">
      <c r="B114" s="393">
        <v>3</v>
      </c>
      <c r="C114" s="351">
        <f>-1.11*LOG10(B114)+0.86</f>
        <v>0.33039540726117467</v>
      </c>
    </row>
    <row r="115" spans="2:3" ht="12.75">
      <c r="B115" s="396">
        <v>6</v>
      </c>
      <c r="C115" s="354">
        <f>-1.11*LOG10(B115)+0.86</f>
        <v>-0.003747887925844573</v>
      </c>
    </row>
  </sheetData>
  <mergeCells count="9">
    <mergeCell ref="J97:K97"/>
    <mergeCell ref="L97:M97"/>
    <mergeCell ref="A1:O1"/>
    <mergeCell ref="B97:C97"/>
    <mergeCell ref="D97:E97"/>
    <mergeCell ref="A51:A54"/>
    <mergeCell ref="A58:A61"/>
    <mergeCell ref="A49:I49"/>
    <mergeCell ref="A56:I56"/>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78"/>
  <sheetViews>
    <sheetView zoomScale="75" zoomScaleNormal="75" workbookViewId="0" topLeftCell="A1">
      <selection activeCell="L2" sqref="L2"/>
    </sheetView>
  </sheetViews>
  <sheetFormatPr defaultColWidth="9.140625" defaultRowHeight="12.75"/>
  <cols>
    <col min="1" max="1" width="17.7109375" style="0" customWidth="1"/>
    <col min="9" max="12" width="9.7109375" style="0" customWidth="1"/>
  </cols>
  <sheetData>
    <row r="1" spans="1:13" ht="38.25" customHeight="1">
      <c r="A1" s="436" t="s">
        <v>169</v>
      </c>
      <c r="B1" s="436"/>
      <c r="C1" s="436"/>
      <c r="D1" s="436"/>
      <c r="E1" s="436"/>
      <c r="F1" s="436"/>
      <c r="G1" s="436"/>
      <c r="H1" s="436"/>
      <c r="I1" s="436"/>
      <c r="J1" s="436"/>
      <c r="K1" s="436"/>
      <c r="L1" s="436"/>
      <c r="M1" s="407"/>
    </row>
    <row r="3" spans="1:2" ht="12.75">
      <c r="A3" s="403" t="s">
        <v>148</v>
      </c>
      <c r="B3" s="413">
        <v>6</v>
      </c>
    </row>
    <row r="4" ht="12.75">
      <c r="B4" s="337"/>
    </row>
    <row r="5" ht="12.75">
      <c r="A5" s="400" t="s">
        <v>146</v>
      </c>
    </row>
    <row r="6" spans="1:3" ht="12.75">
      <c r="A6" s="399" t="s">
        <v>158</v>
      </c>
      <c r="B6" s="417">
        <f>'Sensing time'!$B$12+$I$7*NORMSINV(90%)+0+0</f>
        <v>46.93939686640984</v>
      </c>
      <c r="C6" s="349" t="s">
        <v>152</v>
      </c>
    </row>
    <row r="7" spans="1:9" ht="12.75">
      <c r="A7" s="350" t="s">
        <v>159</v>
      </c>
      <c r="B7" s="416">
        <f>$B$6-'Sensing time'!$B$10+'Sensing time'!$B$5</f>
        <v>-86.11597996008273</v>
      </c>
      <c r="C7" s="351" t="s">
        <v>149</v>
      </c>
      <c r="D7" t="s">
        <v>157</v>
      </c>
      <c r="I7" s="404">
        <v>4.61253066999403</v>
      </c>
    </row>
    <row r="8" spans="1:3" ht="12.75">
      <c r="A8" s="352" t="s">
        <v>160</v>
      </c>
      <c r="B8" s="418">
        <f>$B$6-'Sensing time'!$B$10+'Sensing time'!$B$29</f>
        <v>7.635036533351389</v>
      </c>
      <c r="C8" s="354" t="s">
        <v>20</v>
      </c>
    </row>
    <row r="9" ht="12.75">
      <c r="B9" s="404"/>
    </row>
    <row r="10" spans="1:2" ht="12.75">
      <c r="A10" s="400" t="s">
        <v>147</v>
      </c>
      <c r="B10" s="404"/>
    </row>
    <row r="11" spans="1:3" ht="12.75">
      <c r="A11" s="399" t="s">
        <v>161</v>
      </c>
      <c r="B11" s="417">
        <f>5.5^2+$I$7^2+(-1.11*LOG10($B$3)+0.86)^2</f>
        <v>51.52545322829948</v>
      </c>
      <c r="C11" s="349"/>
    </row>
    <row r="12" spans="1:3" ht="12.75">
      <c r="A12" s="352" t="s">
        <v>162</v>
      </c>
      <c r="B12" s="418">
        <f>SQRT($B$11)</f>
        <v>7.178123238583988</v>
      </c>
      <c r="C12" s="354" t="s">
        <v>20</v>
      </c>
    </row>
    <row r="13" spans="5:8" ht="12.75">
      <c r="E13" s="389"/>
      <c r="F13" s="389"/>
      <c r="G13" s="389"/>
      <c r="H13" s="389"/>
    </row>
    <row r="14" spans="4:8" ht="12.75">
      <c r="D14" s="427" t="s">
        <v>165</v>
      </c>
      <c r="E14" s="410">
        <v>0.01</v>
      </c>
      <c r="F14" s="410">
        <v>0.05</v>
      </c>
      <c r="G14" s="410">
        <v>0.1</v>
      </c>
      <c r="H14" s="411">
        <v>0.2</v>
      </c>
    </row>
    <row r="15" spans="1:12" ht="12.75">
      <c r="A15" s="402" t="s">
        <v>153</v>
      </c>
      <c r="B15" s="402" t="s">
        <v>151</v>
      </c>
      <c r="C15" s="402" t="s">
        <v>133</v>
      </c>
      <c r="D15" s="428" t="s">
        <v>164</v>
      </c>
      <c r="E15" s="414">
        <v>500</v>
      </c>
      <c r="F15" s="414">
        <v>500</v>
      </c>
      <c r="G15" s="414">
        <v>500</v>
      </c>
      <c r="H15" s="415">
        <v>500</v>
      </c>
      <c r="I15" s="412">
        <f>E14</f>
        <v>0.01</v>
      </c>
      <c r="J15" s="412">
        <f>F14</f>
        <v>0.05</v>
      </c>
      <c r="K15" s="412">
        <f>G14</f>
        <v>0.1</v>
      </c>
      <c r="L15" s="412">
        <f>H14</f>
        <v>0.2</v>
      </c>
    </row>
    <row r="16" spans="1:8" ht="12.75">
      <c r="A16" s="402" t="s">
        <v>152</v>
      </c>
      <c r="B16" s="402" t="s">
        <v>149</v>
      </c>
      <c r="C16" s="402" t="s">
        <v>20</v>
      </c>
      <c r="D16" s="402" t="s">
        <v>150</v>
      </c>
      <c r="E16" s="405" t="s">
        <v>79</v>
      </c>
      <c r="F16" s="377" t="s">
        <v>79</v>
      </c>
      <c r="G16" s="377" t="s">
        <v>79</v>
      </c>
      <c r="H16" s="374" t="s">
        <v>79</v>
      </c>
    </row>
    <row r="17" spans="1:12" ht="12.75">
      <c r="A17" s="402">
        <v>100</v>
      </c>
      <c r="B17" s="404">
        <f aca="true" t="shared" si="0" ref="B17:B77">A17-$B$6+$B$7</f>
        <v>-33.05537682649256</v>
      </c>
      <c r="C17" s="404">
        <f aca="true" t="shared" si="1" ref="C17:C57">A17-$B$6+$B$8</f>
        <v>60.69563966694155</v>
      </c>
      <c r="D17" s="409">
        <f aca="true" t="shared" si="2" ref="D17:D57">1/($B$12*SQRT(2*PI()))*EXP(-((A17-$B$6)^2/(2*$B$11)))</f>
        <v>7.579666121612607E-14</v>
      </c>
      <c r="E17" s="199">
        <f aca="true" t="shared" si="3" ref="E17:H46">1-NORMSDIST((-NORMSINV(E$14)/10^($C17/10)-SQRT(E$15/2))/(1+1/10^($C17/10)))</f>
        <v>1</v>
      </c>
      <c r="F17" s="378">
        <f t="shared" si="3"/>
        <v>1</v>
      </c>
      <c r="G17" s="378">
        <f t="shared" si="3"/>
        <v>1</v>
      </c>
      <c r="H17" s="375">
        <f t="shared" si="3"/>
        <v>1</v>
      </c>
      <c r="I17" s="160">
        <f>$D17*E17</f>
        <v>7.579666121612607E-14</v>
      </c>
      <c r="J17" s="160">
        <f>$D17*F17</f>
        <v>7.579666121612607E-14</v>
      </c>
      <c r="K17" s="160">
        <f>$D17*G17</f>
        <v>7.579666121612607E-14</v>
      </c>
      <c r="L17" s="160">
        <f>$D17*H17</f>
        <v>7.579666121612607E-14</v>
      </c>
    </row>
    <row r="18" spans="1:12" ht="12.75">
      <c r="A18" s="402">
        <v>98</v>
      </c>
      <c r="B18" s="404">
        <f t="shared" si="0"/>
        <v>-35.05537682649256</v>
      </c>
      <c r="C18" s="404">
        <f t="shared" si="1"/>
        <v>58.69563966694155</v>
      </c>
      <c r="D18" s="409">
        <f t="shared" si="2"/>
        <v>5.718212820357677E-13</v>
      </c>
      <c r="E18" s="199">
        <f t="shared" si="3"/>
        <v>1</v>
      </c>
      <c r="F18" s="378">
        <f t="shared" si="3"/>
        <v>1</v>
      </c>
      <c r="G18" s="378">
        <f t="shared" si="3"/>
        <v>1</v>
      </c>
      <c r="H18" s="375">
        <f t="shared" si="3"/>
        <v>1</v>
      </c>
      <c r="I18" s="160">
        <f aca="true" t="shared" si="4" ref="I18:I77">$D18*E18</f>
        <v>5.718212820357677E-13</v>
      </c>
      <c r="J18" s="160">
        <f aca="true" t="shared" si="5" ref="J18:J77">$D18*F18</f>
        <v>5.718212820357677E-13</v>
      </c>
      <c r="K18" s="160">
        <f aca="true" t="shared" si="6" ref="K18:K77">$D18*G18</f>
        <v>5.718212820357677E-13</v>
      </c>
      <c r="L18" s="160">
        <f aca="true" t="shared" si="7" ref="L18:L77">$D18*H18</f>
        <v>5.718212820357677E-13</v>
      </c>
    </row>
    <row r="19" spans="1:12" ht="12.75">
      <c r="A19" s="402">
        <v>96</v>
      </c>
      <c r="B19" s="404">
        <f t="shared" si="0"/>
        <v>-37.05537682649256</v>
      </c>
      <c r="C19" s="404">
        <f aca="true" t="shared" si="8" ref="C19:C28">A19-$B$6+$B$8</f>
        <v>56.69563966694155</v>
      </c>
      <c r="D19" s="409">
        <f aca="true" t="shared" si="9" ref="D19:D28">1/($B$12*SQRT(2*PI()))*EXP(-((A19-$B$6)^2/(2*$B$11)))</f>
        <v>3.991678979464813E-12</v>
      </c>
      <c r="E19" s="199">
        <f t="shared" si="3"/>
        <v>1</v>
      </c>
      <c r="F19" s="378">
        <f t="shared" si="3"/>
        <v>1</v>
      </c>
      <c r="G19" s="378">
        <f t="shared" si="3"/>
        <v>1</v>
      </c>
      <c r="H19" s="375">
        <f t="shared" si="3"/>
        <v>1</v>
      </c>
      <c r="I19" s="160">
        <f aca="true" t="shared" si="10" ref="I19:I28">$D19*E19</f>
        <v>3.991678979464813E-12</v>
      </c>
      <c r="J19" s="160">
        <f aca="true" t="shared" si="11" ref="J19:J28">$D19*F19</f>
        <v>3.991678979464813E-12</v>
      </c>
      <c r="K19" s="160">
        <f aca="true" t="shared" si="12" ref="K19:K28">$D19*G19</f>
        <v>3.991678979464813E-12</v>
      </c>
      <c r="L19" s="160">
        <f aca="true" t="shared" si="13" ref="L19:L28">$D19*H19</f>
        <v>3.991678979464813E-12</v>
      </c>
    </row>
    <row r="20" spans="1:12" ht="12.75">
      <c r="A20" s="402">
        <v>94</v>
      </c>
      <c r="B20" s="404">
        <f t="shared" si="0"/>
        <v>-39.05537682649256</v>
      </c>
      <c r="C20" s="404">
        <f t="shared" si="8"/>
        <v>54.69563966694155</v>
      </c>
      <c r="D20" s="409">
        <f t="shared" si="9"/>
        <v>2.578314862384372E-11</v>
      </c>
      <c r="E20" s="199">
        <f t="shared" si="3"/>
        <v>1</v>
      </c>
      <c r="F20" s="378">
        <f t="shared" si="3"/>
        <v>1</v>
      </c>
      <c r="G20" s="378">
        <f t="shared" si="3"/>
        <v>1</v>
      </c>
      <c r="H20" s="375">
        <f t="shared" si="3"/>
        <v>1</v>
      </c>
      <c r="I20" s="160">
        <f t="shared" si="10"/>
        <v>2.578314862384372E-11</v>
      </c>
      <c r="J20" s="160">
        <f t="shared" si="11"/>
        <v>2.578314862384372E-11</v>
      </c>
      <c r="K20" s="160">
        <f t="shared" si="12"/>
        <v>2.578314862384372E-11</v>
      </c>
      <c r="L20" s="160">
        <f t="shared" si="13"/>
        <v>2.578314862384372E-11</v>
      </c>
    </row>
    <row r="21" spans="1:12" ht="12.75">
      <c r="A21" s="402">
        <v>92</v>
      </c>
      <c r="B21" s="404">
        <f t="shared" si="0"/>
        <v>-41.05537682649256</v>
      </c>
      <c r="C21" s="404">
        <f t="shared" si="8"/>
        <v>52.69563966694155</v>
      </c>
      <c r="D21" s="409">
        <f t="shared" si="9"/>
        <v>1.540995427478028E-10</v>
      </c>
      <c r="E21" s="199">
        <f t="shared" si="3"/>
        <v>1</v>
      </c>
      <c r="F21" s="378">
        <f t="shared" si="3"/>
        <v>1</v>
      </c>
      <c r="G21" s="378">
        <f t="shared" si="3"/>
        <v>1</v>
      </c>
      <c r="H21" s="375">
        <f t="shared" si="3"/>
        <v>1</v>
      </c>
      <c r="I21" s="160">
        <f t="shared" si="10"/>
        <v>1.540995427478028E-10</v>
      </c>
      <c r="J21" s="160">
        <f t="shared" si="11"/>
        <v>1.540995427478028E-10</v>
      </c>
      <c r="K21" s="160">
        <f t="shared" si="12"/>
        <v>1.540995427478028E-10</v>
      </c>
      <c r="L21" s="160">
        <f t="shared" si="13"/>
        <v>1.540995427478028E-10</v>
      </c>
    </row>
    <row r="22" spans="1:12" ht="12.75">
      <c r="A22" s="402">
        <v>90</v>
      </c>
      <c r="B22" s="404">
        <f t="shared" si="0"/>
        <v>-43.05537682649256</v>
      </c>
      <c r="C22" s="404">
        <f t="shared" si="8"/>
        <v>50.69563966694155</v>
      </c>
      <c r="D22" s="409">
        <f t="shared" si="9"/>
        <v>8.522201549169703E-10</v>
      </c>
      <c r="E22" s="199">
        <f t="shared" si="3"/>
        <v>1</v>
      </c>
      <c r="F22" s="378">
        <f t="shared" si="3"/>
        <v>1</v>
      </c>
      <c r="G22" s="378">
        <f t="shared" si="3"/>
        <v>1</v>
      </c>
      <c r="H22" s="375">
        <f t="shared" si="3"/>
        <v>1</v>
      </c>
      <c r="I22" s="160">
        <f t="shared" si="10"/>
        <v>8.522201549169703E-10</v>
      </c>
      <c r="J22" s="160">
        <f t="shared" si="11"/>
        <v>8.522201549169703E-10</v>
      </c>
      <c r="K22" s="160">
        <f t="shared" si="12"/>
        <v>8.522201549169703E-10</v>
      </c>
      <c r="L22" s="160">
        <f t="shared" si="13"/>
        <v>8.522201549169703E-10</v>
      </c>
    </row>
    <row r="23" spans="1:12" ht="12.75">
      <c r="A23" s="402">
        <v>88</v>
      </c>
      <c r="B23" s="404">
        <f t="shared" si="0"/>
        <v>-45.05537682649256</v>
      </c>
      <c r="C23" s="404">
        <f t="shared" si="8"/>
        <v>48.69563966694155</v>
      </c>
      <c r="D23" s="409">
        <f t="shared" si="9"/>
        <v>4.361012232874298E-09</v>
      </c>
      <c r="E23" s="199">
        <f t="shared" si="3"/>
        <v>1</v>
      </c>
      <c r="F23" s="378">
        <f t="shared" si="3"/>
        <v>1</v>
      </c>
      <c r="G23" s="378">
        <f t="shared" si="3"/>
        <v>1</v>
      </c>
      <c r="H23" s="375">
        <f t="shared" si="3"/>
        <v>1</v>
      </c>
      <c r="I23" s="160">
        <f t="shared" si="10"/>
        <v>4.361012232874298E-09</v>
      </c>
      <c r="J23" s="160">
        <f t="shared" si="11"/>
        <v>4.361012232874298E-09</v>
      </c>
      <c r="K23" s="160">
        <f t="shared" si="12"/>
        <v>4.361012232874298E-09</v>
      </c>
      <c r="L23" s="160">
        <f t="shared" si="13"/>
        <v>4.361012232874298E-09</v>
      </c>
    </row>
    <row r="24" spans="1:12" ht="12.75">
      <c r="A24" s="402">
        <v>86</v>
      </c>
      <c r="B24" s="404">
        <f t="shared" si="0"/>
        <v>-47.05537682649256</v>
      </c>
      <c r="C24" s="404">
        <f t="shared" si="8"/>
        <v>46.69563966694155</v>
      </c>
      <c r="D24" s="409">
        <f t="shared" si="9"/>
        <v>2.064942019063024E-08</v>
      </c>
      <c r="E24" s="199">
        <f t="shared" si="3"/>
        <v>1</v>
      </c>
      <c r="F24" s="378">
        <f t="shared" si="3"/>
        <v>1</v>
      </c>
      <c r="G24" s="378">
        <f t="shared" si="3"/>
        <v>1</v>
      </c>
      <c r="H24" s="375">
        <f t="shared" si="3"/>
        <v>1</v>
      </c>
      <c r="I24" s="160">
        <f t="shared" si="10"/>
        <v>2.064942019063024E-08</v>
      </c>
      <c r="J24" s="160">
        <f t="shared" si="11"/>
        <v>2.064942019063024E-08</v>
      </c>
      <c r="K24" s="160">
        <f t="shared" si="12"/>
        <v>2.064942019063024E-08</v>
      </c>
      <c r="L24" s="160">
        <f t="shared" si="13"/>
        <v>2.064942019063024E-08</v>
      </c>
    </row>
    <row r="25" spans="1:12" ht="12.75">
      <c r="A25" s="402">
        <v>84</v>
      </c>
      <c r="B25" s="404">
        <f t="shared" si="0"/>
        <v>-49.05537682649256</v>
      </c>
      <c r="C25" s="404">
        <f t="shared" si="8"/>
        <v>44.69563966694155</v>
      </c>
      <c r="D25" s="409">
        <f t="shared" si="9"/>
        <v>9.047185010299532E-08</v>
      </c>
      <c r="E25" s="199">
        <f t="shared" si="3"/>
        <v>1</v>
      </c>
      <c r="F25" s="378">
        <f t="shared" si="3"/>
        <v>1</v>
      </c>
      <c r="G25" s="378">
        <f t="shared" si="3"/>
        <v>1</v>
      </c>
      <c r="H25" s="375">
        <f t="shared" si="3"/>
        <v>1</v>
      </c>
      <c r="I25" s="160">
        <f t="shared" si="10"/>
        <v>9.047185010299532E-08</v>
      </c>
      <c r="J25" s="160">
        <f t="shared" si="11"/>
        <v>9.047185010299532E-08</v>
      </c>
      <c r="K25" s="160">
        <f t="shared" si="12"/>
        <v>9.047185010299532E-08</v>
      </c>
      <c r="L25" s="160">
        <f t="shared" si="13"/>
        <v>9.047185010299532E-08</v>
      </c>
    </row>
    <row r="26" spans="1:12" ht="12.75">
      <c r="A26" s="402">
        <v>82</v>
      </c>
      <c r="B26" s="404">
        <f t="shared" si="0"/>
        <v>-51.05537682649256</v>
      </c>
      <c r="C26" s="404">
        <f t="shared" si="8"/>
        <v>42.69563966694155</v>
      </c>
      <c r="D26" s="409">
        <f t="shared" si="9"/>
        <v>3.6677872310225565E-07</v>
      </c>
      <c r="E26" s="199">
        <f t="shared" si="3"/>
        <v>1</v>
      </c>
      <c r="F26" s="378">
        <f t="shared" si="3"/>
        <v>1</v>
      </c>
      <c r="G26" s="378">
        <f t="shared" si="3"/>
        <v>1</v>
      </c>
      <c r="H26" s="375">
        <f t="shared" si="3"/>
        <v>1</v>
      </c>
      <c r="I26" s="160">
        <f t="shared" si="10"/>
        <v>3.6677872310225565E-07</v>
      </c>
      <c r="J26" s="160">
        <f t="shared" si="11"/>
        <v>3.6677872310225565E-07</v>
      </c>
      <c r="K26" s="160">
        <f t="shared" si="12"/>
        <v>3.6677872310225565E-07</v>
      </c>
      <c r="L26" s="160">
        <f t="shared" si="13"/>
        <v>3.6677872310225565E-07</v>
      </c>
    </row>
    <row r="27" spans="1:12" ht="12.75">
      <c r="A27" s="402">
        <v>80</v>
      </c>
      <c r="B27" s="404">
        <f t="shared" si="0"/>
        <v>-53.05537682649256</v>
      </c>
      <c r="C27" s="404">
        <f t="shared" si="8"/>
        <v>40.69563966694155</v>
      </c>
      <c r="D27" s="409">
        <f t="shared" si="9"/>
        <v>1.375877757532747E-06</v>
      </c>
      <c r="E27" s="199">
        <f t="shared" si="3"/>
        <v>1</v>
      </c>
      <c r="F27" s="378">
        <f t="shared" si="3"/>
        <v>1</v>
      </c>
      <c r="G27" s="378">
        <f t="shared" si="3"/>
        <v>1</v>
      </c>
      <c r="H27" s="375">
        <f t="shared" si="3"/>
        <v>1</v>
      </c>
      <c r="I27" s="160">
        <f t="shared" si="10"/>
        <v>1.375877757532747E-06</v>
      </c>
      <c r="J27" s="160">
        <f t="shared" si="11"/>
        <v>1.375877757532747E-06</v>
      </c>
      <c r="K27" s="160">
        <f t="shared" si="12"/>
        <v>1.375877757532747E-06</v>
      </c>
      <c r="L27" s="160">
        <f t="shared" si="13"/>
        <v>1.375877757532747E-06</v>
      </c>
    </row>
    <row r="28" spans="1:12" ht="12.75">
      <c r="A28" s="402">
        <v>78</v>
      </c>
      <c r="B28" s="404">
        <f t="shared" si="0"/>
        <v>-55.05537682649256</v>
      </c>
      <c r="C28" s="404">
        <f t="shared" si="8"/>
        <v>38.69563966694155</v>
      </c>
      <c r="D28" s="409">
        <f t="shared" si="9"/>
        <v>4.775739378998941E-06</v>
      </c>
      <c r="E28" s="199">
        <f t="shared" si="3"/>
        <v>1</v>
      </c>
      <c r="F28" s="378">
        <f t="shared" si="3"/>
        <v>1</v>
      </c>
      <c r="G28" s="378">
        <f t="shared" si="3"/>
        <v>1</v>
      </c>
      <c r="H28" s="375">
        <f t="shared" si="3"/>
        <v>1</v>
      </c>
      <c r="I28" s="160">
        <f t="shared" si="10"/>
        <v>4.775739378998941E-06</v>
      </c>
      <c r="J28" s="160">
        <f t="shared" si="11"/>
        <v>4.775739378998941E-06</v>
      </c>
      <c r="K28" s="160">
        <f t="shared" si="12"/>
        <v>4.775739378998941E-06</v>
      </c>
      <c r="L28" s="160">
        <f t="shared" si="13"/>
        <v>4.775739378998941E-06</v>
      </c>
    </row>
    <row r="29" spans="1:12" ht="12.75">
      <c r="A29" s="402">
        <v>76</v>
      </c>
      <c r="B29" s="404">
        <f t="shared" si="0"/>
        <v>-57.05537682649256</v>
      </c>
      <c r="C29" s="404">
        <f t="shared" si="1"/>
        <v>36.69563966694155</v>
      </c>
      <c r="D29" s="409">
        <f t="shared" si="2"/>
        <v>1.5338625358706894E-05</v>
      </c>
      <c r="E29" s="199">
        <f t="shared" si="3"/>
        <v>1</v>
      </c>
      <c r="F29" s="378">
        <f t="shared" si="3"/>
        <v>1</v>
      </c>
      <c r="G29" s="378">
        <f t="shared" si="3"/>
        <v>1</v>
      </c>
      <c r="H29" s="375">
        <f t="shared" si="3"/>
        <v>1</v>
      </c>
      <c r="I29" s="160">
        <f t="shared" si="4"/>
        <v>1.5338625358706894E-05</v>
      </c>
      <c r="J29" s="160">
        <f t="shared" si="5"/>
        <v>1.5338625358706894E-05</v>
      </c>
      <c r="K29" s="160">
        <f t="shared" si="6"/>
        <v>1.5338625358706894E-05</v>
      </c>
      <c r="L29" s="160">
        <f t="shared" si="7"/>
        <v>1.5338625358706894E-05</v>
      </c>
    </row>
    <row r="30" spans="1:12" ht="12.75">
      <c r="A30" s="402">
        <v>74</v>
      </c>
      <c r="B30" s="404">
        <f t="shared" si="0"/>
        <v>-59.05537682649256</v>
      </c>
      <c r="C30" s="404">
        <f t="shared" si="1"/>
        <v>34.69563966694155</v>
      </c>
      <c r="D30" s="409">
        <f t="shared" si="2"/>
        <v>4.558451249286357E-05</v>
      </c>
      <c r="E30" s="199">
        <f t="shared" si="3"/>
        <v>1</v>
      </c>
      <c r="F30" s="378">
        <f t="shared" si="3"/>
        <v>1</v>
      </c>
      <c r="G30" s="378">
        <f t="shared" si="3"/>
        <v>1</v>
      </c>
      <c r="H30" s="375">
        <f t="shared" si="3"/>
        <v>1</v>
      </c>
      <c r="I30" s="160">
        <f t="shared" si="4"/>
        <v>4.558451249286357E-05</v>
      </c>
      <c r="J30" s="160">
        <f t="shared" si="5"/>
        <v>4.558451249286357E-05</v>
      </c>
      <c r="K30" s="160">
        <f t="shared" si="6"/>
        <v>4.558451249286357E-05</v>
      </c>
      <c r="L30" s="160">
        <f t="shared" si="7"/>
        <v>4.558451249286357E-05</v>
      </c>
    </row>
    <row r="31" spans="1:12" ht="12.75">
      <c r="A31" s="402">
        <v>72</v>
      </c>
      <c r="B31" s="404">
        <f t="shared" si="0"/>
        <v>-61.05537682649256</v>
      </c>
      <c r="C31" s="404">
        <f t="shared" si="1"/>
        <v>32.69563966694155</v>
      </c>
      <c r="D31" s="409">
        <f t="shared" si="2"/>
        <v>0.00012535256989683368</v>
      </c>
      <c r="E31" s="199">
        <f t="shared" si="3"/>
        <v>1</v>
      </c>
      <c r="F31" s="378">
        <f t="shared" si="3"/>
        <v>1</v>
      </c>
      <c r="G31" s="378">
        <f t="shared" si="3"/>
        <v>1</v>
      </c>
      <c r="H31" s="375">
        <f t="shared" si="3"/>
        <v>1</v>
      </c>
      <c r="I31" s="160">
        <f t="shared" si="4"/>
        <v>0.00012535256989683368</v>
      </c>
      <c r="J31" s="160">
        <f t="shared" si="5"/>
        <v>0.00012535256989683368</v>
      </c>
      <c r="K31" s="160">
        <f t="shared" si="6"/>
        <v>0.00012535256989683368</v>
      </c>
      <c r="L31" s="160">
        <f t="shared" si="7"/>
        <v>0.00012535256989683368</v>
      </c>
    </row>
    <row r="32" spans="1:12" ht="12.75">
      <c r="A32" s="402">
        <v>70</v>
      </c>
      <c r="B32" s="404">
        <f t="shared" si="0"/>
        <v>-63.05537682649256</v>
      </c>
      <c r="C32" s="404">
        <f t="shared" si="1"/>
        <v>30.695639666941553</v>
      </c>
      <c r="D32" s="409">
        <f t="shared" si="2"/>
        <v>0.0003189585309493094</v>
      </c>
      <c r="E32" s="199">
        <f t="shared" si="3"/>
        <v>1</v>
      </c>
      <c r="F32" s="378">
        <f t="shared" si="3"/>
        <v>1</v>
      </c>
      <c r="G32" s="378">
        <f t="shared" si="3"/>
        <v>1</v>
      </c>
      <c r="H32" s="375">
        <f t="shared" si="3"/>
        <v>1</v>
      </c>
      <c r="I32" s="160">
        <f t="shared" si="4"/>
        <v>0.0003189585309493094</v>
      </c>
      <c r="J32" s="160">
        <f t="shared" si="5"/>
        <v>0.0003189585309493094</v>
      </c>
      <c r="K32" s="160">
        <f t="shared" si="6"/>
        <v>0.0003189585309493094</v>
      </c>
      <c r="L32" s="160">
        <f t="shared" si="7"/>
        <v>0.0003189585309493094</v>
      </c>
    </row>
    <row r="33" spans="1:12" ht="12.75">
      <c r="A33" s="402">
        <v>68</v>
      </c>
      <c r="B33" s="404">
        <f t="shared" si="0"/>
        <v>-65.05537682649256</v>
      </c>
      <c r="C33" s="404">
        <f t="shared" si="1"/>
        <v>28.695639666941553</v>
      </c>
      <c r="D33" s="409">
        <f t="shared" si="2"/>
        <v>0.000750965967096785</v>
      </c>
      <c r="E33" s="199">
        <f t="shared" si="3"/>
        <v>1</v>
      </c>
      <c r="F33" s="378">
        <f t="shared" si="3"/>
        <v>1</v>
      </c>
      <c r="G33" s="378">
        <f t="shared" si="3"/>
        <v>1</v>
      </c>
      <c r="H33" s="375">
        <f t="shared" si="3"/>
        <v>1</v>
      </c>
      <c r="I33" s="160">
        <f t="shared" si="4"/>
        <v>0.000750965967096785</v>
      </c>
      <c r="J33" s="160">
        <f t="shared" si="5"/>
        <v>0.000750965967096785</v>
      </c>
      <c r="K33" s="160">
        <f t="shared" si="6"/>
        <v>0.000750965967096785</v>
      </c>
      <c r="L33" s="160">
        <f t="shared" si="7"/>
        <v>0.000750965967096785</v>
      </c>
    </row>
    <row r="34" spans="1:12" ht="12.75">
      <c r="A34" s="402">
        <v>66</v>
      </c>
      <c r="B34" s="404">
        <f t="shared" si="0"/>
        <v>-67.05537682649256</v>
      </c>
      <c r="C34" s="404">
        <f t="shared" si="1"/>
        <v>26.695639666941553</v>
      </c>
      <c r="D34" s="409">
        <f t="shared" si="2"/>
        <v>0.0016360302972600873</v>
      </c>
      <c r="E34" s="199">
        <f t="shared" si="3"/>
        <v>1</v>
      </c>
      <c r="F34" s="378">
        <f t="shared" si="3"/>
        <v>1</v>
      </c>
      <c r="G34" s="378">
        <f t="shared" si="3"/>
        <v>1</v>
      </c>
      <c r="H34" s="375">
        <f t="shared" si="3"/>
        <v>1</v>
      </c>
      <c r="I34" s="160">
        <f t="shared" si="4"/>
        <v>0.0016360302972600873</v>
      </c>
      <c r="J34" s="160">
        <f t="shared" si="5"/>
        <v>0.0016360302972600873</v>
      </c>
      <c r="K34" s="160">
        <f t="shared" si="6"/>
        <v>0.0016360302972600873</v>
      </c>
      <c r="L34" s="160">
        <f t="shared" si="7"/>
        <v>0.0016360302972600873</v>
      </c>
    </row>
    <row r="35" spans="1:12" ht="12.75">
      <c r="A35" s="402">
        <v>64</v>
      </c>
      <c r="B35" s="404">
        <f t="shared" si="0"/>
        <v>-69.05537682649256</v>
      </c>
      <c r="C35" s="404">
        <f t="shared" si="1"/>
        <v>24.695639666941553</v>
      </c>
      <c r="D35" s="409">
        <f t="shared" si="2"/>
        <v>0.0032979759267366747</v>
      </c>
      <c r="E35" s="199">
        <f t="shared" si="3"/>
        <v>1</v>
      </c>
      <c r="F35" s="378">
        <f t="shared" si="3"/>
        <v>1</v>
      </c>
      <c r="G35" s="378">
        <f t="shared" si="3"/>
        <v>1</v>
      </c>
      <c r="H35" s="375">
        <f t="shared" si="3"/>
        <v>1</v>
      </c>
      <c r="I35" s="160">
        <f t="shared" si="4"/>
        <v>0.0032979759267366747</v>
      </c>
      <c r="J35" s="160">
        <f t="shared" si="5"/>
        <v>0.0032979759267366747</v>
      </c>
      <c r="K35" s="160">
        <f t="shared" si="6"/>
        <v>0.0032979759267366747</v>
      </c>
      <c r="L35" s="160">
        <f t="shared" si="7"/>
        <v>0.0032979759267366747</v>
      </c>
    </row>
    <row r="36" spans="1:12" ht="12.75">
      <c r="A36" s="402">
        <v>62</v>
      </c>
      <c r="B36" s="404">
        <f t="shared" si="0"/>
        <v>-71.05537682649256</v>
      </c>
      <c r="C36" s="404">
        <f t="shared" si="1"/>
        <v>22.695639666941553</v>
      </c>
      <c r="D36" s="409">
        <f t="shared" si="2"/>
        <v>0.006151608288150961</v>
      </c>
      <c r="E36" s="199">
        <f t="shared" si="3"/>
        <v>1</v>
      </c>
      <c r="F36" s="378">
        <f t="shared" si="3"/>
        <v>1</v>
      </c>
      <c r="G36" s="378">
        <f t="shared" si="3"/>
        <v>1</v>
      </c>
      <c r="H36" s="375">
        <f t="shared" si="3"/>
        <v>1</v>
      </c>
      <c r="I36" s="160">
        <f t="shared" si="4"/>
        <v>0.006151608288150961</v>
      </c>
      <c r="J36" s="160">
        <f t="shared" si="5"/>
        <v>0.006151608288150961</v>
      </c>
      <c r="K36" s="160">
        <f t="shared" si="6"/>
        <v>0.006151608288150961</v>
      </c>
      <c r="L36" s="160">
        <f t="shared" si="7"/>
        <v>0.006151608288150961</v>
      </c>
    </row>
    <row r="37" spans="1:12" ht="12.75">
      <c r="A37" s="402">
        <v>60</v>
      </c>
      <c r="B37" s="404">
        <f t="shared" si="0"/>
        <v>-73.05537682649256</v>
      </c>
      <c r="C37" s="404">
        <f t="shared" si="1"/>
        <v>20.695639666941553</v>
      </c>
      <c r="D37" s="409">
        <f t="shared" si="2"/>
        <v>0.010617320282629785</v>
      </c>
      <c r="E37" s="199">
        <f t="shared" si="3"/>
        <v>1</v>
      </c>
      <c r="F37" s="378">
        <f t="shared" si="3"/>
        <v>1</v>
      </c>
      <c r="G37" s="378">
        <f t="shared" si="3"/>
        <v>1</v>
      </c>
      <c r="H37" s="375">
        <f t="shared" si="3"/>
        <v>1</v>
      </c>
      <c r="I37" s="160">
        <f t="shared" si="4"/>
        <v>0.010617320282629785</v>
      </c>
      <c r="J37" s="160">
        <f t="shared" si="5"/>
        <v>0.010617320282629785</v>
      </c>
      <c r="K37" s="160">
        <f t="shared" si="6"/>
        <v>0.010617320282629785</v>
      </c>
      <c r="L37" s="160">
        <f t="shared" si="7"/>
        <v>0.010617320282629785</v>
      </c>
    </row>
    <row r="38" spans="1:12" ht="12.75">
      <c r="A38" s="402">
        <v>58</v>
      </c>
      <c r="B38" s="404">
        <f t="shared" si="0"/>
        <v>-75.05537682649256</v>
      </c>
      <c r="C38" s="404">
        <f t="shared" si="1"/>
        <v>18.695639666941553</v>
      </c>
      <c r="D38" s="409">
        <f t="shared" si="2"/>
        <v>0.01695610965794016</v>
      </c>
      <c r="E38" s="199">
        <f t="shared" si="3"/>
        <v>1</v>
      </c>
      <c r="F38" s="378">
        <f t="shared" si="3"/>
        <v>1</v>
      </c>
      <c r="G38" s="378">
        <f t="shared" si="3"/>
        <v>1</v>
      </c>
      <c r="H38" s="375">
        <f t="shared" si="3"/>
        <v>1</v>
      </c>
      <c r="I38" s="160">
        <f t="shared" si="4"/>
        <v>0.01695610965794016</v>
      </c>
      <c r="J38" s="160">
        <f t="shared" si="5"/>
        <v>0.01695610965794016</v>
      </c>
      <c r="K38" s="160">
        <f t="shared" si="6"/>
        <v>0.01695610965794016</v>
      </c>
      <c r="L38" s="160">
        <f t="shared" si="7"/>
        <v>0.01695610965794016</v>
      </c>
    </row>
    <row r="39" spans="1:12" ht="12.75">
      <c r="A39" s="402">
        <v>56</v>
      </c>
      <c r="B39" s="404">
        <f t="shared" si="0"/>
        <v>-77.05537682649256</v>
      </c>
      <c r="C39" s="404">
        <f t="shared" si="1"/>
        <v>16.695639666941553</v>
      </c>
      <c r="D39" s="409">
        <f t="shared" si="2"/>
        <v>0.02505662466645939</v>
      </c>
      <c r="E39" s="199">
        <f t="shared" si="3"/>
        <v>1</v>
      </c>
      <c r="F39" s="378">
        <f t="shared" si="3"/>
        <v>1</v>
      </c>
      <c r="G39" s="378">
        <f t="shared" si="3"/>
        <v>1</v>
      </c>
      <c r="H39" s="375">
        <f t="shared" si="3"/>
        <v>1</v>
      </c>
      <c r="I39" s="160">
        <f t="shared" si="4"/>
        <v>0.02505662466645939</v>
      </c>
      <c r="J39" s="160">
        <f t="shared" si="5"/>
        <v>0.02505662466645939</v>
      </c>
      <c r="K39" s="160">
        <f t="shared" si="6"/>
        <v>0.02505662466645939</v>
      </c>
      <c r="L39" s="160">
        <f t="shared" si="7"/>
        <v>0.02505662466645939</v>
      </c>
    </row>
    <row r="40" spans="1:12" ht="12.75">
      <c r="A40" s="402">
        <v>54</v>
      </c>
      <c r="B40" s="404">
        <f t="shared" si="0"/>
        <v>-79.05537682649256</v>
      </c>
      <c r="C40" s="404">
        <f t="shared" si="1"/>
        <v>14.695639666941553</v>
      </c>
      <c r="D40" s="409">
        <f t="shared" si="2"/>
        <v>0.03426131055740326</v>
      </c>
      <c r="E40" s="199">
        <f t="shared" si="3"/>
        <v>1</v>
      </c>
      <c r="F40" s="378">
        <f t="shared" si="3"/>
        <v>1</v>
      </c>
      <c r="G40" s="378">
        <f t="shared" si="3"/>
        <v>1</v>
      </c>
      <c r="H40" s="375">
        <f t="shared" si="3"/>
        <v>1</v>
      </c>
      <c r="I40" s="160">
        <f t="shared" si="4"/>
        <v>0.03426131055740326</v>
      </c>
      <c r="J40" s="160">
        <f t="shared" si="5"/>
        <v>0.03426131055740326</v>
      </c>
      <c r="K40" s="160">
        <f t="shared" si="6"/>
        <v>0.03426131055740326</v>
      </c>
      <c r="L40" s="160">
        <f t="shared" si="7"/>
        <v>0.03426131055740326</v>
      </c>
    </row>
    <row r="41" spans="1:12" ht="12.75">
      <c r="A41" s="402">
        <v>52</v>
      </c>
      <c r="B41" s="404">
        <f t="shared" si="0"/>
        <v>-81.05537682649256</v>
      </c>
      <c r="C41" s="404">
        <f t="shared" si="1"/>
        <v>12.695639666941553</v>
      </c>
      <c r="D41" s="409">
        <f t="shared" si="2"/>
        <v>0.043348136113678694</v>
      </c>
      <c r="E41" s="199">
        <f t="shared" si="3"/>
        <v>1</v>
      </c>
      <c r="F41" s="378">
        <f t="shared" si="3"/>
        <v>1</v>
      </c>
      <c r="G41" s="378">
        <f t="shared" si="3"/>
        <v>1</v>
      </c>
      <c r="H41" s="375">
        <f t="shared" si="3"/>
        <v>1</v>
      </c>
      <c r="I41" s="160">
        <f t="shared" si="4"/>
        <v>0.043348136113678694</v>
      </c>
      <c r="J41" s="160">
        <f t="shared" si="5"/>
        <v>0.043348136113678694</v>
      </c>
      <c r="K41" s="160">
        <f t="shared" si="6"/>
        <v>0.043348136113678694</v>
      </c>
      <c r="L41" s="160">
        <f t="shared" si="7"/>
        <v>0.043348136113678694</v>
      </c>
    </row>
    <row r="42" spans="1:12" ht="12.75">
      <c r="A42" s="402">
        <v>50</v>
      </c>
      <c r="B42" s="404">
        <f t="shared" si="0"/>
        <v>-83.05537682649256</v>
      </c>
      <c r="C42" s="404">
        <f t="shared" si="1"/>
        <v>10.695639666941553</v>
      </c>
      <c r="D42" s="409">
        <f t="shared" si="2"/>
        <v>0.05074835137685456</v>
      </c>
      <c r="E42" s="199">
        <f t="shared" si="3"/>
        <v>1</v>
      </c>
      <c r="F42" s="378">
        <f t="shared" si="3"/>
        <v>1</v>
      </c>
      <c r="G42" s="378">
        <f t="shared" si="3"/>
        <v>1</v>
      </c>
      <c r="H42" s="375">
        <f t="shared" si="3"/>
        <v>1</v>
      </c>
      <c r="I42" s="160">
        <f t="shared" si="4"/>
        <v>0.05074835137685456</v>
      </c>
      <c r="J42" s="160">
        <f t="shared" si="5"/>
        <v>0.05074835137685456</v>
      </c>
      <c r="K42" s="160">
        <f t="shared" si="6"/>
        <v>0.05074835137685456</v>
      </c>
      <c r="L42" s="160">
        <f t="shared" si="7"/>
        <v>0.05074835137685456</v>
      </c>
    </row>
    <row r="43" spans="1:12" ht="12.75">
      <c r="A43" s="402">
        <v>48</v>
      </c>
      <c r="B43" s="404">
        <f t="shared" si="0"/>
        <v>-85.05537682649256</v>
      </c>
      <c r="C43" s="404">
        <f t="shared" si="1"/>
        <v>8.695639666941553</v>
      </c>
      <c r="D43" s="409">
        <f t="shared" si="2"/>
        <v>0.05497414720131543</v>
      </c>
      <c r="E43" s="199">
        <f t="shared" si="3"/>
        <v>1</v>
      </c>
      <c r="F43" s="378">
        <f t="shared" si="3"/>
        <v>1</v>
      </c>
      <c r="G43" s="378">
        <f t="shared" si="3"/>
        <v>1</v>
      </c>
      <c r="H43" s="375">
        <f t="shared" si="3"/>
        <v>1</v>
      </c>
      <c r="I43" s="160">
        <f t="shared" si="4"/>
        <v>0.05497414720131543</v>
      </c>
      <c r="J43" s="160">
        <f t="shared" si="5"/>
        <v>0.05497414720131543</v>
      </c>
      <c r="K43" s="160">
        <f t="shared" si="6"/>
        <v>0.05497414720131543</v>
      </c>
      <c r="L43" s="160">
        <f t="shared" si="7"/>
        <v>0.05497414720131543</v>
      </c>
    </row>
    <row r="44" spans="1:12" ht="12.75">
      <c r="A44" s="402">
        <v>46</v>
      </c>
      <c r="B44" s="404">
        <f t="shared" si="0"/>
        <v>-87.05537682649256</v>
      </c>
      <c r="C44" s="404">
        <f t="shared" si="1"/>
        <v>6.6956396669415525</v>
      </c>
      <c r="D44" s="409">
        <f t="shared" si="2"/>
        <v>0.05510361824971438</v>
      </c>
      <c r="E44" s="199">
        <f t="shared" si="3"/>
        <v>1</v>
      </c>
      <c r="F44" s="378">
        <f t="shared" si="3"/>
        <v>1</v>
      </c>
      <c r="G44" s="378">
        <f t="shared" si="3"/>
        <v>1</v>
      </c>
      <c r="H44" s="375">
        <f t="shared" si="3"/>
        <v>1</v>
      </c>
      <c r="I44" s="160">
        <f t="shared" si="4"/>
        <v>0.05510361824971438</v>
      </c>
      <c r="J44" s="160">
        <f t="shared" si="5"/>
        <v>0.05510361824971438</v>
      </c>
      <c r="K44" s="160">
        <f t="shared" si="6"/>
        <v>0.05510361824971438</v>
      </c>
      <c r="L44" s="160">
        <f t="shared" si="7"/>
        <v>0.05510361824971438</v>
      </c>
    </row>
    <row r="45" spans="1:12" ht="12.75">
      <c r="A45" s="402">
        <v>44</v>
      </c>
      <c r="B45" s="404">
        <f t="shared" si="0"/>
        <v>-89.05537682649256</v>
      </c>
      <c r="C45" s="404">
        <f t="shared" si="1"/>
        <v>4.6956396669415525</v>
      </c>
      <c r="D45" s="409">
        <f t="shared" si="2"/>
        <v>0.05110775278426869</v>
      </c>
      <c r="E45" s="199">
        <f t="shared" si="3"/>
        <v>1</v>
      </c>
      <c r="F45" s="378">
        <f t="shared" si="3"/>
        <v>1</v>
      </c>
      <c r="G45" s="378">
        <f t="shared" si="3"/>
        <v>1</v>
      </c>
      <c r="H45" s="375">
        <f t="shared" si="3"/>
        <v>1</v>
      </c>
      <c r="I45" s="160">
        <f t="shared" si="4"/>
        <v>0.05110775278426869</v>
      </c>
      <c r="J45" s="160">
        <f t="shared" si="5"/>
        <v>0.05110775278426869</v>
      </c>
      <c r="K45" s="160">
        <f t="shared" si="6"/>
        <v>0.05110775278426869</v>
      </c>
      <c r="L45" s="160">
        <f t="shared" si="7"/>
        <v>0.05110775278426869</v>
      </c>
    </row>
    <row r="46" spans="1:12" ht="12.75">
      <c r="A46" s="402">
        <v>42</v>
      </c>
      <c r="B46" s="404">
        <f t="shared" si="0"/>
        <v>-91.05537682649256</v>
      </c>
      <c r="C46" s="404">
        <f t="shared" si="1"/>
        <v>2.6956396669415525</v>
      </c>
      <c r="D46" s="409">
        <f t="shared" si="2"/>
        <v>0.0438609977705901</v>
      </c>
      <c r="E46" s="199">
        <f t="shared" si="3"/>
        <v>1</v>
      </c>
      <c r="F46" s="378">
        <f t="shared" si="3"/>
        <v>1</v>
      </c>
      <c r="G46" s="378">
        <f t="shared" si="3"/>
        <v>1</v>
      </c>
      <c r="H46" s="375">
        <f t="shared" si="3"/>
        <v>1</v>
      </c>
      <c r="I46" s="160">
        <f t="shared" si="4"/>
        <v>0.0438609977705901</v>
      </c>
      <c r="J46" s="160">
        <f t="shared" si="5"/>
        <v>0.0438609977705901</v>
      </c>
      <c r="K46" s="160">
        <f t="shared" si="6"/>
        <v>0.0438609977705901</v>
      </c>
      <c r="L46" s="160">
        <f t="shared" si="7"/>
        <v>0.0438609977705901</v>
      </c>
    </row>
    <row r="47" spans="1:12" ht="12.75">
      <c r="A47" s="402">
        <v>40</v>
      </c>
      <c r="B47" s="404">
        <f t="shared" si="0"/>
        <v>-93.05537682649256</v>
      </c>
      <c r="C47" s="404">
        <f t="shared" si="1"/>
        <v>0.6956396669415525</v>
      </c>
      <c r="D47" s="409">
        <f t="shared" si="2"/>
        <v>0.03483014492667889</v>
      </c>
      <c r="E47" s="199">
        <f aca="true" t="shared" si="14" ref="E47:H66">1-NORMSDIST((-NORMSINV(E$14)/10^($C47/10)-SQRT(E$15/2))/(1+1/10^($C47/10)))</f>
        <v>0.999999999999959</v>
      </c>
      <c r="F47" s="378">
        <f t="shared" si="14"/>
        <v>0.9999999999999964</v>
      </c>
      <c r="G47" s="378">
        <f t="shared" si="14"/>
        <v>0.999999999999999</v>
      </c>
      <c r="H47" s="375">
        <f t="shared" si="14"/>
        <v>0.9999999999999998</v>
      </c>
      <c r="I47" s="160">
        <f t="shared" si="4"/>
        <v>0.03483014492667746</v>
      </c>
      <c r="J47" s="160">
        <f t="shared" si="5"/>
        <v>0.03483014492667876</v>
      </c>
      <c r="K47" s="160">
        <f t="shared" si="6"/>
        <v>0.03483014492667885</v>
      </c>
      <c r="L47" s="160">
        <f t="shared" si="7"/>
        <v>0.03483014492667888</v>
      </c>
    </row>
    <row r="48" spans="1:12" ht="12.75">
      <c r="A48" s="402">
        <v>38</v>
      </c>
      <c r="B48" s="404">
        <f t="shared" si="0"/>
        <v>-95.05537682649256</v>
      </c>
      <c r="C48" s="404">
        <f t="shared" si="1"/>
        <v>-1.3043603330584475</v>
      </c>
      <c r="D48" s="409">
        <f t="shared" si="2"/>
        <v>0.025592759116471023</v>
      </c>
      <c r="E48" s="199">
        <f t="shared" si="14"/>
        <v>0.9999999649264156</v>
      </c>
      <c r="F48" s="378">
        <f t="shared" si="14"/>
        <v>0.9999999963163414</v>
      </c>
      <c r="G48" s="378">
        <f t="shared" si="14"/>
        <v>0.9999999989575856</v>
      </c>
      <c r="H48" s="375">
        <f t="shared" si="14"/>
        <v>0.9999999997864769</v>
      </c>
      <c r="I48" s="160">
        <f t="shared" si="4"/>
        <v>0.025592758218841227</v>
      </c>
      <c r="J48" s="160">
        <f t="shared" si="5"/>
        <v>0.025592759022196036</v>
      </c>
      <c r="K48" s="160">
        <f t="shared" si="6"/>
        <v>0.025592759089792763</v>
      </c>
      <c r="L48" s="160">
        <f t="shared" si="7"/>
        <v>0.025592759111006377</v>
      </c>
    </row>
    <row r="49" spans="1:12" ht="12.75">
      <c r="A49" s="402">
        <v>36</v>
      </c>
      <c r="B49" s="404">
        <f t="shared" si="0"/>
        <v>-97.05537682649256</v>
      </c>
      <c r="C49" s="404">
        <f t="shared" si="1"/>
        <v>-3.3043603330584475</v>
      </c>
      <c r="D49" s="409">
        <f t="shared" si="2"/>
        <v>0.017400590615854465</v>
      </c>
      <c r="E49" s="199">
        <f t="shared" si="14"/>
        <v>0.999719498422132</v>
      </c>
      <c r="F49" s="378">
        <f t="shared" si="14"/>
        <v>0.9999546599779454</v>
      </c>
      <c r="G49" s="378">
        <f t="shared" si="14"/>
        <v>0.9999842173773608</v>
      </c>
      <c r="H49" s="375">
        <f t="shared" si="14"/>
        <v>0.9999959343944368</v>
      </c>
      <c r="I49" s="160">
        <f t="shared" si="4"/>
        <v>0.017395709722730884</v>
      </c>
      <c r="J49" s="160">
        <f t="shared" si="5"/>
        <v>0.01739980167269218</v>
      </c>
      <c r="K49" s="160">
        <f t="shared" si="6"/>
        <v>0.017400315988899077</v>
      </c>
      <c r="L49" s="160">
        <f t="shared" si="7"/>
        <v>0.017400519871916455</v>
      </c>
    </row>
    <row r="50" spans="1:12" ht="12.75">
      <c r="A50" s="402">
        <v>34</v>
      </c>
      <c r="B50" s="404">
        <f t="shared" si="0"/>
        <v>-99.05537682649256</v>
      </c>
      <c r="C50" s="404">
        <f t="shared" si="1"/>
        <v>-5.3043603330584475</v>
      </c>
      <c r="D50" s="409">
        <f t="shared" si="2"/>
        <v>0.010947020285694286</v>
      </c>
      <c r="E50" s="199">
        <f t="shared" si="14"/>
        <v>0.9643466251183029</v>
      </c>
      <c r="F50" s="378">
        <f t="shared" si="14"/>
        <v>0.9900927104091346</v>
      </c>
      <c r="G50" s="378">
        <f t="shared" si="14"/>
        <v>0.9954784527784198</v>
      </c>
      <c r="H50" s="375">
        <f t="shared" si="14"/>
        <v>0.9984120618584182</v>
      </c>
      <c r="I50" s="160">
        <f t="shared" si="4"/>
        <v>0.010556722067610885</v>
      </c>
      <c r="J50" s="160">
        <f t="shared" si="5"/>
        <v>0.010838564985566835</v>
      </c>
      <c r="K50" s="160">
        <f t="shared" si="6"/>
        <v>0.010897522816536923</v>
      </c>
      <c r="L50" s="160">
        <f t="shared" si="7"/>
        <v>0.010929637094645962</v>
      </c>
    </row>
    <row r="51" spans="1:12" ht="12.75">
      <c r="A51" s="402">
        <v>32</v>
      </c>
      <c r="B51" s="404">
        <f t="shared" si="0"/>
        <v>-101.05537682649256</v>
      </c>
      <c r="C51" s="404">
        <f t="shared" si="1"/>
        <v>-7.3043603330584475</v>
      </c>
      <c r="D51" s="409">
        <f t="shared" si="2"/>
        <v>0.006372544974411608</v>
      </c>
      <c r="E51" s="199">
        <f t="shared" si="14"/>
        <v>0.6979345510025345</v>
      </c>
      <c r="F51" s="378">
        <f t="shared" si="14"/>
        <v>0.8628194327953138</v>
      </c>
      <c r="G51" s="378">
        <f t="shared" si="14"/>
        <v>0.9191526082467072</v>
      </c>
      <c r="H51" s="375">
        <f t="shared" si="14"/>
        <v>0.96166337864216</v>
      </c>
      <c r="I51" s="160">
        <f t="shared" si="4"/>
        <v>0.004447619315459423</v>
      </c>
      <c r="J51" s="160">
        <f t="shared" si="5"/>
        <v>0.005498355640284451</v>
      </c>
      <c r="K51" s="160">
        <f t="shared" si="6"/>
        <v>0.005857341334399875</v>
      </c>
      <c r="L51" s="160">
        <f t="shared" si="7"/>
        <v>0.006128243130641784</v>
      </c>
    </row>
    <row r="52" spans="1:12" ht="12.75">
      <c r="A52" s="402">
        <v>30</v>
      </c>
      <c r="B52" s="404">
        <f t="shared" si="0"/>
        <v>-103.05537682649256</v>
      </c>
      <c r="C52" s="404">
        <f t="shared" si="1"/>
        <v>-9.304360333058447</v>
      </c>
      <c r="D52" s="409">
        <f t="shared" si="2"/>
        <v>0.0034325347963776055</v>
      </c>
      <c r="E52" s="199">
        <f t="shared" si="14"/>
        <v>0.336837561263443</v>
      </c>
      <c r="F52" s="378">
        <f t="shared" si="14"/>
        <v>0.5748747000802383</v>
      </c>
      <c r="G52" s="378">
        <f t="shared" si="14"/>
        <v>0.6963525014364857</v>
      </c>
      <c r="H52" s="375">
        <f t="shared" si="14"/>
        <v>0.8179703479347687</v>
      </c>
      <c r="I52" s="160">
        <f t="shared" si="4"/>
        <v>0.0011562066497637414</v>
      </c>
      <c r="J52" s="160">
        <f t="shared" si="5"/>
        <v>0.001973277411582558</v>
      </c>
      <c r="K52" s="160">
        <f t="shared" si="6"/>
        <v>0.0023902541917253236</v>
      </c>
      <c r="L52" s="160">
        <f t="shared" si="7"/>
        <v>0.0028077116816911905</v>
      </c>
    </row>
    <row r="53" spans="1:12" ht="12.75">
      <c r="A53" s="402">
        <v>28</v>
      </c>
      <c r="B53" s="404">
        <f t="shared" si="0"/>
        <v>-105.05537682649256</v>
      </c>
      <c r="C53" s="404">
        <f t="shared" si="1"/>
        <v>-11.304360333058447</v>
      </c>
      <c r="D53" s="409">
        <f t="shared" si="2"/>
        <v>0.0017108110264495656</v>
      </c>
      <c r="E53" s="199">
        <f t="shared" si="14"/>
        <v>0.14102094337388493</v>
      </c>
      <c r="F53" s="378">
        <f t="shared" si="14"/>
        <v>0.32952007145419526</v>
      </c>
      <c r="G53" s="378">
        <f t="shared" si="14"/>
        <v>0.4589868275128549</v>
      </c>
      <c r="H53" s="375">
        <f t="shared" si="14"/>
        <v>0.6204300399226268</v>
      </c>
      <c r="I53" s="160">
        <f t="shared" si="4"/>
        <v>0.00024126018488436216</v>
      </c>
      <c r="J53" s="160">
        <f t="shared" si="5"/>
        <v>0.000563746571680286</v>
      </c>
      <c r="K53" s="160">
        <f t="shared" si="6"/>
        <v>0.0007852397255040971</v>
      </c>
      <c r="L53" s="160">
        <f t="shared" si="7"/>
        <v>0.0010614385534401742</v>
      </c>
    </row>
    <row r="54" spans="1:12" ht="12.75">
      <c r="A54" s="402">
        <v>26</v>
      </c>
      <c r="B54" s="404">
        <f t="shared" si="0"/>
        <v>-107.05537682649256</v>
      </c>
      <c r="C54" s="404">
        <f t="shared" si="1"/>
        <v>-13.304360333058447</v>
      </c>
      <c r="D54" s="409">
        <f t="shared" si="2"/>
        <v>0.000788994881615546</v>
      </c>
      <c r="E54" s="199">
        <f t="shared" si="14"/>
        <v>0.0646753700753977</v>
      </c>
      <c r="F54" s="378">
        <f t="shared" si="14"/>
        <v>0.193356074802148</v>
      </c>
      <c r="G54" s="378">
        <f t="shared" si="14"/>
        <v>0.3020508037070334</v>
      </c>
      <c r="H54" s="375">
        <f t="shared" si="14"/>
        <v>0.4608789154357128</v>
      </c>
      <c r="I54" s="160">
        <f t="shared" si="4"/>
        <v>5.1028535956080033E-05</v>
      </c>
      <c r="J54" s="160">
        <f t="shared" si="5"/>
        <v>0.00015255695334816743</v>
      </c>
      <c r="K54" s="160">
        <f t="shared" si="6"/>
        <v>0.00023831653811271135</v>
      </c>
      <c r="L54" s="160">
        <f t="shared" si="7"/>
        <v>0.00036363110532330146</v>
      </c>
    </row>
    <row r="55" spans="1:12" ht="12.75">
      <c r="A55" s="402">
        <v>24</v>
      </c>
      <c r="B55" s="404">
        <f t="shared" si="0"/>
        <v>-109.05537682649256</v>
      </c>
      <c r="C55" s="404">
        <f t="shared" si="1"/>
        <v>-15.304360333058447</v>
      </c>
      <c r="D55" s="409">
        <f t="shared" si="2"/>
        <v>0.00033669090420257393</v>
      </c>
      <c r="E55" s="199">
        <f t="shared" si="14"/>
        <v>0.03538764139510975</v>
      </c>
      <c r="F55" s="378">
        <f t="shared" si="14"/>
        <v>0.12611719354969964</v>
      </c>
      <c r="G55" s="378">
        <f t="shared" si="14"/>
        <v>0.2141682873841183</v>
      </c>
      <c r="H55" s="375">
        <f t="shared" si="14"/>
        <v>0.357664022944834</v>
      </c>
      <c r="I55" s="160">
        <f t="shared" si="4"/>
        <v>1.1914696978915935E-05</v>
      </c>
      <c r="J55" s="160">
        <f t="shared" si="5"/>
        <v>4.246251193173939E-05</v>
      </c>
      <c r="K55" s="160">
        <f t="shared" si="6"/>
        <v>7.21085143308755E-05</v>
      </c>
      <c r="L55" s="160">
        <f t="shared" si="7"/>
        <v>0.00012042222328602631</v>
      </c>
    </row>
    <row r="56" spans="1:12" ht="12.75">
      <c r="A56" s="402">
        <v>22</v>
      </c>
      <c r="B56" s="404">
        <f t="shared" si="0"/>
        <v>-111.05537682649256</v>
      </c>
      <c r="C56" s="404">
        <f t="shared" si="1"/>
        <v>-17.304360333058447</v>
      </c>
      <c r="D56" s="409">
        <f t="shared" si="2"/>
        <v>0.00013294549794748845</v>
      </c>
      <c r="E56" s="199">
        <f t="shared" si="14"/>
        <v>0.023015544060336346</v>
      </c>
      <c r="F56" s="378">
        <f t="shared" si="14"/>
        <v>0.0924099709612558</v>
      </c>
      <c r="G56" s="378">
        <f t="shared" si="14"/>
        <v>0.16617472799981248</v>
      </c>
      <c r="H56" s="375">
        <f t="shared" si="14"/>
        <v>0.29546243614534107</v>
      </c>
      <c r="I56" s="160">
        <f t="shared" si="4"/>
        <v>3.0598129656337757E-06</v>
      </c>
      <c r="J56" s="160">
        <f t="shared" si="5"/>
        <v>1.2285489604757102E-05</v>
      </c>
      <c r="K56" s="160">
        <f t="shared" si="6"/>
        <v>2.209218196022352E-05</v>
      </c>
      <c r="L56" s="160">
        <f t="shared" si="7"/>
        <v>3.928040069812038E-05</v>
      </c>
    </row>
    <row r="57" spans="1:12" ht="12.75">
      <c r="A57" s="402">
        <v>20</v>
      </c>
      <c r="B57" s="404">
        <f t="shared" si="0"/>
        <v>-113.05537682649256</v>
      </c>
      <c r="C57" s="404">
        <f t="shared" si="1"/>
        <v>-19.304360333058447</v>
      </c>
      <c r="D57" s="409">
        <f t="shared" si="2"/>
        <v>4.857367235220898E-05</v>
      </c>
      <c r="E57" s="199">
        <f t="shared" si="14"/>
        <v>0.017175312877643067</v>
      </c>
      <c r="F57" s="378">
        <f t="shared" si="14"/>
        <v>0.07460276427876278</v>
      </c>
      <c r="G57" s="378">
        <f t="shared" si="14"/>
        <v>0.13934740644056798</v>
      </c>
      <c r="H57" s="375">
        <f t="shared" si="14"/>
        <v>0.25835366173505836</v>
      </c>
      <c r="I57" s="160">
        <f t="shared" si="4"/>
        <v>8.342680202653099E-07</v>
      </c>
      <c r="J57" s="160">
        <f t="shared" si="5"/>
        <v>3.6237302286457035E-06</v>
      </c>
      <c r="K57" s="160">
        <f t="shared" si="6"/>
        <v>6.768615263574244E-06</v>
      </c>
      <c r="L57" s="160">
        <f t="shared" si="7"/>
        <v>1.2549186116112156E-05</v>
      </c>
    </row>
    <row r="58" spans="1:12" ht="12.75">
      <c r="A58" s="402">
        <v>18</v>
      </c>
      <c r="B58" s="404">
        <f t="shared" si="0"/>
        <v>-115.05537682649256</v>
      </c>
      <c r="C58" s="404">
        <f aca="true" t="shared" si="15" ref="C58:C77">A58-$B$6+$B$8</f>
        <v>-21.304360333058447</v>
      </c>
      <c r="D58" s="409">
        <f aca="true" t="shared" si="16" ref="D58:D77">1/($B$12*SQRT(2*PI()))*EXP(-((A58-$B$6)^2/(2*$B$11)))</f>
        <v>1.6421517820941468E-05</v>
      </c>
      <c r="E58" s="199">
        <f t="shared" si="14"/>
        <v>0.014153209118079602</v>
      </c>
      <c r="F58" s="378">
        <f t="shared" si="14"/>
        <v>0.06469283351351218</v>
      </c>
      <c r="G58" s="378">
        <f t="shared" si="14"/>
        <v>0.12386153076339113</v>
      </c>
      <c r="H58" s="375">
        <f t="shared" si="14"/>
        <v>0.2360084640164435</v>
      </c>
      <c r="I58" s="160">
        <f t="shared" si="4"/>
        <v>2.3241717575605545E-07</v>
      </c>
      <c r="J58" s="160">
        <f t="shared" si="5"/>
        <v>1.0623545184293398E-06</v>
      </c>
      <c r="K58" s="160">
        <f t="shared" si="6"/>
        <v>2.033994334760117E-06</v>
      </c>
      <c r="L58" s="160">
        <f t="shared" si="7"/>
        <v>3.87561719773905E-06</v>
      </c>
    </row>
    <row r="59" spans="1:12" ht="12.75">
      <c r="A59" s="402">
        <v>16</v>
      </c>
      <c r="B59" s="404">
        <f t="shared" si="0"/>
        <v>-117.05537682649256</v>
      </c>
      <c r="C59" s="404">
        <f t="shared" si="15"/>
        <v>-23.304360333058447</v>
      </c>
      <c r="D59" s="409">
        <f t="shared" si="16"/>
        <v>5.137013485675793E-06</v>
      </c>
      <c r="E59" s="199">
        <f t="shared" si="14"/>
        <v>0.0124809894589889</v>
      </c>
      <c r="F59" s="378">
        <f t="shared" si="14"/>
        <v>0.05894801951809314</v>
      </c>
      <c r="G59" s="378">
        <f t="shared" si="14"/>
        <v>0.11467138572065139</v>
      </c>
      <c r="H59" s="375">
        <f t="shared" si="14"/>
        <v>0.22238317148778775</v>
      </c>
      <c r="I59" s="160">
        <f t="shared" si="4"/>
        <v>6.411501116540341E-08</v>
      </c>
      <c r="J59" s="160">
        <f t="shared" si="5"/>
        <v>3.028167712183243E-07</v>
      </c>
      <c r="K59" s="160">
        <f t="shared" si="6"/>
        <v>5.890684548681168E-07</v>
      </c>
      <c r="L59" s="160">
        <f t="shared" si="7"/>
        <v>1.1423853509201182E-06</v>
      </c>
    </row>
    <row r="60" spans="1:12" ht="12.75">
      <c r="A60" s="402">
        <v>14</v>
      </c>
      <c r="B60" s="404">
        <f t="shared" si="0"/>
        <v>-119.05537682649256</v>
      </c>
      <c r="C60" s="404">
        <f t="shared" si="15"/>
        <v>-25.304360333058447</v>
      </c>
      <c r="D60" s="409">
        <f t="shared" si="16"/>
        <v>1.486939055530508E-06</v>
      </c>
      <c r="E60" s="199">
        <f t="shared" si="14"/>
        <v>0.011512170163669233</v>
      </c>
      <c r="F60" s="378">
        <f t="shared" si="14"/>
        <v>0.055519597296913914</v>
      </c>
      <c r="G60" s="378">
        <f t="shared" si="14"/>
        <v>0.10910431598409076</v>
      </c>
      <c r="H60" s="375">
        <f t="shared" si="14"/>
        <v>0.21398553399957276</v>
      </c>
      <c r="I60" s="160">
        <f t="shared" si="4"/>
        <v>1.7117895430272823E-08</v>
      </c>
      <c r="J60" s="160">
        <f t="shared" si="5"/>
        <v>8.255425756810732E-08</v>
      </c>
      <c r="K60" s="160">
        <f t="shared" si="6"/>
        <v>1.6223146856368602E-07</v>
      </c>
      <c r="L60" s="160">
        <f t="shared" si="7"/>
        <v>3.181834478225161E-07</v>
      </c>
    </row>
    <row r="61" spans="1:12" ht="12.75">
      <c r="A61" s="402">
        <v>12</v>
      </c>
      <c r="B61" s="404">
        <f t="shared" si="0"/>
        <v>-121.05537682649256</v>
      </c>
      <c r="C61" s="404">
        <f t="shared" si="15"/>
        <v>-27.304360333058447</v>
      </c>
      <c r="D61" s="409">
        <f t="shared" si="16"/>
        <v>3.9825449331432324E-07</v>
      </c>
      <c r="E61" s="199">
        <f t="shared" si="14"/>
        <v>0.010933494862153559</v>
      </c>
      <c r="F61" s="378">
        <f t="shared" si="14"/>
        <v>0.053432950599481166</v>
      </c>
      <c r="G61" s="378">
        <f t="shared" si="14"/>
        <v>0.10568375019283527</v>
      </c>
      <c r="H61" s="375">
        <f t="shared" si="14"/>
        <v>0.2087688385052897</v>
      </c>
      <c r="I61" s="160">
        <f t="shared" si="4"/>
        <v>4.354313456481722E-09</v>
      </c>
      <c r="J61" s="160">
        <f t="shared" si="5"/>
        <v>2.1279912667285635E-08</v>
      </c>
      <c r="K61" s="160">
        <f t="shared" si="6"/>
        <v>4.208902838460512E-08</v>
      </c>
      <c r="L61" s="160">
        <f t="shared" si="7"/>
        <v>8.314312799874392E-08</v>
      </c>
    </row>
    <row r="62" spans="1:12" ht="12.75">
      <c r="A62" s="402">
        <v>10</v>
      </c>
      <c r="B62" s="404">
        <f t="shared" si="0"/>
        <v>-123.05537682649256</v>
      </c>
      <c r="C62" s="404">
        <f t="shared" si="15"/>
        <v>-29.304360333058447</v>
      </c>
      <c r="D62" s="409">
        <f t="shared" si="16"/>
        <v>9.869911378012554E-08</v>
      </c>
      <c r="E62" s="199">
        <f t="shared" si="14"/>
        <v>0.010580928142170487</v>
      </c>
      <c r="F62" s="378">
        <f t="shared" si="14"/>
        <v>0.05214641388578589</v>
      </c>
      <c r="G62" s="378">
        <f t="shared" si="14"/>
        <v>0.1035620783377853</v>
      </c>
      <c r="H62" s="375">
        <f t="shared" si="14"/>
        <v>0.205510504366212</v>
      </c>
      <c r="I62" s="160">
        <f t="shared" si="4"/>
        <v>1.0443282306034173E-09</v>
      </c>
      <c r="J62" s="160">
        <f t="shared" si="5"/>
        <v>5.1468048373387E-09</v>
      </c>
      <c r="K62" s="160">
        <f t="shared" si="6"/>
        <v>1.0221485353167345E-08</v>
      </c>
      <c r="L62" s="160">
        <f t="shared" si="7"/>
        <v>2.0283704653451743E-08</v>
      </c>
    </row>
    <row r="63" spans="1:12" ht="12.75">
      <c r="A63" s="402">
        <v>8</v>
      </c>
      <c r="B63" s="404">
        <f t="shared" si="0"/>
        <v>-125.05537682649256</v>
      </c>
      <c r="C63" s="404">
        <f t="shared" si="15"/>
        <v>-31.304360333058447</v>
      </c>
      <c r="D63" s="409">
        <f t="shared" si="16"/>
        <v>2.2633456078233086E-08</v>
      </c>
      <c r="E63" s="199">
        <f t="shared" si="14"/>
        <v>0.010363364547961496</v>
      </c>
      <c r="F63" s="378">
        <f t="shared" si="14"/>
        <v>0.051346517434116</v>
      </c>
      <c r="G63" s="378">
        <f t="shared" si="14"/>
        <v>0.10223792435760937</v>
      </c>
      <c r="H63" s="375">
        <f t="shared" si="14"/>
        <v>0.20346798554034717</v>
      </c>
      <c r="I63" s="160">
        <f t="shared" si="4"/>
        <v>2.3455875631900437E-10</v>
      </c>
      <c r="J63" s="160">
        <f t="shared" si="5"/>
        <v>1.162149147115294E-09</v>
      </c>
      <c r="K63" s="160">
        <f t="shared" si="6"/>
        <v>2.313997570477668E-09</v>
      </c>
      <c r="L63" s="160">
        <f t="shared" si="7"/>
        <v>4.605183714054012E-09</v>
      </c>
    </row>
    <row r="64" spans="1:12" ht="12.75">
      <c r="A64" s="402">
        <v>6</v>
      </c>
      <c r="B64" s="404">
        <f t="shared" si="0"/>
        <v>-127.05537682649256</v>
      </c>
      <c r="C64" s="404">
        <f t="shared" si="15"/>
        <v>-33.30436033305845</v>
      </c>
      <c r="D64" s="409">
        <f t="shared" si="16"/>
        <v>4.802568294485314E-09</v>
      </c>
      <c r="E64" s="199">
        <f t="shared" si="14"/>
        <v>0.010228011838951612</v>
      </c>
      <c r="F64" s="378">
        <f t="shared" si="14"/>
        <v>0.050846507958292486</v>
      </c>
      <c r="G64" s="378">
        <f t="shared" si="14"/>
        <v>0.10140821745230588</v>
      </c>
      <c r="H64" s="375">
        <f t="shared" si="14"/>
        <v>0.20218459328887572</v>
      </c>
      <c r="I64" s="160">
        <f t="shared" si="4"/>
        <v>4.912072537336944E-11</v>
      </c>
      <c r="J64" s="160">
        <f t="shared" si="5"/>
        <v>2.441938270057907E-10</v>
      </c>
      <c r="K64" s="160">
        <f t="shared" si="6"/>
        <v>4.870198899367165E-10</v>
      </c>
      <c r="L64" s="160">
        <f t="shared" si="7"/>
        <v>9.710053173625627E-10</v>
      </c>
    </row>
    <row r="65" spans="1:12" ht="12.75">
      <c r="A65" s="402">
        <v>4</v>
      </c>
      <c r="B65" s="404">
        <f t="shared" si="0"/>
        <v>-129.05537682649256</v>
      </c>
      <c r="C65" s="404">
        <f t="shared" si="15"/>
        <v>-35.30436033305845</v>
      </c>
      <c r="D65" s="409">
        <f t="shared" si="16"/>
        <v>9.429339594162314E-10</v>
      </c>
      <c r="E65" s="199">
        <f t="shared" si="14"/>
        <v>0.01014336805537197</v>
      </c>
      <c r="F65" s="378">
        <f t="shared" si="14"/>
        <v>0.050532883797444805</v>
      </c>
      <c r="G65" s="378">
        <f t="shared" si="14"/>
        <v>0.10088700608857204</v>
      </c>
      <c r="H65" s="375">
        <f t="shared" si="14"/>
        <v>0.20137696600239063</v>
      </c>
      <c r="I65" s="160">
        <f t="shared" si="4"/>
        <v>9.564526202268012E-12</v>
      </c>
      <c r="J65" s="160">
        <f t="shared" si="5"/>
        <v>4.7649172199844954E-11</v>
      </c>
      <c r="K65" s="160">
        <f t="shared" si="6"/>
        <v>9.512978410474667E-11</v>
      </c>
      <c r="L65" s="160">
        <f t="shared" si="7"/>
        <v>1.89885179887862E-10</v>
      </c>
    </row>
    <row r="66" spans="1:12" ht="12.75">
      <c r="A66" s="402">
        <v>2</v>
      </c>
      <c r="B66" s="404">
        <f t="shared" si="0"/>
        <v>-131.05537682649256</v>
      </c>
      <c r="C66" s="404">
        <f t="shared" si="15"/>
        <v>-37.30436033305845</v>
      </c>
      <c r="D66" s="409">
        <f t="shared" si="16"/>
        <v>1.713065849864237E-10</v>
      </c>
      <c r="E66" s="199">
        <f t="shared" si="14"/>
        <v>0.010090261548114765</v>
      </c>
      <c r="F66" s="378">
        <f t="shared" si="14"/>
        <v>0.050335739221624376</v>
      </c>
      <c r="G66" s="378">
        <f t="shared" si="14"/>
        <v>0.10055905842953927</v>
      </c>
      <c r="H66" s="375">
        <f t="shared" si="14"/>
        <v>0.200868241116406</v>
      </c>
      <c r="I66" s="160">
        <f t="shared" si="4"/>
        <v>1.7285282474273652E-12</v>
      </c>
      <c r="J66" s="160">
        <f t="shared" si="5"/>
        <v>8.622843588823657E-12</v>
      </c>
      <c r="K66" s="160">
        <f t="shared" si="6"/>
        <v>1.7226428889014616E-11</v>
      </c>
      <c r="L66" s="160">
        <f t="shared" si="7"/>
        <v>3.441005241788105E-11</v>
      </c>
    </row>
    <row r="67" spans="1:12" ht="12.75">
      <c r="A67" s="402">
        <v>0</v>
      </c>
      <c r="B67" s="404">
        <f t="shared" si="0"/>
        <v>-133.05537682649256</v>
      </c>
      <c r="C67" s="404">
        <f t="shared" si="15"/>
        <v>-39.30436033305845</v>
      </c>
      <c r="D67" s="409">
        <f t="shared" si="16"/>
        <v>2.879730796788741E-11</v>
      </c>
      <c r="E67" s="199">
        <f aca="true" t="shared" si="17" ref="E67:H77">1-NORMSDIST((-NORMSINV(E$14)/10^($C67/10)-SQRT(E$15/2))/(1+1/10^($C67/10)))</f>
        <v>0.010056872667967287</v>
      </c>
      <c r="F67" s="378">
        <f t="shared" si="17"/>
        <v>0.05021164311237569</v>
      </c>
      <c r="G67" s="378">
        <f t="shared" si="17"/>
        <v>0.10035250137922458</v>
      </c>
      <c r="H67" s="375">
        <f t="shared" si="17"/>
        <v>0.2005475977237101</v>
      </c>
      <c r="I67" s="160">
        <f t="shared" si="4"/>
        <v>2.8961085941328346E-13</v>
      </c>
      <c r="J67" s="160">
        <f t="shared" si="5"/>
        <v>1.4459601502807356E-12</v>
      </c>
      <c r="K67" s="160">
        <f t="shared" si="6"/>
        <v>2.8898818875653764E-12</v>
      </c>
      <c r="L67" s="160">
        <f t="shared" si="7"/>
        <v>5.775230933869677E-12</v>
      </c>
    </row>
    <row r="68" spans="1:12" ht="12.75">
      <c r="A68" s="402">
        <v>-2</v>
      </c>
      <c r="B68" s="404">
        <f t="shared" si="0"/>
        <v>-135.05537682649256</v>
      </c>
      <c r="C68" s="404">
        <f t="shared" si="15"/>
        <v>-41.30436033305845</v>
      </c>
      <c r="D68" s="409">
        <f t="shared" si="16"/>
        <v>4.479347724097872E-12</v>
      </c>
      <c r="E68" s="199">
        <f t="shared" si="17"/>
        <v>0.010035853003575679</v>
      </c>
      <c r="F68" s="378">
        <f t="shared" si="17"/>
        <v>0.05013346057527479</v>
      </c>
      <c r="G68" s="378">
        <f t="shared" si="17"/>
        <v>0.10022231754350752</v>
      </c>
      <c r="H68" s="375">
        <f t="shared" si="17"/>
        <v>0.20034542103346098</v>
      </c>
      <c r="I68" s="160">
        <f t="shared" si="4"/>
        <v>4.4954075310947504E-14</v>
      </c>
      <c r="J68" s="160">
        <f t="shared" si="5"/>
        <v>2.245652025290075E-13</v>
      </c>
      <c r="K68" s="160">
        <f t="shared" si="6"/>
        <v>4.489306099923246E-13</v>
      </c>
      <c r="L68" s="160">
        <f t="shared" si="7"/>
        <v>8.974168057396633E-13</v>
      </c>
    </row>
    <row r="69" spans="1:12" ht="12.75">
      <c r="A69" s="402">
        <v>-4</v>
      </c>
      <c r="B69" s="404">
        <f t="shared" si="0"/>
        <v>-137.05537682649256</v>
      </c>
      <c r="C69" s="404">
        <f t="shared" si="15"/>
        <v>-43.30436033305845</v>
      </c>
      <c r="D69" s="409">
        <f t="shared" si="16"/>
        <v>6.44707491317153E-13</v>
      </c>
      <c r="E69" s="199">
        <f t="shared" si="17"/>
        <v>0.010022609294198626</v>
      </c>
      <c r="F69" s="378">
        <f t="shared" si="17"/>
        <v>0.050084177205496516</v>
      </c>
      <c r="G69" s="378">
        <f t="shared" si="17"/>
        <v>0.10014023475471734</v>
      </c>
      <c r="H69" s="375">
        <f t="shared" si="17"/>
        <v>0.2002179101878936</v>
      </c>
      <c r="I69" s="160">
        <f t="shared" si="4"/>
        <v>6.461651294514777E-15</v>
      </c>
      <c r="J69" s="160">
        <f t="shared" si="5"/>
        <v>3.22896442408394E-14</v>
      </c>
      <c r="K69" s="160">
        <f t="shared" si="6"/>
        <v>6.45611595286246E-14</v>
      </c>
      <c r="L69" s="160">
        <f t="shared" si="7"/>
        <v>1.2908198659399992E-13</v>
      </c>
    </row>
    <row r="70" spans="1:12" ht="12.75">
      <c r="A70" s="402">
        <v>-6</v>
      </c>
      <c r="B70" s="404">
        <f t="shared" si="0"/>
        <v>-139.05537682649256</v>
      </c>
      <c r="C70" s="404">
        <f t="shared" si="15"/>
        <v>-45.30436033305845</v>
      </c>
      <c r="D70" s="409">
        <f t="shared" si="16"/>
        <v>8.586095385757525E-14</v>
      </c>
      <c r="E70" s="199">
        <f t="shared" si="17"/>
        <v>0.010014260557248633</v>
      </c>
      <c r="F70" s="378">
        <f t="shared" si="17"/>
        <v>0.05005309999673502</v>
      </c>
      <c r="G70" s="378">
        <f t="shared" si="17"/>
        <v>0.10008846696845275</v>
      </c>
      <c r="H70" s="375">
        <f t="shared" si="17"/>
        <v>0.20013747779831048</v>
      </c>
      <c r="I70" s="160">
        <f t="shared" si="4"/>
        <v>8.598339636236607E-16</v>
      </c>
      <c r="J70" s="160">
        <f t="shared" si="5"/>
        <v>4.297606909248265E-15</v>
      </c>
      <c r="K70" s="160">
        <f t="shared" si="6"/>
        <v>8.593691244053766E-15</v>
      </c>
      <c r="L70" s="160">
        <f t="shared" si="7"/>
        <v>1.7183994746412227E-14</v>
      </c>
    </row>
    <row r="71" spans="1:12" ht="12.75">
      <c r="A71" s="402">
        <v>-8</v>
      </c>
      <c r="B71" s="404">
        <f t="shared" si="0"/>
        <v>-141.05537682649256</v>
      </c>
      <c r="C71" s="404">
        <f t="shared" si="15"/>
        <v>-47.30436033305845</v>
      </c>
      <c r="D71" s="409">
        <f t="shared" si="16"/>
        <v>1.0580684244939463E-14</v>
      </c>
      <c r="E71" s="199">
        <f t="shared" si="17"/>
        <v>0.010008995836049306</v>
      </c>
      <c r="F71" s="378">
        <f t="shared" si="17"/>
        <v>0.05003349896495879</v>
      </c>
      <c r="G71" s="378">
        <f t="shared" si="17"/>
        <v>0.10005581284040355</v>
      </c>
      <c r="H71" s="375">
        <f t="shared" si="17"/>
        <v>0.20008673695871648</v>
      </c>
      <c r="I71" s="160">
        <f t="shared" si="4"/>
        <v>1.0590202455015157E-16</v>
      </c>
      <c r="J71" s="160">
        <f t="shared" si="5"/>
        <v>5.293886542177343E-16</v>
      </c>
      <c r="K71" s="160">
        <f t="shared" si="6"/>
        <v>1.0586589625350693E-15</v>
      </c>
      <c r="L71" s="160">
        <f t="shared" si="7"/>
        <v>2.117054585360438E-15</v>
      </c>
    </row>
    <row r="72" spans="1:12" ht="12.75">
      <c r="A72" s="402">
        <v>-10</v>
      </c>
      <c r="B72" s="404">
        <f t="shared" si="0"/>
        <v>-143.05537682649256</v>
      </c>
      <c r="C72" s="404">
        <f t="shared" si="15"/>
        <v>-49.30436033305845</v>
      </c>
      <c r="D72" s="409">
        <f t="shared" si="16"/>
        <v>1.206470902919878E-15</v>
      </c>
      <c r="E72" s="199">
        <f t="shared" si="17"/>
        <v>0.010005675205774223</v>
      </c>
      <c r="F72" s="378">
        <f t="shared" si="17"/>
        <v>0.050021134480149776</v>
      </c>
      <c r="G72" s="378">
        <f t="shared" si="17"/>
        <v>0.10003521311581776</v>
      </c>
      <c r="H72" s="375">
        <f t="shared" si="17"/>
        <v>0.20005472506455935</v>
      </c>
      <c r="I72" s="160">
        <f t="shared" si="4"/>
        <v>1.2071555999833462E-17</v>
      </c>
      <c r="J72" s="160">
        <f t="shared" si="5"/>
        <v>6.034904328134295E-17</v>
      </c>
      <c r="K72" s="160">
        <f t="shared" si="6"/>
        <v>1.2068957389162306E-16</v>
      </c>
      <c r="L72" s="160">
        <f t="shared" si="7"/>
        <v>2.413602047820269E-16</v>
      </c>
    </row>
    <row r="73" spans="1:12" ht="12.75">
      <c r="A73" s="402">
        <v>-12</v>
      </c>
      <c r="B73" s="404">
        <f t="shared" si="0"/>
        <v>-145.05537682649256</v>
      </c>
      <c r="C73" s="404">
        <f t="shared" si="15"/>
        <v>-51.30436033305845</v>
      </c>
      <c r="D73" s="409">
        <f t="shared" si="16"/>
        <v>1.2729314111580068E-16</v>
      </c>
      <c r="E73" s="199">
        <f t="shared" si="17"/>
        <v>0.010003580501061426</v>
      </c>
      <c r="F73" s="378">
        <f t="shared" si="17"/>
        <v>0.05001333418404896</v>
      </c>
      <c r="G73" s="378">
        <f t="shared" si="17"/>
        <v>0.10002221701631153</v>
      </c>
      <c r="H73" s="375">
        <f t="shared" si="17"/>
        <v>0.2000345282830054</v>
      </c>
      <c r="I73" s="160">
        <f t="shared" si="4"/>
        <v>1.2733871843848843E-18</v>
      </c>
      <c r="J73" s="160">
        <f t="shared" si="5"/>
        <v>6.366354405961843E-18</v>
      </c>
      <c r="K73" s="160">
        <f t="shared" si="6"/>
        <v>1.2732142185372584E-17</v>
      </c>
      <c r="L73" s="160">
        <f t="shared" si="7"/>
        <v>2.5463023436761225E-17</v>
      </c>
    </row>
    <row r="74" spans="1:12" ht="12.75">
      <c r="A74" s="402">
        <v>-14</v>
      </c>
      <c r="B74" s="404">
        <f t="shared" si="0"/>
        <v>-147.05537682649256</v>
      </c>
      <c r="C74" s="404">
        <f t="shared" si="15"/>
        <v>-53.30436033305845</v>
      </c>
      <c r="D74" s="409">
        <f t="shared" si="16"/>
        <v>1.242734077392233E-17</v>
      </c>
      <c r="E74" s="199">
        <f t="shared" si="17"/>
        <v>0.010002259019358917</v>
      </c>
      <c r="F74" s="378">
        <f t="shared" si="17"/>
        <v>0.05000841299425873</v>
      </c>
      <c r="G74" s="378">
        <f t="shared" si="17"/>
        <v>0.1000140176083355</v>
      </c>
      <c r="H74" s="375">
        <f t="shared" si="17"/>
        <v>0.20002178551608174</v>
      </c>
      <c r="I74" s="160">
        <f t="shared" si="4"/>
        <v>1.2430148134261144E-19</v>
      </c>
      <c r="J74" s="160">
        <f t="shared" si="5"/>
        <v>6.214715898426988E-19</v>
      </c>
      <c r="K74" s="160">
        <f t="shared" si="6"/>
        <v>1.2429082789878537E-18</v>
      </c>
      <c r="L74" s="160">
        <f t="shared" si="7"/>
        <v>2.4857388908167496E-18</v>
      </c>
    </row>
    <row r="75" spans="1:12" ht="12.75">
      <c r="A75" s="402">
        <v>-16</v>
      </c>
      <c r="B75" s="404">
        <f t="shared" si="0"/>
        <v>-149.05537682649256</v>
      </c>
      <c r="C75" s="404">
        <f t="shared" si="15"/>
        <v>-55.30436033305845</v>
      </c>
      <c r="D75" s="409">
        <f t="shared" si="16"/>
        <v>1.1226295366243562E-18</v>
      </c>
      <c r="E75" s="199">
        <f t="shared" si="17"/>
        <v>0.010001425295459665</v>
      </c>
      <c r="F75" s="378">
        <f t="shared" si="17"/>
        <v>0.05000530811826054</v>
      </c>
      <c r="G75" s="378">
        <f t="shared" si="17"/>
        <v>0.10000884436114232</v>
      </c>
      <c r="H75" s="375">
        <f t="shared" si="17"/>
        <v>0.20001374558898033</v>
      </c>
      <c r="I75" s="160">
        <f t="shared" si="4"/>
        <v>1.1227895445025E-20</v>
      </c>
      <c r="J75" s="160">
        <f t="shared" si="5"/>
        <v>5.613743588156099E-20</v>
      </c>
      <c r="K75" s="160">
        <f t="shared" si="6"/>
        <v>1.1227288260348656E-19</v>
      </c>
      <c r="L75" s="160">
        <f t="shared" si="7"/>
        <v>2.2454133852905885E-19</v>
      </c>
    </row>
    <row r="76" spans="1:12" ht="12.75">
      <c r="A76" s="402">
        <v>-18</v>
      </c>
      <c r="B76" s="404">
        <f t="shared" si="0"/>
        <v>-151.05537682649256</v>
      </c>
      <c r="C76" s="404">
        <f t="shared" si="15"/>
        <v>-57.30436033305845</v>
      </c>
      <c r="D76" s="409">
        <f t="shared" si="16"/>
        <v>9.383822285640719E-20</v>
      </c>
      <c r="E76" s="199">
        <f t="shared" si="17"/>
        <v>0.010000899280973918</v>
      </c>
      <c r="F76" s="378">
        <f t="shared" si="17"/>
        <v>0.05000334914753146</v>
      </c>
      <c r="G76" s="378">
        <f t="shared" si="17"/>
        <v>0.10000558035419194</v>
      </c>
      <c r="H76" s="375">
        <f t="shared" si="17"/>
        <v>0.20000867282363222</v>
      </c>
      <c r="I76" s="160">
        <f t="shared" si="4"/>
        <v>9.38466615492513E-22</v>
      </c>
      <c r="J76" s="160">
        <f t="shared" si="5"/>
        <v>4.692225420872796E-21</v>
      </c>
      <c r="K76" s="160">
        <f t="shared" si="6"/>
        <v>9.384345936161E-21</v>
      </c>
      <c r="L76" s="160">
        <f t="shared" si="7"/>
        <v>1.876845841363823E-20</v>
      </c>
    </row>
    <row r="77" spans="1:12" ht="12.75">
      <c r="A77" s="402">
        <v>-20</v>
      </c>
      <c r="B77" s="404">
        <f t="shared" si="0"/>
        <v>-153.05537682649256</v>
      </c>
      <c r="C77" s="404">
        <f t="shared" si="15"/>
        <v>-59.30436033305845</v>
      </c>
      <c r="D77" s="409">
        <f t="shared" si="16"/>
        <v>7.257852489432446E-21</v>
      </c>
      <c r="E77" s="199">
        <f t="shared" si="17"/>
        <v>0.010000567400106908</v>
      </c>
      <c r="F77" s="378">
        <f t="shared" si="17"/>
        <v>0.0500021131498567</v>
      </c>
      <c r="G77" s="378">
        <f t="shared" si="17"/>
        <v>0.10000352094140541</v>
      </c>
      <c r="H77" s="375">
        <f t="shared" si="17"/>
        <v>0.20000547215919962</v>
      </c>
      <c r="I77" s="160">
        <f t="shared" si="4"/>
        <v>7.258264300060288E-23</v>
      </c>
      <c r="J77" s="160">
        <f t="shared" si="5"/>
        <v>3.6290796140157023E-22</v>
      </c>
      <c r="K77" s="160">
        <f t="shared" si="6"/>
        <v>7.25810803416589E-22</v>
      </c>
      <c r="L77" s="160">
        <f t="shared" si="7"/>
        <v>1.4516102140107586E-21</v>
      </c>
    </row>
    <row r="78" spans="9:12" ht="12.75">
      <c r="I78" s="406">
        <f>SUM(I17:I77)*($C$17-$C$18)</f>
        <v>0.9853407920752169</v>
      </c>
      <c r="J78" s="406">
        <f>SUM(J17:J77)*($C$17-$C$18)</f>
        <v>0.9905837456521254</v>
      </c>
      <c r="K78" s="406">
        <f>SUM(K17:K77)*($C$17-$C$18)</f>
        <v>0.9929570454768878</v>
      </c>
      <c r="L78" s="408">
        <f>SUM(L17:L77)*($C$17-$C$18)</f>
        <v>0.9953492019985197</v>
      </c>
    </row>
  </sheetData>
  <mergeCells count="1">
    <mergeCell ref="A1:L1"/>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O63"/>
  <sheetViews>
    <sheetView zoomScale="75" zoomScaleNormal="75" workbookViewId="0" topLeftCell="A1">
      <selection activeCell="O2" sqref="O2"/>
    </sheetView>
  </sheetViews>
  <sheetFormatPr defaultColWidth="9.140625" defaultRowHeight="12.75"/>
  <cols>
    <col min="1" max="1" width="17.7109375" style="0" customWidth="1"/>
    <col min="9" max="9" width="16.8515625" style="0" customWidth="1"/>
  </cols>
  <sheetData>
    <row r="1" spans="1:15" ht="38.25" customHeight="1">
      <c r="A1" s="436" t="s">
        <v>171</v>
      </c>
      <c r="B1" s="436"/>
      <c r="C1" s="436"/>
      <c r="D1" s="436"/>
      <c r="E1" s="436"/>
      <c r="F1" s="436"/>
      <c r="G1" s="436"/>
      <c r="H1" s="436"/>
      <c r="I1" s="436"/>
      <c r="J1" s="436"/>
      <c r="K1" s="436"/>
      <c r="L1" s="436"/>
      <c r="M1" s="436"/>
      <c r="N1" s="436"/>
      <c r="O1" s="436"/>
    </row>
    <row r="3" spans="1:2" ht="12.75">
      <c r="A3" s="403" t="s">
        <v>148</v>
      </c>
      <c r="B3" s="413">
        <v>6</v>
      </c>
    </row>
    <row r="4" ht="12.75">
      <c r="B4" s="337"/>
    </row>
    <row r="5" ht="12.75">
      <c r="A5" s="400" t="s">
        <v>146</v>
      </c>
    </row>
    <row r="6" spans="1:3" ht="12.75">
      <c r="A6" s="399" t="s">
        <v>158</v>
      </c>
      <c r="B6" s="417">
        <f>'Sensing time'!$C$12+0+0</f>
        <v>64.0282009651565</v>
      </c>
      <c r="C6" s="349" t="s">
        <v>152</v>
      </c>
    </row>
    <row r="7" spans="1:9" ht="12.75">
      <c r="A7" s="350" t="s">
        <v>159</v>
      </c>
      <c r="B7" s="416">
        <f>$B$6-'Sensing time'!$C$10+'Sensing time'!$C$5</f>
        <v>-69.02717586133606</v>
      </c>
      <c r="C7" s="351" t="s">
        <v>149</v>
      </c>
      <c r="D7" t="s">
        <v>168</v>
      </c>
      <c r="I7" s="458">
        <v>1.8360540762202775</v>
      </c>
    </row>
    <row r="8" spans="1:3" ht="12.75">
      <c r="A8" s="352" t="s">
        <v>160</v>
      </c>
      <c r="B8" s="418">
        <f>B6-'Sensing time'!$C$10+'Sensing time'!$C$29</f>
        <v>24.723840632098053</v>
      </c>
      <c r="C8" s="354" t="s">
        <v>20</v>
      </c>
    </row>
    <row r="9" ht="12.75">
      <c r="B9" s="404"/>
    </row>
    <row r="10" spans="1:2" ht="12.75">
      <c r="A10" s="400" t="s">
        <v>147</v>
      </c>
      <c r="B10" s="404"/>
    </row>
    <row r="11" spans="1:3" ht="12.75">
      <c r="A11" s="399" t="s">
        <v>161</v>
      </c>
      <c r="B11" s="417">
        <f>7^2+$I$7^2+(-1.11*LOG10($B$3)+0.86)^2</f>
        <v>52.371108617469005</v>
      </c>
      <c r="C11" s="349"/>
    </row>
    <row r="12" spans="1:3" ht="12.75">
      <c r="A12" s="352" t="s">
        <v>162</v>
      </c>
      <c r="B12" s="459">
        <f>SQRT($B$11)</f>
        <v>7.236788556913143</v>
      </c>
      <c r="C12" s="354" t="s">
        <v>20</v>
      </c>
    </row>
    <row r="14" spans="1:4" ht="12.75">
      <c r="A14" s="402" t="s">
        <v>153</v>
      </c>
      <c r="B14" s="402" t="s">
        <v>151</v>
      </c>
      <c r="C14" s="402" t="s">
        <v>133</v>
      </c>
      <c r="D14" s="400"/>
    </row>
    <row r="15" spans="1:4" ht="12.75">
      <c r="A15" s="402" t="s">
        <v>152</v>
      </c>
      <c r="B15" s="402" t="s">
        <v>149</v>
      </c>
      <c r="C15" s="402" t="s">
        <v>20</v>
      </c>
      <c r="D15" s="402" t="s">
        <v>150</v>
      </c>
    </row>
    <row r="16" spans="1:4" ht="12.75">
      <c r="A16" s="402">
        <v>80</v>
      </c>
      <c r="B16" s="404">
        <f aca="true" t="shared" si="0" ref="B16:B46">A16-$B$6+$B$7</f>
        <v>-53.05537682649256</v>
      </c>
      <c r="C16" s="404">
        <f aca="true" t="shared" si="1" ref="C16:C46">A16-$B$6+$B$8</f>
        <v>40.69563966694155</v>
      </c>
      <c r="D16" s="409">
        <f aca="true" t="shared" si="2" ref="D16:D46">1/($B$12*SQRT(2*PI()))*EXP(-((A16-$B$6)^2/(2*$B$11)))</f>
        <v>0.0048266453063205445</v>
      </c>
    </row>
    <row r="17" spans="1:4" ht="12.75">
      <c r="A17" s="402">
        <v>78</v>
      </c>
      <c r="B17" s="404">
        <f t="shared" si="0"/>
        <v>-55.05537682649256</v>
      </c>
      <c r="C17" s="404">
        <f t="shared" si="1"/>
        <v>38.69563966694155</v>
      </c>
      <c r="D17" s="409">
        <f t="shared" si="2"/>
        <v>0.008549814867648912</v>
      </c>
    </row>
    <row r="18" spans="1:4" ht="12.75">
      <c r="A18" s="402">
        <v>76</v>
      </c>
      <c r="B18" s="404">
        <f t="shared" si="0"/>
        <v>-57.05537682649256</v>
      </c>
      <c r="C18" s="404">
        <f t="shared" si="1"/>
        <v>36.69563966694155</v>
      </c>
      <c r="D18" s="409">
        <f t="shared" si="2"/>
        <v>0.014031286650731079</v>
      </c>
    </row>
    <row r="19" spans="1:4" ht="12.75">
      <c r="A19" s="402">
        <v>74</v>
      </c>
      <c r="B19" s="404">
        <f t="shared" si="0"/>
        <v>-59.05537682649256</v>
      </c>
      <c r="C19" s="404">
        <f t="shared" si="1"/>
        <v>34.69563966694155</v>
      </c>
      <c r="D19" s="409">
        <f t="shared" si="2"/>
        <v>0.021333776638906128</v>
      </c>
    </row>
    <row r="20" spans="1:4" ht="12.75">
      <c r="A20" s="402">
        <v>72</v>
      </c>
      <c r="B20" s="404">
        <f t="shared" si="0"/>
        <v>-61.05537682649256</v>
      </c>
      <c r="C20" s="404">
        <f t="shared" si="1"/>
        <v>32.69563966694155</v>
      </c>
      <c r="D20" s="409">
        <f t="shared" si="2"/>
        <v>0.030051589718474415</v>
      </c>
    </row>
    <row r="21" spans="1:4" ht="12.75">
      <c r="A21" s="402">
        <v>70</v>
      </c>
      <c r="B21" s="404">
        <f t="shared" si="0"/>
        <v>-63.05537682649256</v>
      </c>
      <c r="C21" s="404">
        <f t="shared" si="1"/>
        <v>30.695639666941553</v>
      </c>
      <c r="D21" s="409">
        <f t="shared" si="2"/>
        <v>0.03921900927835226</v>
      </c>
    </row>
    <row r="22" spans="1:4" ht="12.75">
      <c r="A22" s="402">
        <v>68</v>
      </c>
      <c r="B22" s="404">
        <f t="shared" si="0"/>
        <v>-65.05537682649256</v>
      </c>
      <c r="C22" s="404">
        <f t="shared" si="1"/>
        <v>28.695639666941553</v>
      </c>
      <c r="D22" s="409">
        <f t="shared" si="2"/>
        <v>0.04741931180723568</v>
      </c>
    </row>
    <row r="23" spans="1:4" ht="12.75">
      <c r="A23" s="402">
        <v>66</v>
      </c>
      <c r="B23" s="404">
        <f t="shared" si="0"/>
        <v>-67.05537682649256</v>
      </c>
      <c r="C23" s="404">
        <f t="shared" si="1"/>
        <v>26.695639666941553</v>
      </c>
      <c r="D23" s="409">
        <f t="shared" si="2"/>
        <v>0.053118198244976246</v>
      </c>
    </row>
    <row r="24" spans="1:4" ht="12.75">
      <c r="A24" s="402">
        <v>64</v>
      </c>
      <c r="B24" s="404">
        <f t="shared" si="0"/>
        <v>-69.05537682649256</v>
      </c>
      <c r="C24" s="404">
        <f t="shared" si="1"/>
        <v>24.695639666941553</v>
      </c>
      <c r="D24" s="409">
        <f t="shared" si="2"/>
        <v>0.05512655899189578</v>
      </c>
    </row>
    <row r="25" spans="1:4" ht="12.75">
      <c r="A25" s="402">
        <v>62</v>
      </c>
      <c r="B25" s="404">
        <f t="shared" si="0"/>
        <v>-71.05537682649256</v>
      </c>
      <c r="C25" s="404">
        <f t="shared" si="1"/>
        <v>22.695639666941553</v>
      </c>
      <c r="D25" s="409">
        <f t="shared" si="2"/>
        <v>0.0530039083339196</v>
      </c>
    </row>
    <row r="26" spans="1:4" ht="12.75">
      <c r="A26" s="402">
        <v>60</v>
      </c>
      <c r="B26" s="404">
        <f t="shared" si="0"/>
        <v>-73.05537682649256</v>
      </c>
      <c r="C26" s="404">
        <f t="shared" si="1"/>
        <v>20.695639666941553</v>
      </c>
      <c r="D26" s="409">
        <f t="shared" si="2"/>
        <v>0.04721547512917223</v>
      </c>
    </row>
    <row r="27" spans="1:4" ht="12.75">
      <c r="A27" s="402">
        <v>58</v>
      </c>
      <c r="B27" s="404">
        <f t="shared" si="0"/>
        <v>-75.05537682649256</v>
      </c>
      <c r="C27" s="404">
        <f t="shared" si="1"/>
        <v>18.695639666941553</v>
      </c>
      <c r="D27" s="409">
        <f t="shared" si="2"/>
        <v>0.03896640095108028</v>
      </c>
    </row>
    <row r="28" spans="1:4" ht="12.75">
      <c r="A28" s="402">
        <v>56</v>
      </c>
      <c r="B28" s="404">
        <f t="shared" si="0"/>
        <v>-77.05537682649256</v>
      </c>
      <c r="C28" s="404">
        <f t="shared" si="1"/>
        <v>16.695639666941553</v>
      </c>
      <c r="D28" s="409">
        <f t="shared" si="2"/>
        <v>0.029793785452774516</v>
      </c>
    </row>
    <row r="29" spans="1:4" ht="12.75">
      <c r="A29" s="402">
        <v>54</v>
      </c>
      <c r="B29" s="404">
        <f t="shared" si="0"/>
        <v>-79.05537682649256</v>
      </c>
      <c r="C29" s="404">
        <f t="shared" si="1"/>
        <v>14.695639666941553</v>
      </c>
      <c r="D29" s="409">
        <f t="shared" si="2"/>
        <v>0.021105251785080915</v>
      </c>
    </row>
    <row r="30" spans="1:4" ht="12.75">
      <c r="A30" s="402">
        <v>52</v>
      </c>
      <c r="B30" s="404">
        <f t="shared" si="0"/>
        <v>-81.05537682649256</v>
      </c>
      <c r="C30" s="404">
        <f t="shared" si="1"/>
        <v>12.695639666941553</v>
      </c>
      <c r="D30" s="409">
        <f t="shared" si="2"/>
        <v>0.013851118657175976</v>
      </c>
    </row>
    <row r="31" spans="1:4" ht="12.75">
      <c r="A31" s="402">
        <v>50</v>
      </c>
      <c r="B31" s="404">
        <f t="shared" si="0"/>
        <v>-83.05537682649256</v>
      </c>
      <c r="C31" s="404">
        <f t="shared" si="1"/>
        <v>10.695639666941553</v>
      </c>
      <c r="D31" s="409">
        <f t="shared" si="2"/>
        <v>0.008421871724346783</v>
      </c>
    </row>
    <row r="32" spans="1:4" ht="12.75">
      <c r="A32" s="402">
        <v>48</v>
      </c>
      <c r="B32" s="404">
        <f t="shared" si="0"/>
        <v>-85.05537682649256</v>
      </c>
      <c r="C32" s="404">
        <f t="shared" si="1"/>
        <v>8.695639666941553</v>
      </c>
      <c r="D32" s="409">
        <f t="shared" si="2"/>
        <v>0.004744187614035977</v>
      </c>
    </row>
    <row r="33" spans="1:4" ht="12.75">
      <c r="A33" s="402">
        <v>46</v>
      </c>
      <c r="B33" s="404">
        <f t="shared" si="0"/>
        <v>-87.05537682649256</v>
      </c>
      <c r="C33" s="404">
        <f t="shared" si="1"/>
        <v>6.6956396669415525</v>
      </c>
      <c r="D33" s="409">
        <f t="shared" si="2"/>
        <v>0.0024759652715969274</v>
      </c>
    </row>
    <row r="34" spans="1:4" ht="12.75">
      <c r="A34" s="402">
        <v>44</v>
      </c>
      <c r="B34" s="404">
        <f t="shared" si="0"/>
        <v>-89.05537682649256</v>
      </c>
      <c r="C34" s="404">
        <f t="shared" si="1"/>
        <v>4.6956396669415525</v>
      </c>
      <c r="D34" s="409">
        <f t="shared" si="2"/>
        <v>0.0011971724193027894</v>
      </c>
    </row>
    <row r="35" spans="1:4" ht="12.75">
      <c r="A35" s="402">
        <v>42</v>
      </c>
      <c r="B35" s="404">
        <f t="shared" si="0"/>
        <v>-91.05537682649256</v>
      </c>
      <c r="C35" s="404">
        <f t="shared" si="1"/>
        <v>2.6956396669415525</v>
      </c>
      <c r="D35" s="409">
        <f t="shared" si="2"/>
        <v>0.0005362882940934831</v>
      </c>
    </row>
    <row r="36" spans="1:4" ht="12.75">
      <c r="A36" s="402">
        <v>40</v>
      </c>
      <c r="B36" s="404">
        <f t="shared" si="0"/>
        <v>-93.05537682649256</v>
      </c>
      <c r="C36" s="404">
        <f t="shared" si="1"/>
        <v>0.6956396669415525</v>
      </c>
      <c r="D36" s="409">
        <f t="shared" si="2"/>
        <v>0.0002225714178781143</v>
      </c>
    </row>
    <row r="37" spans="1:4" ht="12.75">
      <c r="A37" s="402">
        <v>38</v>
      </c>
      <c r="B37" s="404">
        <f t="shared" si="0"/>
        <v>-95.05537682649256</v>
      </c>
      <c r="C37" s="404">
        <f t="shared" si="1"/>
        <v>-1.3043603330584475</v>
      </c>
      <c r="D37" s="409">
        <f t="shared" si="2"/>
        <v>8.557953609603153E-05</v>
      </c>
    </row>
    <row r="38" spans="1:4" ht="12.75">
      <c r="A38" s="402">
        <v>36</v>
      </c>
      <c r="B38" s="404">
        <f t="shared" si="0"/>
        <v>-97.05537682649256</v>
      </c>
      <c r="C38" s="404">
        <f t="shared" si="1"/>
        <v>-3.3043603330584475</v>
      </c>
      <c r="D38" s="409">
        <f t="shared" si="2"/>
        <v>3.0485963403490797E-05</v>
      </c>
    </row>
    <row r="39" spans="1:4" ht="12.75">
      <c r="A39" s="402">
        <v>34</v>
      </c>
      <c r="B39" s="404">
        <f t="shared" si="0"/>
        <v>-99.05537682649256</v>
      </c>
      <c r="C39" s="404">
        <f t="shared" si="1"/>
        <v>-5.3043603330584475</v>
      </c>
      <c r="D39" s="409">
        <f t="shared" si="2"/>
        <v>1.0061422363834127E-05</v>
      </c>
    </row>
    <row r="40" spans="1:4" ht="12.75">
      <c r="A40" s="402">
        <v>32</v>
      </c>
      <c r="B40" s="404">
        <f t="shared" si="0"/>
        <v>-101.05537682649256</v>
      </c>
      <c r="C40" s="404">
        <f t="shared" si="1"/>
        <v>-7.3043603330584475</v>
      </c>
      <c r="D40" s="409">
        <f t="shared" si="2"/>
        <v>3.0764389230365462E-06</v>
      </c>
    </row>
    <row r="41" spans="1:4" ht="12.75">
      <c r="A41" s="402">
        <v>30</v>
      </c>
      <c r="B41" s="404">
        <f t="shared" si="0"/>
        <v>-103.05537682649256</v>
      </c>
      <c r="C41" s="404">
        <f t="shared" si="1"/>
        <v>-9.304360333058447</v>
      </c>
      <c r="D41" s="409">
        <f t="shared" si="2"/>
        <v>8.714985620286624E-07</v>
      </c>
    </row>
    <row r="42" spans="1:4" ht="12.75">
      <c r="A42" s="402">
        <v>28</v>
      </c>
      <c r="B42" s="404">
        <f t="shared" si="0"/>
        <v>-105.05537682649256</v>
      </c>
      <c r="C42" s="404">
        <f t="shared" si="1"/>
        <v>-11.304360333058447</v>
      </c>
      <c r="D42" s="409">
        <f t="shared" si="2"/>
        <v>2.287254616397497E-07</v>
      </c>
    </row>
    <row r="43" spans="1:4" ht="12.75">
      <c r="A43" s="402">
        <v>26</v>
      </c>
      <c r="B43" s="404">
        <f t="shared" si="0"/>
        <v>-107.05537682649256</v>
      </c>
      <c r="C43" s="404">
        <f t="shared" si="1"/>
        <v>-13.304360333058447</v>
      </c>
      <c r="D43" s="409">
        <f t="shared" si="2"/>
        <v>5.561498331283768E-08</v>
      </c>
    </row>
    <row r="44" spans="1:4" ht="12.75">
      <c r="A44" s="402">
        <v>24</v>
      </c>
      <c r="B44" s="404">
        <f t="shared" si="0"/>
        <v>-109.05537682649256</v>
      </c>
      <c r="C44" s="404">
        <f t="shared" si="1"/>
        <v>-15.304360333058447</v>
      </c>
      <c r="D44" s="409">
        <f t="shared" si="2"/>
        <v>1.2528485369910633E-08</v>
      </c>
    </row>
    <row r="45" spans="1:4" ht="12.75">
      <c r="A45" s="402">
        <v>22</v>
      </c>
      <c r="B45" s="404">
        <f t="shared" si="0"/>
        <v>-111.05537682649256</v>
      </c>
      <c r="C45" s="404">
        <f t="shared" si="1"/>
        <v>-17.304360333058447</v>
      </c>
      <c r="D45" s="409">
        <f t="shared" si="2"/>
        <v>2.6147778032073735E-09</v>
      </c>
    </row>
    <row r="46" spans="1:4" ht="12.75">
      <c r="A46" s="402">
        <v>20</v>
      </c>
      <c r="B46" s="404">
        <f t="shared" si="0"/>
        <v>-113.05537682649256</v>
      </c>
      <c r="C46" s="404">
        <f t="shared" si="1"/>
        <v>-19.304360333058447</v>
      </c>
      <c r="D46" s="409">
        <f t="shared" si="2"/>
        <v>5.055923213425565E-10</v>
      </c>
    </row>
    <row r="47" spans="1:4" ht="12.75">
      <c r="A47" s="402"/>
      <c r="B47" s="404"/>
      <c r="C47" s="404"/>
      <c r="D47" s="409"/>
    </row>
    <row r="48" spans="1:4" ht="12.75">
      <c r="A48" s="402"/>
      <c r="B48" s="404"/>
      <c r="C48" s="404"/>
      <c r="D48" s="409"/>
    </row>
    <row r="49" spans="1:9" ht="13.5" thickBot="1">
      <c r="A49" s="500" t="s">
        <v>166</v>
      </c>
      <c r="B49" s="500"/>
      <c r="C49" s="500"/>
      <c r="D49" s="500"/>
      <c r="E49" s="500"/>
      <c r="F49" s="500"/>
      <c r="G49" s="500"/>
      <c r="H49" s="500"/>
      <c r="I49" s="500"/>
    </row>
    <row r="50" spans="1:9" ht="25.5">
      <c r="A50" s="370" t="s">
        <v>131</v>
      </c>
      <c r="B50" s="446">
        <v>1</v>
      </c>
      <c r="C50" s="446">
        <v>2</v>
      </c>
      <c r="D50" s="446">
        <v>3</v>
      </c>
      <c r="E50" s="446">
        <v>4</v>
      </c>
      <c r="F50" s="446">
        <v>5</v>
      </c>
      <c r="G50" s="446">
        <v>6</v>
      </c>
      <c r="H50" s="446">
        <v>7</v>
      </c>
      <c r="I50" s="447">
        <v>8</v>
      </c>
    </row>
    <row r="51" spans="1:9" ht="12.75">
      <c r="A51" s="494" t="s">
        <v>130</v>
      </c>
      <c r="B51" s="448">
        <v>0.99</v>
      </c>
      <c r="C51" s="338">
        <f aca="true" t="shared" si="3" ref="C51:I54">1-(1-$B51)^(1/C$50)</f>
        <v>0.8999999999999999</v>
      </c>
      <c r="D51" s="338">
        <f t="shared" si="3"/>
        <v>0.7845565309968116</v>
      </c>
      <c r="E51" s="338">
        <f t="shared" si="3"/>
        <v>0.683772233983162</v>
      </c>
      <c r="F51" s="338">
        <f t="shared" si="3"/>
        <v>0.6018928294465027</v>
      </c>
      <c r="G51" s="338">
        <f t="shared" si="3"/>
        <v>0.535841116638722</v>
      </c>
      <c r="H51" s="338">
        <f t="shared" si="3"/>
        <v>0.4820525320768788</v>
      </c>
      <c r="I51" s="339">
        <f t="shared" si="3"/>
        <v>0.4376586748096509</v>
      </c>
    </row>
    <row r="52" spans="1:9" ht="12.75">
      <c r="A52" s="495"/>
      <c r="B52" s="449">
        <v>0.999</v>
      </c>
      <c r="C52" s="338">
        <f t="shared" si="3"/>
        <v>0.9683772233983162</v>
      </c>
      <c r="D52" s="338">
        <f t="shared" si="3"/>
        <v>0.8999999999999999</v>
      </c>
      <c r="E52" s="338">
        <f t="shared" si="3"/>
        <v>0.8221720589961077</v>
      </c>
      <c r="F52" s="338">
        <f t="shared" si="3"/>
        <v>0.748811356849042</v>
      </c>
      <c r="G52" s="338">
        <f t="shared" si="3"/>
        <v>0.683772233983162</v>
      </c>
      <c r="H52" s="338">
        <f t="shared" si="3"/>
        <v>0.6272406279685059</v>
      </c>
      <c r="I52" s="339">
        <f t="shared" si="3"/>
        <v>0.5783034965714178</v>
      </c>
    </row>
    <row r="53" spans="1:9" ht="12.75">
      <c r="A53" s="495"/>
      <c r="B53" s="450">
        <v>0.9999</v>
      </c>
      <c r="C53" s="338">
        <f t="shared" si="3"/>
        <v>0.9900000000000005</v>
      </c>
      <c r="D53" s="338">
        <f t="shared" si="3"/>
        <v>0.9535841116638739</v>
      </c>
      <c r="E53" s="338">
        <f t="shared" si="3"/>
        <v>0.9000000000000028</v>
      </c>
      <c r="F53" s="338">
        <f t="shared" si="3"/>
        <v>0.8415106807538921</v>
      </c>
      <c r="G53" s="338">
        <f t="shared" si="3"/>
        <v>0.7845565309968155</v>
      </c>
      <c r="H53" s="338">
        <f t="shared" si="3"/>
        <v>0.7317304204720316</v>
      </c>
      <c r="I53" s="339">
        <f t="shared" si="3"/>
        <v>0.6837722339831664</v>
      </c>
    </row>
    <row r="54" spans="1:9" ht="13.5" thickBot="1">
      <c r="A54" s="496"/>
      <c r="B54" s="451">
        <v>0.99999</v>
      </c>
      <c r="C54" s="368">
        <f t="shared" si="3"/>
        <v>0.9968377223398388</v>
      </c>
      <c r="D54" s="368">
        <f t="shared" si="3"/>
        <v>0.9784556530997138</v>
      </c>
      <c r="E54" s="368">
        <f t="shared" si="3"/>
        <v>0.9437658674810291</v>
      </c>
      <c r="F54" s="368">
        <f t="shared" si="3"/>
        <v>0.9000000000000911</v>
      </c>
      <c r="G54" s="368">
        <f t="shared" si="3"/>
        <v>0.8532200732379044</v>
      </c>
      <c r="H54" s="368">
        <f t="shared" si="3"/>
        <v>0.8069302271118005</v>
      </c>
      <c r="I54" s="369">
        <f t="shared" si="3"/>
        <v>0.7628626294339693</v>
      </c>
    </row>
    <row r="55" spans="1:9" ht="12.75">
      <c r="A55" s="456"/>
      <c r="B55" s="457"/>
      <c r="C55" s="338"/>
      <c r="D55" s="338"/>
      <c r="E55" s="338"/>
      <c r="F55" s="338"/>
      <c r="G55" s="338"/>
      <c r="H55" s="338"/>
      <c r="I55" s="338"/>
    </row>
    <row r="56" spans="1:9" ht="13.5" thickBot="1">
      <c r="A56" s="501" t="s">
        <v>167</v>
      </c>
      <c r="B56" s="501"/>
      <c r="C56" s="501"/>
      <c r="D56" s="501"/>
      <c r="E56" s="501"/>
      <c r="F56" s="501"/>
      <c r="G56" s="501"/>
      <c r="H56" s="501"/>
      <c r="I56" s="501"/>
    </row>
    <row r="57" spans="1:9" ht="25.5">
      <c r="A57" s="370" t="s">
        <v>131</v>
      </c>
      <c r="B57" s="446">
        <v>1</v>
      </c>
      <c r="C57" s="446">
        <v>2</v>
      </c>
      <c r="D57" s="446">
        <v>3</v>
      </c>
      <c r="E57" s="446">
        <v>4</v>
      </c>
      <c r="F57" s="446">
        <v>5</v>
      </c>
      <c r="G57" s="446">
        <v>6</v>
      </c>
      <c r="H57" s="446">
        <v>7</v>
      </c>
      <c r="I57" s="447">
        <v>8</v>
      </c>
    </row>
    <row r="58" spans="1:9" ht="12.75">
      <c r="A58" s="494" t="s">
        <v>130</v>
      </c>
      <c r="B58" s="452">
        <f aca="true" t="shared" si="4" ref="B58:I61">NORMINV(1-B51,$B$7,$B$12)</f>
        <v>-85.86246353559409</v>
      </c>
      <c r="C58" s="452">
        <f t="shared" si="4"/>
        <v>-78.30149356596336</v>
      </c>
      <c r="D58" s="452">
        <f t="shared" si="4"/>
        <v>-74.72741198199785</v>
      </c>
      <c r="E58" s="452">
        <f t="shared" si="4"/>
        <v>-72.4883402875103</v>
      </c>
      <c r="F58" s="452">
        <f t="shared" si="4"/>
        <v>-70.89607304340993</v>
      </c>
      <c r="G58" s="452">
        <f t="shared" si="4"/>
        <v>-69.67820860265576</v>
      </c>
      <c r="H58" s="452">
        <f t="shared" si="4"/>
        <v>-68.7014999953633</v>
      </c>
      <c r="I58" s="453">
        <f t="shared" si="4"/>
        <v>-67.89166579421372</v>
      </c>
    </row>
    <row r="59" spans="1:9" ht="12.75">
      <c r="A59" s="495"/>
      <c r="B59" s="452">
        <f t="shared" si="4"/>
        <v>-91.39053365281441</v>
      </c>
      <c r="C59" s="452">
        <f t="shared" si="4"/>
        <v>-82.46923049093876</v>
      </c>
      <c r="D59" s="452">
        <f t="shared" si="4"/>
        <v>-78.30149356596336</v>
      </c>
      <c r="E59" s="452">
        <f t="shared" si="4"/>
        <v>-75.71161194743095</v>
      </c>
      <c r="F59" s="452">
        <f t="shared" si="4"/>
        <v>-73.88128038909349</v>
      </c>
      <c r="G59" s="452">
        <f t="shared" si="4"/>
        <v>-72.4883402875103</v>
      </c>
      <c r="H59" s="452">
        <f t="shared" si="4"/>
        <v>-71.37590360320314</v>
      </c>
      <c r="I59" s="453">
        <f t="shared" si="4"/>
        <v>-70.4568418327416</v>
      </c>
    </row>
    <row r="60" spans="1:9" ht="12.75">
      <c r="A60" s="495"/>
      <c r="B60" s="452">
        <f t="shared" si="4"/>
        <v>-95.94091180626532</v>
      </c>
      <c r="C60" s="452">
        <f t="shared" si="4"/>
        <v>-85.86246353559422</v>
      </c>
      <c r="D60" s="452">
        <f t="shared" si="4"/>
        <v>-81.18965256958938</v>
      </c>
      <c r="E60" s="452">
        <f t="shared" si="4"/>
        <v>-78.30149356596347</v>
      </c>
      <c r="F60" s="452">
        <f t="shared" si="4"/>
        <v>-76.26892884632709</v>
      </c>
      <c r="G60" s="452">
        <f t="shared" si="4"/>
        <v>-74.72741198199795</v>
      </c>
      <c r="H60" s="452">
        <f t="shared" si="4"/>
        <v>-73.49990839039982</v>
      </c>
      <c r="I60" s="453">
        <f t="shared" si="4"/>
        <v>-72.4883402875104</v>
      </c>
    </row>
    <row r="61" spans="1:9" ht="13.5" thickBot="1">
      <c r="A61" s="496"/>
      <c r="B61" s="454">
        <f t="shared" si="4"/>
        <v>-99.89128875555198</v>
      </c>
      <c r="C61" s="454">
        <f t="shared" si="4"/>
        <v>-88.78695468588026</v>
      </c>
      <c r="D61" s="454">
        <f t="shared" si="4"/>
        <v>-83.66610805473923</v>
      </c>
      <c r="E61" s="454">
        <f t="shared" si="4"/>
        <v>-80.5133775646598</v>
      </c>
      <c r="F61" s="454">
        <f t="shared" si="4"/>
        <v>-78.3014935659671</v>
      </c>
      <c r="G61" s="454">
        <f t="shared" si="4"/>
        <v>-76.62829533065894</v>
      </c>
      <c r="H61" s="454">
        <f t="shared" si="4"/>
        <v>-75.29886291553848</v>
      </c>
      <c r="I61" s="455">
        <f t="shared" si="4"/>
        <v>-74.20539565641846</v>
      </c>
    </row>
    <row r="62" spans="1:2" ht="12.75">
      <c r="A62" s="337"/>
      <c r="B62" s="404"/>
    </row>
    <row r="63" spans="1:2" ht="12.75">
      <c r="A63" s="337"/>
      <c r="B63" s="404"/>
    </row>
  </sheetData>
  <mergeCells count="5">
    <mergeCell ref="A1:O1"/>
    <mergeCell ref="A51:A54"/>
    <mergeCell ref="A58:A61"/>
    <mergeCell ref="A49:I49"/>
    <mergeCell ref="A56:I56"/>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M78"/>
  <sheetViews>
    <sheetView zoomScale="75" zoomScaleNormal="75" workbookViewId="0" topLeftCell="A1">
      <selection activeCell="L2" sqref="L2"/>
    </sheetView>
  </sheetViews>
  <sheetFormatPr defaultColWidth="9.140625" defaultRowHeight="12.75"/>
  <cols>
    <col min="1" max="1" width="17.7109375" style="0" customWidth="1"/>
    <col min="9" max="12" width="9.7109375" style="0" customWidth="1"/>
  </cols>
  <sheetData>
    <row r="1" spans="1:13" ht="38.25" customHeight="1">
      <c r="A1" s="436" t="s">
        <v>172</v>
      </c>
      <c r="B1" s="436"/>
      <c r="C1" s="436"/>
      <c r="D1" s="436"/>
      <c r="E1" s="436"/>
      <c r="F1" s="436"/>
      <c r="G1" s="436"/>
      <c r="H1" s="436"/>
      <c r="I1" s="436"/>
      <c r="J1" s="436"/>
      <c r="K1" s="436"/>
      <c r="L1" s="436"/>
      <c r="M1" s="407"/>
    </row>
    <row r="3" spans="1:2" ht="12.75">
      <c r="A3" s="403" t="s">
        <v>148</v>
      </c>
      <c r="B3" s="413">
        <v>6</v>
      </c>
    </row>
    <row r="4" ht="12.75">
      <c r="B4" s="337"/>
    </row>
    <row r="5" ht="12.75">
      <c r="A5" s="400" t="s">
        <v>146</v>
      </c>
    </row>
    <row r="6" spans="1:3" ht="12.75">
      <c r="A6" s="399" t="s">
        <v>158</v>
      </c>
      <c r="B6" s="417">
        <f>'Sensing time'!$C$12+0+0</f>
        <v>64.0282009651565</v>
      </c>
      <c r="C6" s="349" t="s">
        <v>152</v>
      </c>
    </row>
    <row r="7" spans="1:9" ht="12.75">
      <c r="A7" s="350" t="s">
        <v>159</v>
      </c>
      <c r="B7" s="416">
        <f>$B$6-'Sensing time'!$C$10+'Sensing time'!$C$5</f>
        <v>-69.02717586133606</v>
      </c>
      <c r="C7" s="351" t="s">
        <v>149</v>
      </c>
      <c r="D7" t="s">
        <v>157</v>
      </c>
      <c r="I7" s="458">
        <v>1.8360540762202775</v>
      </c>
    </row>
    <row r="8" spans="1:3" ht="12.75">
      <c r="A8" s="352" t="s">
        <v>160</v>
      </c>
      <c r="B8" s="418">
        <f>$B$6-'Sensing time'!$C$10+'Sensing time'!$C$29</f>
        <v>24.723840632098053</v>
      </c>
      <c r="C8" s="354" t="s">
        <v>20</v>
      </c>
    </row>
    <row r="9" ht="12.75">
      <c r="B9" s="404"/>
    </row>
    <row r="10" spans="1:2" ht="12.75">
      <c r="A10" s="400" t="s">
        <v>147</v>
      </c>
      <c r="B10" s="404"/>
    </row>
    <row r="11" spans="1:3" ht="12.75">
      <c r="A11" s="399" t="s">
        <v>161</v>
      </c>
      <c r="B11" s="417">
        <f>7^2+$I$7^2+(-1.11*LOG10($B$3)+0.86)^2</f>
        <v>52.371108617469005</v>
      </c>
      <c r="C11" s="349"/>
    </row>
    <row r="12" spans="1:3" ht="12.75">
      <c r="A12" s="352" t="s">
        <v>162</v>
      </c>
      <c r="B12" s="418">
        <f>SQRT($B$11)</f>
        <v>7.236788556913143</v>
      </c>
      <c r="C12" s="354" t="s">
        <v>20</v>
      </c>
    </row>
    <row r="13" spans="5:8" ht="12.75">
      <c r="E13" s="389"/>
      <c r="F13" s="389"/>
      <c r="G13" s="389"/>
      <c r="H13" s="389"/>
    </row>
    <row r="14" spans="4:8" ht="12.75">
      <c r="D14" s="427" t="s">
        <v>165</v>
      </c>
      <c r="E14" s="410">
        <v>0.01</v>
      </c>
      <c r="F14" s="410">
        <v>0.05</v>
      </c>
      <c r="G14" s="410">
        <v>0.1</v>
      </c>
      <c r="H14" s="411">
        <v>0.2</v>
      </c>
    </row>
    <row r="15" spans="1:12" ht="12.75">
      <c r="A15" s="402" t="s">
        <v>153</v>
      </c>
      <c r="B15" s="402" t="s">
        <v>151</v>
      </c>
      <c r="C15" s="402" t="s">
        <v>133</v>
      </c>
      <c r="D15" s="428" t="s">
        <v>164</v>
      </c>
      <c r="E15" s="414">
        <v>500</v>
      </c>
      <c r="F15" s="414">
        <v>500</v>
      </c>
      <c r="G15" s="414">
        <v>500</v>
      </c>
      <c r="H15" s="415">
        <v>500</v>
      </c>
      <c r="I15" s="412">
        <f>E14</f>
        <v>0.01</v>
      </c>
      <c r="J15" s="412">
        <f>F14</f>
        <v>0.05</v>
      </c>
      <c r="K15" s="412">
        <f>G14</f>
        <v>0.1</v>
      </c>
      <c r="L15" s="412">
        <f>H14</f>
        <v>0.2</v>
      </c>
    </row>
    <row r="16" spans="1:8" ht="12.75">
      <c r="A16" s="402" t="s">
        <v>152</v>
      </c>
      <c r="B16" s="402" t="s">
        <v>149</v>
      </c>
      <c r="C16" s="402" t="s">
        <v>20</v>
      </c>
      <c r="D16" s="402" t="s">
        <v>150</v>
      </c>
      <c r="E16" s="405" t="s">
        <v>79</v>
      </c>
      <c r="F16" s="377" t="s">
        <v>79</v>
      </c>
      <c r="G16" s="377" t="s">
        <v>79</v>
      </c>
      <c r="H16" s="374" t="s">
        <v>79</v>
      </c>
    </row>
    <row r="17" spans="1:12" ht="12.75">
      <c r="A17" s="402">
        <v>100</v>
      </c>
      <c r="B17" s="404">
        <f aca="true" t="shared" si="0" ref="B17:B58">A17-$B$6+$B$7</f>
        <v>-33.05537682649256</v>
      </c>
      <c r="C17" s="404">
        <f aca="true" t="shared" si="1" ref="C17:C58">A17-$B$6+$B$8</f>
        <v>60.69563966694155</v>
      </c>
      <c r="D17" s="409">
        <f aca="true" t="shared" si="2" ref="D17:D58">1/($B$12*SQRT(2*PI()))*EXP(-((A17-$B$6)^2/(2*$B$11)))</f>
        <v>2.3776748001808088E-07</v>
      </c>
      <c r="E17" s="199">
        <f aca="true" t="shared" si="3" ref="E17:H46">1-NORMSDIST((-NORMSINV(E$14)/10^($C17/10)-SQRT(E$15/2))/(1+1/10^($C17/10)))</f>
        <v>1</v>
      </c>
      <c r="F17" s="378">
        <f t="shared" si="3"/>
        <v>1</v>
      </c>
      <c r="G17" s="378">
        <f t="shared" si="3"/>
        <v>1</v>
      </c>
      <c r="H17" s="375">
        <f t="shared" si="3"/>
        <v>1</v>
      </c>
      <c r="I17" s="160">
        <f aca="true" t="shared" si="4" ref="I17:I58">$D17*E17</f>
        <v>2.3776748001808088E-07</v>
      </c>
      <c r="J17" s="160">
        <f aca="true" t="shared" si="5" ref="J17:J58">$D17*F17</f>
        <v>2.3776748001808088E-07</v>
      </c>
      <c r="K17" s="160">
        <f aca="true" t="shared" si="6" ref="K17:K58">$D17*G17</f>
        <v>2.3776748001808088E-07</v>
      </c>
      <c r="L17" s="160">
        <f aca="true" t="shared" si="7" ref="L17:L58">$D17*H17</f>
        <v>2.3776748001808088E-07</v>
      </c>
    </row>
    <row r="18" spans="1:12" ht="12.75">
      <c r="A18" s="402">
        <v>98</v>
      </c>
      <c r="B18" s="404">
        <f t="shared" si="0"/>
        <v>-35.05537682649256</v>
      </c>
      <c r="C18" s="404">
        <f t="shared" si="1"/>
        <v>58.69563966694155</v>
      </c>
      <c r="D18" s="409">
        <f t="shared" si="2"/>
        <v>9.040015513257369E-07</v>
      </c>
      <c r="E18" s="199">
        <f t="shared" si="3"/>
        <v>1</v>
      </c>
      <c r="F18" s="378">
        <f t="shared" si="3"/>
        <v>1</v>
      </c>
      <c r="G18" s="378">
        <f t="shared" si="3"/>
        <v>1</v>
      </c>
      <c r="H18" s="375">
        <f t="shared" si="3"/>
        <v>1</v>
      </c>
      <c r="I18" s="160">
        <f t="shared" si="4"/>
        <v>9.040015513257369E-07</v>
      </c>
      <c r="J18" s="160">
        <f t="shared" si="5"/>
        <v>9.040015513257369E-07</v>
      </c>
      <c r="K18" s="160">
        <f t="shared" si="6"/>
        <v>9.040015513257369E-07</v>
      </c>
      <c r="L18" s="160">
        <f t="shared" si="7"/>
        <v>9.040015513257369E-07</v>
      </c>
    </row>
    <row r="19" spans="1:12" ht="12.75">
      <c r="A19" s="402">
        <v>96</v>
      </c>
      <c r="B19" s="404">
        <f t="shared" si="0"/>
        <v>-37.05537682649256</v>
      </c>
      <c r="C19" s="404">
        <f aca="true" t="shared" si="8" ref="C19:C28">A19-$B$6+$B$8</f>
        <v>56.69563966694155</v>
      </c>
      <c r="D19" s="409">
        <f aca="true" t="shared" si="9" ref="D19:D28">1/($B$12*SQRT(2*PI()))*EXP(-((A19-$B$6)^2/(2*$B$11)))</f>
        <v>3.184310119964219E-06</v>
      </c>
      <c r="E19" s="199">
        <f t="shared" si="3"/>
        <v>1</v>
      </c>
      <c r="F19" s="378">
        <f t="shared" si="3"/>
        <v>1</v>
      </c>
      <c r="G19" s="378">
        <f t="shared" si="3"/>
        <v>1</v>
      </c>
      <c r="H19" s="375">
        <f t="shared" si="3"/>
        <v>1</v>
      </c>
      <c r="I19" s="160">
        <f aca="true" t="shared" si="10" ref="I19:I28">$D19*E19</f>
        <v>3.184310119964219E-06</v>
      </c>
      <c r="J19" s="160">
        <f aca="true" t="shared" si="11" ref="J19:J28">$D19*F19</f>
        <v>3.184310119964219E-06</v>
      </c>
      <c r="K19" s="160">
        <f aca="true" t="shared" si="12" ref="K19:K28">$D19*G19</f>
        <v>3.184310119964219E-06</v>
      </c>
      <c r="L19" s="160">
        <f aca="true" t="shared" si="13" ref="L19:L28">$D19*H19</f>
        <v>3.184310119964219E-06</v>
      </c>
    </row>
    <row r="20" spans="1:12" ht="12.75">
      <c r="A20" s="402">
        <v>94</v>
      </c>
      <c r="B20" s="404">
        <f t="shared" si="0"/>
        <v>-39.05537682649256</v>
      </c>
      <c r="C20" s="404">
        <f t="shared" si="8"/>
        <v>54.69563966694155</v>
      </c>
      <c r="D20" s="409">
        <f t="shared" si="9"/>
        <v>1.0391805243292724E-05</v>
      </c>
      <c r="E20" s="199">
        <f t="shared" si="3"/>
        <v>1</v>
      </c>
      <c r="F20" s="378">
        <f t="shared" si="3"/>
        <v>1</v>
      </c>
      <c r="G20" s="378">
        <f t="shared" si="3"/>
        <v>1</v>
      </c>
      <c r="H20" s="375">
        <f t="shared" si="3"/>
        <v>1</v>
      </c>
      <c r="I20" s="160">
        <f t="shared" si="10"/>
        <v>1.0391805243292724E-05</v>
      </c>
      <c r="J20" s="160">
        <f t="shared" si="11"/>
        <v>1.0391805243292724E-05</v>
      </c>
      <c r="K20" s="160">
        <f t="shared" si="12"/>
        <v>1.0391805243292724E-05</v>
      </c>
      <c r="L20" s="160">
        <f t="shared" si="13"/>
        <v>1.0391805243292724E-05</v>
      </c>
    </row>
    <row r="21" spans="1:12" ht="12.75">
      <c r="A21" s="402">
        <v>92</v>
      </c>
      <c r="B21" s="404">
        <f t="shared" si="0"/>
        <v>-41.05537682649256</v>
      </c>
      <c r="C21" s="404">
        <f t="shared" si="8"/>
        <v>52.69563966694155</v>
      </c>
      <c r="D21" s="409">
        <f t="shared" si="9"/>
        <v>3.1419270781161415E-05</v>
      </c>
      <c r="E21" s="199">
        <f t="shared" si="3"/>
        <v>1</v>
      </c>
      <c r="F21" s="378">
        <f t="shared" si="3"/>
        <v>1</v>
      </c>
      <c r="G21" s="378">
        <f t="shared" si="3"/>
        <v>1</v>
      </c>
      <c r="H21" s="375">
        <f t="shared" si="3"/>
        <v>1</v>
      </c>
      <c r="I21" s="160">
        <f t="shared" si="10"/>
        <v>3.1419270781161415E-05</v>
      </c>
      <c r="J21" s="160">
        <f t="shared" si="11"/>
        <v>3.1419270781161415E-05</v>
      </c>
      <c r="K21" s="160">
        <f t="shared" si="12"/>
        <v>3.1419270781161415E-05</v>
      </c>
      <c r="L21" s="160">
        <f t="shared" si="13"/>
        <v>3.1419270781161415E-05</v>
      </c>
    </row>
    <row r="22" spans="1:12" ht="12.75">
      <c r="A22" s="402">
        <v>90</v>
      </c>
      <c r="B22" s="404">
        <f t="shared" si="0"/>
        <v>-43.05537682649256</v>
      </c>
      <c r="C22" s="404">
        <f t="shared" si="8"/>
        <v>50.69563966694155</v>
      </c>
      <c r="D22" s="409">
        <f t="shared" si="9"/>
        <v>8.800972499225678E-05</v>
      </c>
      <c r="E22" s="199">
        <f t="shared" si="3"/>
        <v>1</v>
      </c>
      <c r="F22" s="378">
        <f t="shared" si="3"/>
        <v>1</v>
      </c>
      <c r="G22" s="378">
        <f t="shared" si="3"/>
        <v>1</v>
      </c>
      <c r="H22" s="375">
        <f t="shared" si="3"/>
        <v>1</v>
      </c>
      <c r="I22" s="160">
        <f t="shared" si="10"/>
        <v>8.800972499225678E-05</v>
      </c>
      <c r="J22" s="160">
        <f t="shared" si="11"/>
        <v>8.800972499225678E-05</v>
      </c>
      <c r="K22" s="160">
        <f t="shared" si="12"/>
        <v>8.800972499225678E-05</v>
      </c>
      <c r="L22" s="160">
        <f t="shared" si="13"/>
        <v>8.800972499225678E-05</v>
      </c>
    </row>
    <row r="23" spans="1:12" ht="12.75">
      <c r="A23" s="402">
        <v>88</v>
      </c>
      <c r="B23" s="404">
        <f t="shared" si="0"/>
        <v>-45.05537682649256</v>
      </c>
      <c r="C23" s="404">
        <f t="shared" si="8"/>
        <v>48.69563966694155</v>
      </c>
      <c r="D23" s="409">
        <f t="shared" si="9"/>
        <v>0.00022839925722140388</v>
      </c>
      <c r="E23" s="199">
        <f t="shared" si="3"/>
        <v>1</v>
      </c>
      <c r="F23" s="378">
        <f t="shared" si="3"/>
        <v>1</v>
      </c>
      <c r="G23" s="378">
        <f t="shared" si="3"/>
        <v>1</v>
      </c>
      <c r="H23" s="375">
        <f t="shared" si="3"/>
        <v>1</v>
      </c>
      <c r="I23" s="160">
        <f t="shared" si="10"/>
        <v>0.00022839925722140388</v>
      </c>
      <c r="J23" s="160">
        <f t="shared" si="11"/>
        <v>0.00022839925722140388</v>
      </c>
      <c r="K23" s="160">
        <f t="shared" si="12"/>
        <v>0.00022839925722140388</v>
      </c>
      <c r="L23" s="160">
        <f t="shared" si="13"/>
        <v>0.00022839925722140388</v>
      </c>
    </row>
    <row r="24" spans="1:12" ht="12.75">
      <c r="A24" s="402">
        <v>86</v>
      </c>
      <c r="B24" s="404">
        <f t="shared" si="0"/>
        <v>-47.05537682649256</v>
      </c>
      <c r="C24" s="404">
        <f t="shared" si="8"/>
        <v>46.69563966694155</v>
      </c>
      <c r="D24" s="409">
        <f t="shared" si="9"/>
        <v>0.0005491464380468188</v>
      </c>
      <c r="E24" s="199">
        <f t="shared" si="3"/>
        <v>1</v>
      </c>
      <c r="F24" s="378">
        <f t="shared" si="3"/>
        <v>1</v>
      </c>
      <c r="G24" s="378">
        <f t="shared" si="3"/>
        <v>1</v>
      </c>
      <c r="H24" s="375">
        <f t="shared" si="3"/>
        <v>1</v>
      </c>
      <c r="I24" s="160">
        <f t="shared" si="10"/>
        <v>0.0005491464380468188</v>
      </c>
      <c r="J24" s="160">
        <f t="shared" si="11"/>
        <v>0.0005491464380468188</v>
      </c>
      <c r="K24" s="160">
        <f t="shared" si="12"/>
        <v>0.0005491464380468188</v>
      </c>
      <c r="L24" s="160">
        <f t="shared" si="13"/>
        <v>0.0005491464380468188</v>
      </c>
    </row>
    <row r="25" spans="1:12" ht="12.75">
      <c r="A25" s="402">
        <v>84</v>
      </c>
      <c r="B25" s="404">
        <f t="shared" si="0"/>
        <v>-49.05537682649256</v>
      </c>
      <c r="C25" s="404">
        <f t="shared" si="8"/>
        <v>44.69563966694155</v>
      </c>
      <c r="D25" s="409">
        <f t="shared" si="9"/>
        <v>0.0012232384258673542</v>
      </c>
      <c r="E25" s="199">
        <f t="shared" si="3"/>
        <v>1</v>
      </c>
      <c r="F25" s="378">
        <f t="shared" si="3"/>
        <v>1</v>
      </c>
      <c r="G25" s="378">
        <f t="shared" si="3"/>
        <v>1</v>
      </c>
      <c r="H25" s="375">
        <f t="shared" si="3"/>
        <v>1</v>
      </c>
      <c r="I25" s="160">
        <f t="shared" si="10"/>
        <v>0.0012232384258673542</v>
      </c>
      <c r="J25" s="160">
        <f t="shared" si="11"/>
        <v>0.0012232384258673542</v>
      </c>
      <c r="K25" s="160">
        <f t="shared" si="12"/>
        <v>0.0012232384258673542</v>
      </c>
      <c r="L25" s="160">
        <f t="shared" si="13"/>
        <v>0.0012232384258673542</v>
      </c>
    </row>
    <row r="26" spans="1:12" ht="12.75">
      <c r="A26" s="402">
        <v>82</v>
      </c>
      <c r="B26" s="404">
        <f t="shared" si="0"/>
        <v>-51.05537682649256</v>
      </c>
      <c r="C26" s="404">
        <f t="shared" si="8"/>
        <v>42.69563966694155</v>
      </c>
      <c r="D26" s="409">
        <f t="shared" si="9"/>
        <v>0.0025244310888028107</v>
      </c>
      <c r="E26" s="199">
        <f t="shared" si="3"/>
        <v>1</v>
      </c>
      <c r="F26" s="378">
        <f t="shared" si="3"/>
        <v>1</v>
      </c>
      <c r="G26" s="378">
        <f t="shared" si="3"/>
        <v>1</v>
      </c>
      <c r="H26" s="375">
        <f t="shared" si="3"/>
        <v>1</v>
      </c>
      <c r="I26" s="160">
        <f t="shared" si="10"/>
        <v>0.0025244310888028107</v>
      </c>
      <c r="J26" s="160">
        <f t="shared" si="11"/>
        <v>0.0025244310888028107</v>
      </c>
      <c r="K26" s="160">
        <f t="shared" si="12"/>
        <v>0.0025244310888028107</v>
      </c>
      <c r="L26" s="160">
        <f t="shared" si="13"/>
        <v>0.0025244310888028107</v>
      </c>
    </row>
    <row r="27" spans="1:12" ht="12.75">
      <c r="A27" s="402">
        <v>80</v>
      </c>
      <c r="B27" s="404">
        <f t="shared" si="0"/>
        <v>-53.05537682649256</v>
      </c>
      <c r="C27" s="404">
        <f t="shared" si="8"/>
        <v>40.69563966694155</v>
      </c>
      <c r="D27" s="409">
        <f t="shared" si="9"/>
        <v>0.0048266453063205445</v>
      </c>
      <c r="E27" s="199">
        <f t="shared" si="3"/>
        <v>1</v>
      </c>
      <c r="F27" s="378">
        <f t="shared" si="3"/>
        <v>1</v>
      </c>
      <c r="G27" s="378">
        <f t="shared" si="3"/>
        <v>1</v>
      </c>
      <c r="H27" s="375">
        <f t="shared" si="3"/>
        <v>1</v>
      </c>
      <c r="I27" s="160">
        <f t="shared" si="10"/>
        <v>0.0048266453063205445</v>
      </c>
      <c r="J27" s="160">
        <f t="shared" si="11"/>
        <v>0.0048266453063205445</v>
      </c>
      <c r="K27" s="160">
        <f t="shared" si="12"/>
        <v>0.0048266453063205445</v>
      </c>
      <c r="L27" s="160">
        <f t="shared" si="13"/>
        <v>0.0048266453063205445</v>
      </c>
    </row>
    <row r="28" spans="1:12" ht="12.75">
      <c r="A28" s="402">
        <v>78</v>
      </c>
      <c r="B28" s="404">
        <f t="shared" si="0"/>
        <v>-55.05537682649256</v>
      </c>
      <c r="C28" s="404">
        <f t="shared" si="8"/>
        <v>38.69563966694155</v>
      </c>
      <c r="D28" s="409">
        <f t="shared" si="9"/>
        <v>0.008549814867648912</v>
      </c>
      <c r="E28" s="199">
        <f t="shared" si="3"/>
        <v>1</v>
      </c>
      <c r="F28" s="378">
        <f t="shared" si="3"/>
        <v>1</v>
      </c>
      <c r="G28" s="378">
        <f t="shared" si="3"/>
        <v>1</v>
      </c>
      <c r="H28" s="375">
        <f t="shared" si="3"/>
        <v>1</v>
      </c>
      <c r="I28" s="160">
        <f t="shared" si="10"/>
        <v>0.008549814867648912</v>
      </c>
      <c r="J28" s="160">
        <f t="shared" si="11"/>
        <v>0.008549814867648912</v>
      </c>
      <c r="K28" s="160">
        <f t="shared" si="12"/>
        <v>0.008549814867648912</v>
      </c>
      <c r="L28" s="160">
        <f t="shared" si="13"/>
        <v>0.008549814867648912</v>
      </c>
    </row>
    <row r="29" spans="1:12" ht="12.75">
      <c r="A29" s="402">
        <v>76</v>
      </c>
      <c r="B29" s="404">
        <f t="shared" si="0"/>
        <v>-57.05537682649256</v>
      </c>
      <c r="C29" s="404">
        <f t="shared" si="1"/>
        <v>36.69563966694155</v>
      </c>
      <c r="D29" s="409">
        <f t="shared" si="2"/>
        <v>0.014031286650731079</v>
      </c>
      <c r="E29" s="199">
        <f t="shared" si="3"/>
        <v>1</v>
      </c>
      <c r="F29" s="378">
        <f t="shared" si="3"/>
        <v>1</v>
      </c>
      <c r="G29" s="378">
        <f t="shared" si="3"/>
        <v>1</v>
      </c>
      <c r="H29" s="375">
        <f t="shared" si="3"/>
        <v>1</v>
      </c>
      <c r="I29" s="160">
        <f t="shared" si="4"/>
        <v>0.014031286650731079</v>
      </c>
      <c r="J29" s="160">
        <f t="shared" si="5"/>
        <v>0.014031286650731079</v>
      </c>
      <c r="K29" s="160">
        <f t="shared" si="6"/>
        <v>0.014031286650731079</v>
      </c>
      <c r="L29" s="160">
        <f t="shared" si="7"/>
        <v>0.014031286650731079</v>
      </c>
    </row>
    <row r="30" spans="1:12" ht="12.75">
      <c r="A30" s="402">
        <v>74</v>
      </c>
      <c r="B30" s="404">
        <f t="shared" si="0"/>
        <v>-59.05537682649256</v>
      </c>
      <c r="C30" s="404">
        <f t="shared" si="1"/>
        <v>34.69563966694155</v>
      </c>
      <c r="D30" s="409">
        <f t="shared" si="2"/>
        <v>0.021333776638906128</v>
      </c>
      <c r="E30" s="199">
        <f t="shared" si="3"/>
        <v>1</v>
      </c>
      <c r="F30" s="378">
        <f t="shared" si="3"/>
        <v>1</v>
      </c>
      <c r="G30" s="378">
        <f t="shared" si="3"/>
        <v>1</v>
      </c>
      <c r="H30" s="375">
        <f t="shared" si="3"/>
        <v>1</v>
      </c>
      <c r="I30" s="160">
        <f t="shared" si="4"/>
        <v>0.021333776638906128</v>
      </c>
      <c r="J30" s="160">
        <f t="shared" si="5"/>
        <v>0.021333776638906128</v>
      </c>
      <c r="K30" s="160">
        <f t="shared" si="6"/>
        <v>0.021333776638906128</v>
      </c>
      <c r="L30" s="160">
        <f t="shared" si="7"/>
        <v>0.021333776638906128</v>
      </c>
    </row>
    <row r="31" spans="1:12" ht="12.75">
      <c r="A31" s="402">
        <v>72</v>
      </c>
      <c r="B31" s="404">
        <f t="shared" si="0"/>
        <v>-61.05537682649256</v>
      </c>
      <c r="C31" s="404">
        <f t="shared" si="1"/>
        <v>32.69563966694155</v>
      </c>
      <c r="D31" s="409">
        <f t="shared" si="2"/>
        <v>0.030051589718474415</v>
      </c>
      <c r="E31" s="199">
        <f t="shared" si="3"/>
        <v>1</v>
      </c>
      <c r="F31" s="378">
        <f t="shared" si="3"/>
        <v>1</v>
      </c>
      <c r="G31" s="378">
        <f t="shared" si="3"/>
        <v>1</v>
      </c>
      <c r="H31" s="375">
        <f t="shared" si="3"/>
        <v>1</v>
      </c>
      <c r="I31" s="160">
        <f t="shared" si="4"/>
        <v>0.030051589718474415</v>
      </c>
      <c r="J31" s="160">
        <f t="shared" si="5"/>
        <v>0.030051589718474415</v>
      </c>
      <c r="K31" s="160">
        <f t="shared" si="6"/>
        <v>0.030051589718474415</v>
      </c>
      <c r="L31" s="160">
        <f t="shared" si="7"/>
        <v>0.030051589718474415</v>
      </c>
    </row>
    <row r="32" spans="1:12" ht="12.75">
      <c r="A32" s="402">
        <v>70</v>
      </c>
      <c r="B32" s="404">
        <f t="shared" si="0"/>
        <v>-63.05537682649256</v>
      </c>
      <c r="C32" s="404">
        <f t="shared" si="1"/>
        <v>30.695639666941553</v>
      </c>
      <c r="D32" s="409">
        <f t="shared" si="2"/>
        <v>0.03921900927835226</v>
      </c>
      <c r="E32" s="199">
        <f t="shared" si="3"/>
        <v>1</v>
      </c>
      <c r="F32" s="378">
        <f t="shared" si="3"/>
        <v>1</v>
      </c>
      <c r="G32" s="378">
        <f t="shared" si="3"/>
        <v>1</v>
      </c>
      <c r="H32" s="375">
        <f t="shared" si="3"/>
        <v>1</v>
      </c>
      <c r="I32" s="160">
        <f t="shared" si="4"/>
        <v>0.03921900927835226</v>
      </c>
      <c r="J32" s="160">
        <f t="shared" si="5"/>
        <v>0.03921900927835226</v>
      </c>
      <c r="K32" s="160">
        <f t="shared" si="6"/>
        <v>0.03921900927835226</v>
      </c>
      <c r="L32" s="160">
        <f t="shared" si="7"/>
        <v>0.03921900927835226</v>
      </c>
    </row>
    <row r="33" spans="1:12" ht="12.75">
      <c r="A33" s="402">
        <v>68</v>
      </c>
      <c r="B33" s="404">
        <f t="shared" si="0"/>
        <v>-65.05537682649256</v>
      </c>
      <c r="C33" s="404">
        <f t="shared" si="1"/>
        <v>28.695639666941553</v>
      </c>
      <c r="D33" s="409">
        <f t="shared" si="2"/>
        <v>0.04741931180723568</v>
      </c>
      <c r="E33" s="199">
        <f t="shared" si="3"/>
        <v>1</v>
      </c>
      <c r="F33" s="378">
        <f t="shared" si="3"/>
        <v>1</v>
      </c>
      <c r="G33" s="378">
        <f t="shared" si="3"/>
        <v>1</v>
      </c>
      <c r="H33" s="375">
        <f t="shared" si="3"/>
        <v>1</v>
      </c>
      <c r="I33" s="160">
        <f t="shared" si="4"/>
        <v>0.04741931180723568</v>
      </c>
      <c r="J33" s="160">
        <f t="shared" si="5"/>
        <v>0.04741931180723568</v>
      </c>
      <c r="K33" s="160">
        <f t="shared" si="6"/>
        <v>0.04741931180723568</v>
      </c>
      <c r="L33" s="160">
        <f t="shared" si="7"/>
        <v>0.04741931180723568</v>
      </c>
    </row>
    <row r="34" spans="1:12" ht="12.75">
      <c r="A34" s="402">
        <v>66</v>
      </c>
      <c r="B34" s="404">
        <f t="shared" si="0"/>
        <v>-67.05537682649256</v>
      </c>
      <c r="C34" s="404">
        <f t="shared" si="1"/>
        <v>26.695639666941553</v>
      </c>
      <c r="D34" s="409">
        <f t="shared" si="2"/>
        <v>0.053118198244976246</v>
      </c>
      <c r="E34" s="199">
        <f t="shared" si="3"/>
        <v>1</v>
      </c>
      <c r="F34" s="378">
        <f t="shared" si="3"/>
        <v>1</v>
      </c>
      <c r="G34" s="378">
        <f t="shared" si="3"/>
        <v>1</v>
      </c>
      <c r="H34" s="375">
        <f t="shared" si="3"/>
        <v>1</v>
      </c>
      <c r="I34" s="160">
        <f t="shared" si="4"/>
        <v>0.053118198244976246</v>
      </c>
      <c r="J34" s="160">
        <f t="shared" si="5"/>
        <v>0.053118198244976246</v>
      </c>
      <c r="K34" s="160">
        <f t="shared" si="6"/>
        <v>0.053118198244976246</v>
      </c>
      <c r="L34" s="160">
        <f t="shared" si="7"/>
        <v>0.053118198244976246</v>
      </c>
    </row>
    <row r="35" spans="1:12" ht="12.75">
      <c r="A35" s="402">
        <v>64</v>
      </c>
      <c r="B35" s="404">
        <f t="shared" si="0"/>
        <v>-69.05537682649256</v>
      </c>
      <c r="C35" s="404">
        <f t="shared" si="1"/>
        <v>24.695639666941553</v>
      </c>
      <c r="D35" s="409">
        <f t="shared" si="2"/>
        <v>0.05512655899189578</v>
      </c>
      <c r="E35" s="199">
        <f t="shared" si="3"/>
        <v>1</v>
      </c>
      <c r="F35" s="378">
        <f t="shared" si="3"/>
        <v>1</v>
      </c>
      <c r="G35" s="378">
        <f t="shared" si="3"/>
        <v>1</v>
      </c>
      <c r="H35" s="375">
        <f t="shared" si="3"/>
        <v>1</v>
      </c>
      <c r="I35" s="160">
        <f t="shared" si="4"/>
        <v>0.05512655899189578</v>
      </c>
      <c r="J35" s="160">
        <f t="shared" si="5"/>
        <v>0.05512655899189578</v>
      </c>
      <c r="K35" s="160">
        <f t="shared" si="6"/>
        <v>0.05512655899189578</v>
      </c>
      <c r="L35" s="160">
        <f t="shared" si="7"/>
        <v>0.05512655899189578</v>
      </c>
    </row>
    <row r="36" spans="1:12" ht="12.75">
      <c r="A36" s="402">
        <v>62</v>
      </c>
      <c r="B36" s="404">
        <f t="shared" si="0"/>
        <v>-71.05537682649256</v>
      </c>
      <c r="C36" s="404">
        <f t="shared" si="1"/>
        <v>22.695639666941553</v>
      </c>
      <c r="D36" s="409">
        <f t="shared" si="2"/>
        <v>0.0530039083339196</v>
      </c>
      <c r="E36" s="199">
        <f t="shared" si="3"/>
        <v>1</v>
      </c>
      <c r="F36" s="378">
        <f t="shared" si="3"/>
        <v>1</v>
      </c>
      <c r="G36" s="378">
        <f t="shared" si="3"/>
        <v>1</v>
      </c>
      <c r="H36" s="375">
        <f t="shared" si="3"/>
        <v>1</v>
      </c>
      <c r="I36" s="160">
        <f t="shared" si="4"/>
        <v>0.0530039083339196</v>
      </c>
      <c r="J36" s="160">
        <f t="shared" si="5"/>
        <v>0.0530039083339196</v>
      </c>
      <c r="K36" s="160">
        <f t="shared" si="6"/>
        <v>0.0530039083339196</v>
      </c>
      <c r="L36" s="160">
        <f t="shared" si="7"/>
        <v>0.0530039083339196</v>
      </c>
    </row>
    <row r="37" spans="1:12" ht="12.75">
      <c r="A37" s="402">
        <v>60</v>
      </c>
      <c r="B37" s="404">
        <f t="shared" si="0"/>
        <v>-73.05537682649256</v>
      </c>
      <c r="C37" s="404">
        <f t="shared" si="1"/>
        <v>20.695639666941553</v>
      </c>
      <c r="D37" s="409">
        <f t="shared" si="2"/>
        <v>0.04721547512917223</v>
      </c>
      <c r="E37" s="199">
        <f t="shared" si="3"/>
        <v>1</v>
      </c>
      <c r="F37" s="378">
        <f t="shared" si="3"/>
        <v>1</v>
      </c>
      <c r="G37" s="378">
        <f t="shared" si="3"/>
        <v>1</v>
      </c>
      <c r="H37" s="375">
        <f t="shared" si="3"/>
        <v>1</v>
      </c>
      <c r="I37" s="160">
        <f t="shared" si="4"/>
        <v>0.04721547512917223</v>
      </c>
      <c r="J37" s="160">
        <f t="shared" si="5"/>
        <v>0.04721547512917223</v>
      </c>
      <c r="K37" s="160">
        <f t="shared" si="6"/>
        <v>0.04721547512917223</v>
      </c>
      <c r="L37" s="160">
        <f t="shared" si="7"/>
        <v>0.04721547512917223</v>
      </c>
    </row>
    <row r="38" spans="1:12" ht="12.75">
      <c r="A38" s="402">
        <v>58</v>
      </c>
      <c r="B38" s="404">
        <f t="shared" si="0"/>
        <v>-75.05537682649256</v>
      </c>
      <c r="C38" s="404">
        <f t="shared" si="1"/>
        <v>18.695639666941553</v>
      </c>
      <c r="D38" s="409">
        <f t="shared" si="2"/>
        <v>0.03896640095108028</v>
      </c>
      <c r="E38" s="199">
        <f t="shared" si="3"/>
        <v>1</v>
      </c>
      <c r="F38" s="378">
        <f t="shared" si="3"/>
        <v>1</v>
      </c>
      <c r="G38" s="378">
        <f t="shared" si="3"/>
        <v>1</v>
      </c>
      <c r="H38" s="375">
        <f t="shared" si="3"/>
        <v>1</v>
      </c>
      <c r="I38" s="160">
        <f t="shared" si="4"/>
        <v>0.03896640095108028</v>
      </c>
      <c r="J38" s="160">
        <f t="shared" si="5"/>
        <v>0.03896640095108028</v>
      </c>
      <c r="K38" s="160">
        <f t="shared" si="6"/>
        <v>0.03896640095108028</v>
      </c>
      <c r="L38" s="160">
        <f t="shared" si="7"/>
        <v>0.03896640095108028</v>
      </c>
    </row>
    <row r="39" spans="1:12" ht="12.75">
      <c r="A39" s="402">
        <v>56</v>
      </c>
      <c r="B39" s="404">
        <f t="shared" si="0"/>
        <v>-77.05537682649256</v>
      </c>
      <c r="C39" s="404">
        <f t="shared" si="1"/>
        <v>16.695639666941553</v>
      </c>
      <c r="D39" s="409">
        <f t="shared" si="2"/>
        <v>0.029793785452774516</v>
      </c>
      <c r="E39" s="199">
        <f t="shared" si="3"/>
        <v>1</v>
      </c>
      <c r="F39" s="378">
        <f t="shared" si="3"/>
        <v>1</v>
      </c>
      <c r="G39" s="378">
        <f t="shared" si="3"/>
        <v>1</v>
      </c>
      <c r="H39" s="375">
        <f t="shared" si="3"/>
        <v>1</v>
      </c>
      <c r="I39" s="160">
        <f t="shared" si="4"/>
        <v>0.029793785452774516</v>
      </c>
      <c r="J39" s="160">
        <f t="shared" si="5"/>
        <v>0.029793785452774516</v>
      </c>
      <c r="K39" s="160">
        <f t="shared" si="6"/>
        <v>0.029793785452774516</v>
      </c>
      <c r="L39" s="160">
        <f t="shared" si="7"/>
        <v>0.029793785452774516</v>
      </c>
    </row>
    <row r="40" spans="1:12" ht="12.75">
      <c r="A40" s="402">
        <v>54</v>
      </c>
      <c r="B40" s="404">
        <f t="shared" si="0"/>
        <v>-79.05537682649256</v>
      </c>
      <c r="C40" s="404">
        <f t="shared" si="1"/>
        <v>14.695639666941553</v>
      </c>
      <c r="D40" s="409">
        <f t="shared" si="2"/>
        <v>0.021105251785080915</v>
      </c>
      <c r="E40" s="199">
        <f t="shared" si="3"/>
        <v>1</v>
      </c>
      <c r="F40" s="378">
        <f t="shared" si="3"/>
        <v>1</v>
      </c>
      <c r="G40" s="378">
        <f t="shared" si="3"/>
        <v>1</v>
      </c>
      <c r="H40" s="375">
        <f t="shared" si="3"/>
        <v>1</v>
      </c>
      <c r="I40" s="160">
        <f t="shared" si="4"/>
        <v>0.021105251785080915</v>
      </c>
      <c r="J40" s="160">
        <f t="shared" si="5"/>
        <v>0.021105251785080915</v>
      </c>
      <c r="K40" s="160">
        <f t="shared" si="6"/>
        <v>0.021105251785080915</v>
      </c>
      <c r="L40" s="160">
        <f t="shared" si="7"/>
        <v>0.021105251785080915</v>
      </c>
    </row>
    <row r="41" spans="1:12" ht="12.75">
      <c r="A41" s="402">
        <v>52</v>
      </c>
      <c r="B41" s="404">
        <f t="shared" si="0"/>
        <v>-81.05537682649256</v>
      </c>
      <c r="C41" s="404">
        <f t="shared" si="1"/>
        <v>12.695639666941553</v>
      </c>
      <c r="D41" s="409">
        <f t="shared" si="2"/>
        <v>0.013851118657175976</v>
      </c>
      <c r="E41" s="199">
        <f t="shared" si="3"/>
        <v>1</v>
      </c>
      <c r="F41" s="378">
        <f t="shared" si="3"/>
        <v>1</v>
      </c>
      <c r="G41" s="378">
        <f t="shared" si="3"/>
        <v>1</v>
      </c>
      <c r="H41" s="375">
        <f t="shared" si="3"/>
        <v>1</v>
      </c>
      <c r="I41" s="160">
        <f t="shared" si="4"/>
        <v>0.013851118657175976</v>
      </c>
      <c r="J41" s="160">
        <f t="shared" si="5"/>
        <v>0.013851118657175976</v>
      </c>
      <c r="K41" s="160">
        <f t="shared" si="6"/>
        <v>0.013851118657175976</v>
      </c>
      <c r="L41" s="160">
        <f t="shared" si="7"/>
        <v>0.013851118657175976</v>
      </c>
    </row>
    <row r="42" spans="1:12" ht="12.75">
      <c r="A42" s="402">
        <v>50</v>
      </c>
      <c r="B42" s="404">
        <f t="shared" si="0"/>
        <v>-83.05537682649256</v>
      </c>
      <c r="C42" s="404">
        <f t="shared" si="1"/>
        <v>10.695639666941553</v>
      </c>
      <c r="D42" s="409">
        <f t="shared" si="2"/>
        <v>0.008421871724346783</v>
      </c>
      <c r="E42" s="199">
        <f t="shared" si="3"/>
        <v>1</v>
      </c>
      <c r="F42" s="378">
        <f t="shared" si="3"/>
        <v>1</v>
      </c>
      <c r="G42" s="378">
        <f t="shared" si="3"/>
        <v>1</v>
      </c>
      <c r="H42" s="375">
        <f t="shared" si="3"/>
        <v>1</v>
      </c>
      <c r="I42" s="160">
        <f t="shared" si="4"/>
        <v>0.008421871724346783</v>
      </c>
      <c r="J42" s="160">
        <f t="shared" si="5"/>
        <v>0.008421871724346783</v>
      </c>
      <c r="K42" s="160">
        <f t="shared" si="6"/>
        <v>0.008421871724346783</v>
      </c>
      <c r="L42" s="160">
        <f t="shared" si="7"/>
        <v>0.008421871724346783</v>
      </c>
    </row>
    <row r="43" spans="1:12" ht="12.75">
      <c r="A43" s="402">
        <v>48</v>
      </c>
      <c r="B43" s="404">
        <f t="shared" si="0"/>
        <v>-85.05537682649256</v>
      </c>
      <c r="C43" s="404">
        <f t="shared" si="1"/>
        <v>8.695639666941553</v>
      </c>
      <c r="D43" s="409">
        <f t="shared" si="2"/>
        <v>0.004744187614035977</v>
      </c>
      <c r="E43" s="199">
        <f t="shared" si="3"/>
        <v>1</v>
      </c>
      <c r="F43" s="378">
        <f t="shared" si="3"/>
        <v>1</v>
      </c>
      <c r="G43" s="378">
        <f t="shared" si="3"/>
        <v>1</v>
      </c>
      <c r="H43" s="375">
        <f t="shared" si="3"/>
        <v>1</v>
      </c>
      <c r="I43" s="160">
        <f t="shared" si="4"/>
        <v>0.004744187614035977</v>
      </c>
      <c r="J43" s="160">
        <f t="shared" si="5"/>
        <v>0.004744187614035977</v>
      </c>
      <c r="K43" s="160">
        <f t="shared" si="6"/>
        <v>0.004744187614035977</v>
      </c>
      <c r="L43" s="160">
        <f t="shared" si="7"/>
        <v>0.004744187614035977</v>
      </c>
    </row>
    <row r="44" spans="1:12" ht="12.75">
      <c r="A44" s="402">
        <v>46</v>
      </c>
      <c r="B44" s="404">
        <f t="shared" si="0"/>
        <v>-87.05537682649256</v>
      </c>
      <c r="C44" s="404">
        <f t="shared" si="1"/>
        <v>6.6956396669415525</v>
      </c>
      <c r="D44" s="409">
        <f t="shared" si="2"/>
        <v>0.0024759652715969274</v>
      </c>
      <c r="E44" s="199">
        <f t="shared" si="3"/>
        <v>1</v>
      </c>
      <c r="F44" s="378">
        <f t="shared" si="3"/>
        <v>1</v>
      </c>
      <c r="G44" s="378">
        <f t="shared" si="3"/>
        <v>1</v>
      </c>
      <c r="H44" s="375">
        <f t="shared" si="3"/>
        <v>1</v>
      </c>
      <c r="I44" s="160">
        <f t="shared" si="4"/>
        <v>0.0024759652715969274</v>
      </c>
      <c r="J44" s="160">
        <f t="shared" si="5"/>
        <v>0.0024759652715969274</v>
      </c>
      <c r="K44" s="160">
        <f t="shared" si="6"/>
        <v>0.0024759652715969274</v>
      </c>
      <c r="L44" s="160">
        <f t="shared" si="7"/>
        <v>0.0024759652715969274</v>
      </c>
    </row>
    <row r="45" spans="1:12" ht="12.75">
      <c r="A45" s="402">
        <v>44</v>
      </c>
      <c r="B45" s="404">
        <f t="shared" si="0"/>
        <v>-89.05537682649256</v>
      </c>
      <c r="C45" s="404">
        <f t="shared" si="1"/>
        <v>4.6956396669415525</v>
      </c>
      <c r="D45" s="409">
        <f t="shared" si="2"/>
        <v>0.0011971724193027894</v>
      </c>
      <c r="E45" s="199">
        <f t="shared" si="3"/>
        <v>1</v>
      </c>
      <c r="F45" s="378">
        <f t="shared" si="3"/>
        <v>1</v>
      </c>
      <c r="G45" s="378">
        <f t="shared" si="3"/>
        <v>1</v>
      </c>
      <c r="H45" s="375">
        <f t="shared" si="3"/>
        <v>1</v>
      </c>
      <c r="I45" s="160">
        <f t="shared" si="4"/>
        <v>0.0011971724193027894</v>
      </c>
      <c r="J45" s="160">
        <f t="shared" si="5"/>
        <v>0.0011971724193027894</v>
      </c>
      <c r="K45" s="160">
        <f t="shared" si="6"/>
        <v>0.0011971724193027894</v>
      </c>
      <c r="L45" s="160">
        <f t="shared" si="7"/>
        <v>0.0011971724193027894</v>
      </c>
    </row>
    <row r="46" spans="1:12" ht="12.75">
      <c r="A46" s="402">
        <v>42</v>
      </c>
      <c r="B46" s="404">
        <f t="shared" si="0"/>
        <v>-91.05537682649256</v>
      </c>
      <c r="C46" s="404">
        <f t="shared" si="1"/>
        <v>2.6956396669415525</v>
      </c>
      <c r="D46" s="409">
        <f t="shared" si="2"/>
        <v>0.0005362882940934831</v>
      </c>
      <c r="E46" s="199">
        <f t="shared" si="3"/>
        <v>1</v>
      </c>
      <c r="F46" s="378">
        <f t="shared" si="3"/>
        <v>1</v>
      </c>
      <c r="G46" s="378">
        <f t="shared" si="3"/>
        <v>1</v>
      </c>
      <c r="H46" s="375">
        <f t="shared" si="3"/>
        <v>1</v>
      </c>
      <c r="I46" s="160">
        <f t="shared" si="4"/>
        <v>0.0005362882940934831</v>
      </c>
      <c r="J46" s="160">
        <f t="shared" si="5"/>
        <v>0.0005362882940934831</v>
      </c>
      <c r="K46" s="160">
        <f t="shared" si="6"/>
        <v>0.0005362882940934831</v>
      </c>
      <c r="L46" s="160">
        <f t="shared" si="7"/>
        <v>0.0005362882940934831</v>
      </c>
    </row>
    <row r="47" spans="1:12" ht="12.75">
      <c r="A47" s="402">
        <v>40</v>
      </c>
      <c r="B47" s="404">
        <f t="shared" si="0"/>
        <v>-93.05537682649256</v>
      </c>
      <c r="C47" s="404">
        <f t="shared" si="1"/>
        <v>0.6956396669415525</v>
      </c>
      <c r="D47" s="409">
        <f t="shared" si="2"/>
        <v>0.0002225714178781143</v>
      </c>
      <c r="E47" s="199">
        <f aca="true" t="shared" si="14" ref="E47:H66">1-NORMSDIST((-NORMSINV(E$14)/10^($C47/10)-SQRT(E$15/2))/(1+1/10^($C47/10)))</f>
        <v>0.999999999999959</v>
      </c>
      <c r="F47" s="378">
        <f t="shared" si="14"/>
        <v>0.9999999999999964</v>
      </c>
      <c r="G47" s="378">
        <f t="shared" si="14"/>
        <v>0.999999999999999</v>
      </c>
      <c r="H47" s="375">
        <f t="shared" si="14"/>
        <v>0.9999999999999998</v>
      </c>
      <c r="I47" s="160">
        <f t="shared" si="4"/>
        <v>0.0002225714178781052</v>
      </c>
      <c r="J47" s="160">
        <f t="shared" si="5"/>
        <v>0.0002225714178781135</v>
      </c>
      <c r="K47" s="160">
        <f t="shared" si="6"/>
        <v>0.00022257141787811408</v>
      </c>
      <c r="L47" s="160">
        <f t="shared" si="7"/>
        <v>0.00022257141787811424</v>
      </c>
    </row>
    <row r="48" spans="1:12" ht="12.75">
      <c r="A48" s="402">
        <v>38</v>
      </c>
      <c r="B48" s="404">
        <f t="shared" si="0"/>
        <v>-95.05537682649256</v>
      </c>
      <c r="C48" s="404">
        <f t="shared" si="1"/>
        <v>-1.3043603330584475</v>
      </c>
      <c r="D48" s="409">
        <f t="shared" si="2"/>
        <v>8.557953609603153E-05</v>
      </c>
      <c r="E48" s="199">
        <f t="shared" si="14"/>
        <v>0.9999999649264156</v>
      </c>
      <c r="F48" s="378">
        <f t="shared" si="14"/>
        <v>0.9999999963163414</v>
      </c>
      <c r="G48" s="378">
        <f t="shared" si="14"/>
        <v>0.9999999989575856</v>
      </c>
      <c r="H48" s="375">
        <f t="shared" si="14"/>
        <v>0.9999999997864769</v>
      </c>
      <c r="I48" s="160">
        <f t="shared" si="4"/>
        <v>8.557953309445045E-05</v>
      </c>
      <c r="J48" s="160">
        <f t="shared" si="5"/>
        <v>8.557953578078573E-05</v>
      </c>
      <c r="K48" s="160">
        <f t="shared" si="6"/>
        <v>8.55795360068222E-05</v>
      </c>
      <c r="L48" s="160">
        <f t="shared" si="7"/>
        <v>8.557953607775832E-05</v>
      </c>
    </row>
    <row r="49" spans="1:12" ht="12.75">
      <c r="A49" s="402">
        <v>36</v>
      </c>
      <c r="B49" s="404">
        <f t="shared" si="0"/>
        <v>-97.05537682649256</v>
      </c>
      <c r="C49" s="404">
        <f t="shared" si="1"/>
        <v>-3.3043603330584475</v>
      </c>
      <c r="D49" s="409">
        <f t="shared" si="2"/>
        <v>3.0485963403490797E-05</v>
      </c>
      <c r="E49" s="199">
        <f t="shared" si="14"/>
        <v>0.999719498422132</v>
      </c>
      <c r="F49" s="378">
        <f t="shared" si="14"/>
        <v>0.9999546599779454</v>
      </c>
      <c r="G49" s="378">
        <f t="shared" si="14"/>
        <v>0.9999842173773608</v>
      </c>
      <c r="H49" s="375">
        <f t="shared" si="14"/>
        <v>0.9999959343944368</v>
      </c>
      <c r="I49" s="160">
        <f t="shared" si="4"/>
        <v>3.0477412042653293E-05</v>
      </c>
      <c r="J49" s="160">
        <f t="shared" si="5"/>
        <v>3.0484581169237726E-05</v>
      </c>
      <c r="K49" s="160">
        <f t="shared" si="6"/>
        <v>3.0485482255034606E-05</v>
      </c>
      <c r="L49" s="160">
        <f t="shared" si="7"/>
        <v>3.0485839459588383E-05</v>
      </c>
    </row>
    <row r="50" spans="1:12" ht="12.75">
      <c r="A50" s="402">
        <v>34</v>
      </c>
      <c r="B50" s="404">
        <f t="shared" si="0"/>
        <v>-99.05537682649256</v>
      </c>
      <c r="C50" s="404">
        <f t="shared" si="1"/>
        <v>-5.3043603330584475</v>
      </c>
      <c r="D50" s="409">
        <f t="shared" si="2"/>
        <v>1.0061422363834127E-05</v>
      </c>
      <c r="E50" s="199">
        <f t="shared" si="14"/>
        <v>0.9643466251183029</v>
      </c>
      <c r="F50" s="378">
        <f t="shared" si="14"/>
        <v>0.9900927104091346</v>
      </c>
      <c r="G50" s="378">
        <f t="shared" si="14"/>
        <v>0.9954784527784198</v>
      </c>
      <c r="H50" s="375">
        <f t="shared" si="14"/>
        <v>0.9984120618584182</v>
      </c>
      <c r="I50" s="160">
        <f t="shared" si="4"/>
        <v>9.70269870045326E-06</v>
      </c>
      <c r="J50" s="160">
        <f t="shared" si="5"/>
        <v>9.961740938779613E-06</v>
      </c>
      <c r="K50" s="160">
        <f t="shared" si="6"/>
        <v>1.0015929167499789E-05</v>
      </c>
      <c r="L50" s="160">
        <f t="shared" si="7"/>
        <v>1.0045445447504032E-05</v>
      </c>
    </row>
    <row r="51" spans="1:12" ht="12.75">
      <c r="A51" s="402">
        <v>32</v>
      </c>
      <c r="B51" s="404">
        <f t="shared" si="0"/>
        <v>-101.05537682649256</v>
      </c>
      <c r="C51" s="404">
        <f t="shared" si="1"/>
        <v>-7.3043603330584475</v>
      </c>
      <c r="D51" s="409">
        <f t="shared" si="2"/>
        <v>3.0764389230365462E-06</v>
      </c>
      <c r="E51" s="199">
        <f t="shared" si="14"/>
        <v>0.6979345510025345</v>
      </c>
      <c r="F51" s="378">
        <f t="shared" si="14"/>
        <v>0.8628194327953138</v>
      </c>
      <c r="G51" s="378">
        <f t="shared" si="14"/>
        <v>0.9191526082467072</v>
      </c>
      <c r="H51" s="375">
        <f t="shared" si="14"/>
        <v>0.96166337864216</v>
      </c>
      <c r="I51" s="160">
        <f t="shared" si="4"/>
        <v>2.147153018436233E-06</v>
      </c>
      <c r="J51" s="160">
        <f t="shared" si="5"/>
        <v>2.654411286603819E-06</v>
      </c>
      <c r="K51" s="160">
        <f t="shared" si="6"/>
        <v>2.8277168602207323E-06</v>
      </c>
      <c r="L51" s="160">
        <f t="shared" si="7"/>
        <v>2.958498648913573E-06</v>
      </c>
    </row>
    <row r="52" spans="1:12" ht="12.75">
      <c r="A52" s="402">
        <v>30</v>
      </c>
      <c r="B52" s="404">
        <f t="shared" si="0"/>
        <v>-103.05537682649256</v>
      </c>
      <c r="C52" s="404">
        <f t="shared" si="1"/>
        <v>-9.304360333058447</v>
      </c>
      <c r="D52" s="409">
        <f t="shared" si="2"/>
        <v>8.714985620286624E-07</v>
      </c>
      <c r="E52" s="199">
        <f t="shared" si="14"/>
        <v>0.336837561263443</v>
      </c>
      <c r="F52" s="378">
        <f t="shared" si="14"/>
        <v>0.5748747000802383</v>
      </c>
      <c r="G52" s="378">
        <f t="shared" si="14"/>
        <v>0.6963525014364857</v>
      </c>
      <c r="H52" s="375">
        <f t="shared" si="14"/>
        <v>0.8179703479347687</v>
      </c>
      <c r="I52" s="160">
        <f t="shared" si="4"/>
        <v>2.9355345027833206E-07</v>
      </c>
      <c r="J52" s="160">
        <f t="shared" si="5"/>
        <v>5.010024744665863E-07</v>
      </c>
      <c r="K52" s="160">
        <f t="shared" si="6"/>
        <v>6.068702036669594E-07</v>
      </c>
      <c r="L52" s="160">
        <f t="shared" si="7"/>
        <v>7.128599820072357E-07</v>
      </c>
    </row>
    <row r="53" spans="1:12" ht="12.75">
      <c r="A53" s="402">
        <v>28</v>
      </c>
      <c r="B53" s="404">
        <f t="shared" si="0"/>
        <v>-105.05537682649256</v>
      </c>
      <c r="C53" s="404">
        <f t="shared" si="1"/>
        <v>-11.304360333058447</v>
      </c>
      <c r="D53" s="409">
        <f t="shared" si="2"/>
        <v>2.287254616397497E-07</v>
      </c>
      <c r="E53" s="199">
        <f t="shared" si="14"/>
        <v>0.14102094337388493</v>
      </c>
      <c r="F53" s="378">
        <f t="shared" si="14"/>
        <v>0.32952007145419526</v>
      </c>
      <c r="G53" s="378">
        <f t="shared" si="14"/>
        <v>0.4589868275128549</v>
      </c>
      <c r="H53" s="375">
        <f t="shared" si="14"/>
        <v>0.6204300399226268</v>
      </c>
      <c r="I53" s="160">
        <f t="shared" si="4"/>
        <v>3.225508037406483E-08</v>
      </c>
      <c r="J53" s="160">
        <f t="shared" si="5"/>
        <v>7.536963046292411E-08</v>
      </c>
      <c r="K53" s="160">
        <f t="shared" si="6"/>
        <v>1.0498197400944191E-07</v>
      </c>
      <c r="L53" s="160">
        <f t="shared" si="7"/>
        <v>1.4190814729647115E-07</v>
      </c>
    </row>
    <row r="54" spans="1:12" ht="12.75">
      <c r="A54" s="402">
        <v>26</v>
      </c>
      <c r="B54" s="404">
        <f t="shared" si="0"/>
        <v>-107.05537682649256</v>
      </c>
      <c r="C54" s="404">
        <f t="shared" si="1"/>
        <v>-13.304360333058447</v>
      </c>
      <c r="D54" s="409">
        <f t="shared" si="2"/>
        <v>5.561498331283768E-08</v>
      </c>
      <c r="E54" s="199">
        <f t="shared" si="14"/>
        <v>0.0646753700753977</v>
      </c>
      <c r="F54" s="378">
        <f t="shared" si="14"/>
        <v>0.193356074802148</v>
      </c>
      <c r="G54" s="378">
        <f t="shared" si="14"/>
        <v>0.3020508037070334</v>
      </c>
      <c r="H54" s="375">
        <f t="shared" si="14"/>
        <v>0.4608789154357128</v>
      </c>
      <c r="I54" s="160">
        <f t="shared" si="4"/>
        <v>3.5969196274948445E-09</v>
      </c>
      <c r="J54" s="160">
        <f t="shared" si="5"/>
        <v>1.0753494873557255E-08</v>
      </c>
      <c r="K54" s="160">
        <f t="shared" si="6"/>
        <v>1.6798550407795872E-08</v>
      </c>
      <c r="L54" s="160">
        <f t="shared" si="7"/>
        <v>2.5631773191195895E-08</v>
      </c>
    </row>
    <row r="55" spans="1:12" ht="12.75">
      <c r="A55" s="402">
        <v>24</v>
      </c>
      <c r="B55" s="404">
        <f t="shared" si="0"/>
        <v>-109.05537682649256</v>
      </c>
      <c r="C55" s="404">
        <f t="shared" si="1"/>
        <v>-15.304360333058447</v>
      </c>
      <c r="D55" s="409">
        <f t="shared" si="2"/>
        <v>1.2528485369910633E-08</v>
      </c>
      <c r="E55" s="199">
        <f t="shared" si="14"/>
        <v>0.03538764139510975</v>
      </c>
      <c r="F55" s="378">
        <f t="shared" si="14"/>
        <v>0.12611719354969964</v>
      </c>
      <c r="G55" s="378">
        <f t="shared" si="14"/>
        <v>0.2141682873841183</v>
      </c>
      <c r="H55" s="375">
        <f t="shared" si="14"/>
        <v>0.357664022944834</v>
      </c>
      <c r="I55" s="160">
        <f t="shared" si="4"/>
        <v>4.433535474942764E-10</v>
      </c>
      <c r="J55" s="160">
        <f t="shared" si="5"/>
        <v>1.5800574142815994E-09</v>
      </c>
      <c r="K55" s="160">
        <f t="shared" si="6"/>
        <v>2.683204255190742E-09</v>
      </c>
      <c r="L55" s="160">
        <f t="shared" si="7"/>
        <v>4.480988478807734E-09</v>
      </c>
    </row>
    <row r="56" spans="1:12" ht="12.75">
      <c r="A56" s="402">
        <v>22</v>
      </c>
      <c r="B56" s="404">
        <f t="shared" si="0"/>
        <v>-111.05537682649256</v>
      </c>
      <c r="C56" s="404">
        <f t="shared" si="1"/>
        <v>-17.304360333058447</v>
      </c>
      <c r="D56" s="409">
        <f t="shared" si="2"/>
        <v>2.6147778032073735E-09</v>
      </c>
      <c r="E56" s="199">
        <f t="shared" si="14"/>
        <v>0.023015544060336346</v>
      </c>
      <c r="F56" s="378">
        <f t="shared" si="14"/>
        <v>0.0924099709612558</v>
      </c>
      <c r="G56" s="378">
        <f t="shared" si="14"/>
        <v>0.16617472799981248</v>
      </c>
      <c r="H56" s="375">
        <f t="shared" si="14"/>
        <v>0.29546243614534107</v>
      </c>
      <c r="I56" s="160">
        <f t="shared" si="4"/>
        <v>6.018053373770879E-11</v>
      </c>
      <c r="J56" s="160">
        <f t="shared" si="5"/>
        <v>2.4163154086452963E-10</v>
      </c>
      <c r="K56" s="160">
        <f t="shared" si="6"/>
        <v>4.345099902279325E-10</v>
      </c>
      <c r="L56" s="160">
        <f t="shared" si="7"/>
        <v>7.725686197144137E-10</v>
      </c>
    </row>
    <row r="57" spans="1:12" ht="12.75">
      <c r="A57" s="402">
        <v>20</v>
      </c>
      <c r="B57" s="404">
        <f t="shared" si="0"/>
        <v>-113.05537682649256</v>
      </c>
      <c r="C57" s="404">
        <f t="shared" si="1"/>
        <v>-19.304360333058447</v>
      </c>
      <c r="D57" s="409">
        <f t="shared" si="2"/>
        <v>5.055923213425565E-10</v>
      </c>
      <c r="E57" s="199">
        <f t="shared" si="14"/>
        <v>0.017175312877643067</v>
      </c>
      <c r="F57" s="378">
        <f t="shared" si="14"/>
        <v>0.07460276427876278</v>
      </c>
      <c r="G57" s="378">
        <f t="shared" si="14"/>
        <v>0.13934740644056798</v>
      </c>
      <c r="H57" s="375">
        <f t="shared" si="14"/>
        <v>0.25835366173505836</v>
      </c>
      <c r="I57" s="160">
        <f t="shared" si="4"/>
        <v>8.683706307592263E-12</v>
      </c>
      <c r="J57" s="160">
        <f t="shared" si="5"/>
        <v>3.771858477027123E-11</v>
      </c>
      <c r="K57" s="160">
        <f t="shared" si="6"/>
        <v>7.045297869535148E-11</v>
      </c>
      <c r="L57" s="160">
        <f t="shared" si="7"/>
        <v>1.306216275639778E-10</v>
      </c>
    </row>
    <row r="58" spans="1:12" ht="12.75">
      <c r="A58" s="402">
        <v>18</v>
      </c>
      <c r="B58" s="404">
        <f t="shared" si="0"/>
        <v>-115.05537682649256</v>
      </c>
      <c r="C58" s="404">
        <f t="shared" si="1"/>
        <v>-21.304360333058447</v>
      </c>
      <c r="D58" s="409">
        <f t="shared" si="2"/>
        <v>9.057234452643286E-11</v>
      </c>
      <c r="E58" s="199">
        <f t="shared" si="14"/>
        <v>0.014153209118079602</v>
      </c>
      <c r="F58" s="378">
        <f t="shared" si="14"/>
        <v>0.06469283351351218</v>
      </c>
      <c r="G58" s="378">
        <f t="shared" si="14"/>
        <v>0.12386153076339113</v>
      </c>
      <c r="H58" s="375">
        <f t="shared" si="14"/>
        <v>0.2360084640164435</v>
      </c>
      <c r="I58" s="160">
        <f t="shared" si="4"/>
        <v>1.2818893323973568E-12</v>
      </c>
      <c r="J58" s="160">
        <f t="shared" si="5"/>
        <v>5.859381605376988E-12</v>
      </c>
      <c r="K58" s="160">
        <f t="shared" si="6"/>
        <v>1.1218429237873224E-11</v>
      </c>
      <c r="L58" s="160">
        <f t="shared" si="7"/>
        <v>2.1375839914051554E-11</v>
      </c>
    </row>
    <row r="59" spans="1:12" ht="12.75">
      <c r="A59" s="402">
        <v>16</v>
      </c>
      <c r="B59" s="404">
        <f aca="true" t="shared" si="15" ref="B59:B77">A59-$B$6+$B$7</f>
        <v>-117.05537682649256</v>
      </c>
      <c r="C59" s="404">
        <f aca="true" t="shared" si="16" ref="C59:C77">A59-$B$6+$B$8</f>
        <v>-23.304360333058447</v>
      </c>
      <c r="D59" s="409">
        <f aca="true" t="shared" si="17" ref="D59:D77">1/($B$12*SQRT(2*PI()))*EXP(-((A59-$B$6)^2/(2*$B$11)))</f>
        <v>1.5032119194958322E-11</v>
      </c>
      <c r="E59" s="199">
        <f t="shared" si="14"/>
        <v>0.0124809894589889</v>
      </c>
      <c r="F59" s="378">
        <f t="shared" si="14"/>
        <v>0.05894801951809314</v>
      </c>
      <c r="G59" s="378">
        <f t="shared" si="14"/>
        <v>0.11467138572065139</v>
      </c>
      <c r="H59" s="375">
        <f t="shared" si="14"/>
        <v>0.22238317148778775</v>
      </c>
      <c r="I59" s="160">
        <f aca="true" t="shared" si="18" ref="I59:I77">$D59*E59</f>
        <v>1.8761572121853953E-13</v>
      </c>
      <c r="J59" s="160">
        <f aca="true" t="shared" si="19" ref="J59:J77">$D59*F59</f>
        <v>8.861136557027058E-13</v>
      </c>
      <c r="K59" s="160">
        <f aca="true" t="shared" si="20" ref="K59:K77">$D59*G59</f>
        <v>1.7237539384038734E-12</v>
      </c>
      <c r="L59" s="160">
        <f aca="true" t="shared" si="21" ref="L59:L77">$D59*H59</f>
        <v>3.3428903407572825E-12</v>
      </c>
    </row>
    <row r="60" spans="1:12" ht="12.75">
      <c r="A60" s="402">
        <v>14</v>
      </c>
      <c r="B60" s="404">
        <f t="shared" si="15"/>
        <v>-119.05537682649256</v>
      </c>
      <c r="C60" s="404">
        <f t="shared" si="16"/>
        <v>-25.304360333058447</v>
      </c>
      <c r="D60" s="409">
        <f t="shared" si="17"/>
        <v>2.3113955464605235E-12</v>
      </c>
      <c r="E60" s="199">
        <f t="shared" si="14"/>
        <v>0.011512170163669233</v>
      </c>
      <c r="F60" s="378">
        <f t="shared" si="14"/>
        <v>0.055519597296913914</v>
      </c>
      <c r="G60" s="378">
        <f t="shared" si="14"/>
        <v>0.10910431598409076</v>
      </c>
      <c r="H60" s="375">
        <f t="shared" si="14"/>
        <v>0.21398553399957276</v>
      </c>
      <c r="I60" s="160">
        <f t="shared" si="18"/>
        <v>2.6609178846400782E-14</v>
      </c>
      <c r="J60" s="160">
        <f t="shared" si="19"/>
        <v>1.2832774993336855E-13</v>
      </c>
      <c r="K60" s="160">
        <f t="shared" si="20"/>
        <v>2.521832300652491E-13</v>
      </c>
      <c r="L60" s="160">
        <f t="shared" si="21"/>
        <v>4.946052102935894E-13</v>
      </c>
    </row>
    <row r="61" spans="1:12" ht="12.75">
      <c r="A61" s="402">
        <v>12</v>
      </c>
      <c r="B61" s="404">
        <f t="shared" si="15"/>
        <v>-121.05537682649256</v>
      </c>
      <c r="C61" s="404">
        <f t="shared" si="16"/>
        <v>-27.304360333058447</v>
      </c>
      <c r="D61" s="409">
        <f t="shared" si="17"/>
        <v>3.292742688031487E-13</v>
      </c>
      <c r="E61" s="199">
        <f t="shared" si="14"/>
        <v>0.010933494862153559</v>
      </c>
      <c r="F61" s="378">
        <f t="shared" si="14"/>
        <v>0.053432950599481166</v>
      </c>
      <c r="G61" s="378">
        <f t="shared" si="14"/>
        <v>0.10568375019283527</v>
      </c>
      <c r="H61" s="375">
        <f t="shared" si="14"/>
        <v>0.2087688385052897</v>
      </c>
      <c r="I61" s="160">
        <f t="shared" si="18"/>
        <v>3.600118526198596E-15</v>
      </c>
      <c r="J61" s="160">
        <f t="shared" si="19"/>
        <v>1.7594095738638926E-14</v>
      </c>
      <c r="K61" s="160">
        <f t="shared" si="20"/>
        <v>3.479893956912046E-14</v>
      </c>
      <c r="L61" s="160">
        <f t="shared" si="21"/>
        <v>6.87422066477119E-14</v>
      </c>
    </row>
    <row r="62" spans="1:12" ht="12.75">
      <c r="A62" s="402">
        <v>10</v>
      </c>
      <c r="B62" s="404">
        <f t="shared" si="15"/>
        <v>-123.05537682649256</v>
      </c>
      <c r="C62" s="404">
        <f t="shared" si="16"/>
        <v>-29.304360333058447</v>
      </c>
      <c r="D62" s="409">
        <f t="shared" si="17"/>
        <v>4.3458104147169177E-14</v>
      </c>
      <c r="E62" s="199">
        <f t="shared" si="14"/>
        <v>0.010580928142170487</v>
      </c>
      <c r="F62" s="378">
        <f t="shared" si="14"/>
        <v>0.05214641388578589</v>
      </c>
      <c r="G62" s="378">
        <f t="shared" si="14"/>
        <v>0.1035620783377853</v>
      </c>
      <c r="H62" s="375">
        <f t="shared" si="14"/>
        <v>0.205510504366212</v>
      </c>
      <c r="I62" s="160">
        <f t="shared" si="18"/>
        <v>4.598270771761583E-16</v>
      </c>
      <c r="J62" s="160">
        <f t="shared" si="19"/>
        <v>2.266184285549872E-15</v>
      </c>
      <c r="K62" s="160">
        <f t="shared" si="20"/>
        <v>4.500611586100766E-15</v>
      </c>
      <c r="L62" s="160">
        <f t="shared" si="21"/>
        <v>8.931096902084107E-15</v>
      </c>
    </row>
    <row r="63" spans="1:12" ht="12.75">
      <c r="A63" s="402">
        <v>8</v>
      </c>
      <c r="B63" s="404">
        <f t="shared" si="15"/>
        <v>-125.05537682649256</v>
      </c>
      <c r="C63" s="404">
        <f t="shared" si="16"/>
        <v>-31.304360333058447</v>
      </c>
      <c r="D63" s="409">
        <f t="shared" si="17"/>
        <v>5.3138980650805626E-15</v>
      </c>
      <c r="E63" s="199">
        <f t="shared" si="14"/>
        <v>0.010363364547961496</v>
      </c>
      <c r="F63" s="378">
        <f t="shared" si="14"/>
        <v>0.051346517434116</v>
      </c>
      <c r="G63" s="378">
        <f t="shared" si="14"/>
        <v>0.10223792435760937</v>
      </c>
      <c r="H63" s="375">
        <f t="shared" si="14"/>
        <v>0.20346798554034717</v>
      </c>
      <c r="I63" s="160">
        <f t="shared" si="18"/>
        <v>5.506986281913709E-17</v>
      </c>
      <c r="J63" s="160">
        <f t="shared" si="19"/>
        <v>2.7285015964177437E-16</v>
      </c>
      <c r="K63" s="160">
        <f t="shared" si="20"/>
        <v>5.432819084217534E-16</v>
      </c>
      <c r="L63" s="160">
        <f t="shared" si="21"/>
        <v>1.0812081346686907E-15</v>
      </c>
    </row>
    <row r="64" spans="1:12" ht="12.75">
      <c r="A64" s="402">
        <v>6</v>
      </c>
      <c r="B64" s="404">
        <f t="shared" si="15"/>
        <v>-127.05537682649256</v>
      </c>
      <c r="C64" s="404">
        <f t="shared" si="16"/>
        <v>-33.30436033305845</v>
      </c>
      <c r="D64" s="409">
        <f t="shared" si="17"/>
        <v>6.019842413934209E-16</v>
      </c>
      <c r="E64" s="199">
        <f t="shared" si="14"/>
        <v>0.010228011838951612</v>
      </c>
      <c r="F64" s="378">
        <f t="shared" si="14"/>
        <v>0.050846507958292486</v>
      </c>
      <c r="G64" s="378">
        <f t="shared" si="14"/>
        <v>0.10140821745230588</v>
      </c>
      <c r="H64" s="375">
        <f t="shared" si="14"/>
        <v>0.20218459328887572</v>
      </c>
      <c r="I64" s="160">
        <f t="shared" si="18"/>
        <v>6.157101947834214E-18</v>
      </c>
      <c r="J64" s="160">
        <f t="shared" si="19"/>
        <v>3.060879652077724E-17</v>
      </c>
      <c r="K64" s="160">
        <f t="shared" si="20"/>
        <v>6.104614885408543E-17</v>
      </c>
      <c r="L64" s="160">
        <f t="shared" si="21"/>
        <v>1.2171193901244119E-16</v>
      </c>
    </row>
    <row r="65" spans="1:12" ht="12.75">
      <c r="A65" s="402">
        <v>4</v>
      </c>
      <c r="B65" s="404">
        <f t="shared" si="15"/>
        <v>-129.05537682649256</v>
      </c>
      <c r="C65" s="404">
        <f t="shared" si="16"/>
        <v>-35.30436033305845</v>
      </c>
      <c r="D65" s="409">
        <f t="shared" si="17"/>
        <v>6.318099868009644E-17</v>
      </c>
      <c r="E65" s="199">
        <f t="shared" si="14"/>
        <v>0.01014336805537197</v>
      </c>
      <c r="F65" s="378">
        <f t="shared" si="14"/>
        <v>0.050532883797444805</v>
      </c>
      <c r="G65" s="378">
        <f t="shared" si="14"/>
        <v>0.10088700608857204</v>
      </c>
      <c r="H65" s="375">
        <f t="shared" si="14"/>
        <v>0.20137696600239063</v>
      </c>
      <c r="I65" s="160">
        <f t="shared" si="18"/>
        <v>6.408681237181888E-19</v>
      </c>
      <c r="J65" s="160">
        <f t="shared" si="19"/>
        <v>3.1927180645078268E-18</v>
      </c>
      <c r="K65" s="160">
        <f t="shared" si="20"/>
        <v>6.374141798520951E-18</v>
      </c>
      <c r="L65" s="160">
        <f t="shared" si="21"/>
        <v>1.2723197823198868E-17</v>
      </c>
    </row>
    <row r="66" spans="1:12" ht="12.75">
      <c r="A66" s="402">
        <v>2</v>
      </c>
      <c r="B66" s="404">
        <f t="shared" si="15"/>
        <v>-131.05537682649256</v>
      </c>
      <c r="C66" s="404">
        <f t="shared" si="16"/>
        <v>-37.30436033305845</v>
      </c>
      <c r="D66" s="409">
        <f t="shared" si="17"/>
        <v>6.1435204842739574E-18</v>
      </c>
      <c r="E66" s="199">
        <f t="shared" si="14"/>
        <v>0.010090261548114765</v>
      </c>
      <c r="F66" s="378">
        <f t="shared" si="14"/>
        <v>0.050335739221624376</v>
      </c>
      <c r="G66" s="378">
        <f t="shared" si="14"/>
        <v>0.10055905842953927</v>
      </c>
      <c r="H66" s="375">
        <f t="shared" si="14"/>
        <v>0.200868241116406</v>
      </c>
      <c r="I66" s="160">
        <f t="shared" si="18"/>
        <v>6.198972851252491E-20</v>
      </c>
      <c r="J66" s="160">
        <f t="shared" si="19"/>
        <v>3.0923864499912143E-19</v>
      </c>
      <c r="K66" s="160">
        <f t="shared" si="20"/>
        <v>6.177866353411763E-19</v>
      </c>
      <c r="L66" s="160">
        <f t="shared" si="21"/>
        <v>1.2340381539387206E-18</v>
      </c>
    </row>
    <row r="67" spans="1:12" ht="12.75">
      <c r="A67" s="402">
        <v>0</v>
      </c>
      <c r="B67" s="404">
        <f t="shared" si="15"/>
        <v>-133.05537682649256</v>
      </c>
      <c r="C67" s="404">
        <f t="shared" si="16"/>
        <v>-39.30436033305845</v>
      </c>
      <c r="D67" s="409">
        <f t="shared" si="17"/>
        <v>5.534489852147677E-19</v>
      </c>
      <c r="E67" s="199">
        <f aca="true" t="shared" si="22" ref="E67:H77">1-NORMSDIST((-NORMSINV(E$14)/10^($C67/10)-SQRT(E$15/2))/(1+1/10^($C67/10)))</f>
        <v>0.010056872667967287</v>
      </c>
      <c r="F67" s="378">
        <f t="shared" si="22"/>
        <v>0.05021164311237569</v>
      </c>
      <c r="G67" s="378">
        <f t="shared" si="22"/>
        <v>0.10035250137922458</v>
      </c>
      <c r="H67" s="375">
        <f t="shared" si="22"/>
        <v>0.2005475977237101</v>
      </c>
      <c r="I67" s="160">
        <f t="shared" si="18"/>
        <v>5.5659659725206284E-21</v>
      </c>
      <c r="J67" s="160">
        <f t="shared" si="19"/>
        <v>2.7789582926510406E-20</v>
      </c>
      <c r="K67" s="160">
        <f t="shared" si="20"/>
        <v>5.553999005209542E-20</v>
      </c>
      <c r="L67" s="160">
        <f t="shared" si="21"/>
        <v>1.109928644474468E-19</v>
      </c>
    </row>
    <row r="68" spans="1:12" ht="12.75">
      <c r="A68" s="402">
        <v>-2</v>
      </c>
      <c r="B68" s="404">
        <f t="shared" si="15"/>
        <v>-135.05537682649256</v>
      </c>
      <c r="C68" s="404">
        <f t="shared" si="16"/>
        <v>-41.30436033305845</v>
      </c>
      <c r="D68" s="409">
        <f t="shared" si="17"/>
        <v>4.61920610754672E-20</v>
      </c>
      <c r="E68" s="199">
        <f t="shared" si="22"/>
        <v>0.010035853003575679</v>
      </c>
      <c r="F68" s="378">
        <f t="shared" si="22"/>
        <v>0.05013346057527479</v>
      </c>
      <c r="G68" s="378">
        <f t="shared" si="22"/>
        <v>0.10022231754350752</v>
      </c>
      <c r="H68" s="375">
        <f t="shared" si="22"/>
        <v>0.20034542103346098</v>
      </c>
      <c r="I68" s="160">
        <f t="shared" si="18"/>
        <v>4.6357673488557865E-22</v>
      </c>
      <c r="J68" s="160">
        <f t="shared" si="19"/>
        <v>2.31576787281762E-21</v>
      </c>
      <c r="K68" s="160">
        <f t="shared" si="20"/>
        <v>4.629475413094567E-21</v>
      </c>
      <c r="L68" s="160">
        <f t="shared" si="21"/>
        <v>9.25436792456782E-21</v>
      </c>
    </row>
    <row r="69" spans="1:12" ht="12.75">
      <c r="A69" s="402">
        <v>-4</v>
      </c>
      <c r="B69" s="404">
        <f t="shared" si="15"/>
        <v>-137.05537682649256</v>
      </c>
      <c r="C69" s="404">
        <f t="shared" si="16"/>
        <v>-43.30436033305845</v>
      </c>
      <c r="D69" s="409">
        <f t="shared" si="17"/>
        <v>3.571795177289316E-21</v>
      </c>
      <c r="E69" s="199">
        <f t="shared" si="22"/>
        <v>0.010022609294198626</v>
      </c>
      <c r="F69" s="378">
        <f t="shared" si="22"/>
        <v>0.050084177205496516</v>
      </c>
      <c r="G69" s="378">
        <f t="shared" si="22"/>
        <v>0.10014023475471734</v>
      </c>
      <c r="H69" s="375">
        <f t="shared" si="22"/>
        <v>0.2002179101878936</v>
      </c>
      <c r="I69" s="160">
        <f t="shared" si="18"/>
        <v>3.5798707540873726E-23</v>
      </c>
      <c r="J69" s="160">
        <f t="shared" si="19"/>
        <v>1.7889042260109596E-22</v>
      </c>
      <c r="K69" s="160">
        <f t="shared" si="20"/>
        <v>3.5768040754951935E-22</v>
      </c>
      <c r="L69" s="160">
        <f t="shared" si="21"/>
        <v>7.151373660160638E-22</v>
      </c>
    </row>
    <row r="70" spans="1:12" ht="12.75">
      <c r="A70" s="402">
        <v>-6</v>
      </c>
      <c r="B70" s="404">
        <f t="shared" si="15"/>
        <v>-139.05537682649256</v>
      </c>
      <c r="C70" s="404">
        <f t="shared" si="16"/>
        <v>-45.30436033305845</v>
      </c>
      <c r="D70" s="409">
        <f t="shared" si="17"/>
        <v>2.5587933467178546E-22</v>
      </c>
      <c r="E70" s="199">
        <f t="shared" si="22"/>
        <v>0.010014260557248633</v>
      </c>
      <c r="F70" s="378">
        <f t="shared" si="22"/>
        <v>0.05005309999673502</v>
      </c>
      <c r="G70" s="378">
        <f t="shared" si="22"/>
        <v>0.10008846696845275</v>
      </c>
      <c r="H70" s="375">
        <f t="shared" si="22"/>
        <v>0.20013747779831048</v>
      </c>
      <c r="I70" s="160">
        <f t="shared" si="18"/>
        <v>2.5624423286186836E-24</v>
      </c>
      <c r="J70" s="160">
        <f t="shared" si="19"/>
        <v>1.2807553925424903E-23</v>
      </c>
      <c r="K70" s="160">
        <f t="shared" si="20"/>
        <v>2.5610570336206666E-23</v>
      </c>
      <c r="L70" s="160">
        <f t="shared" si="21"/>
        <v>5.121104466192092E-23</v>
      </c>
    </row>
    <row r="71" spans="1:12" ht="12.75">
      <c r="A71" s="402">
        <v>-8</v>
      </c>
      <c r="B71" s="404">
        <f t="shared" si="15"/>
        <v>-141.05537682649256</v>
      </c>
      <c r="C71" s="404">
        <f t="shared" si="16"/>
        <v>-47.30436033305845</v>
      </c>
      <c r="D71" s="409">
        <f t="shared" si="17"/>
        <v>1.6982958156460307E-23</v>
      </c>
      <c r="E71" s="199">
        <f t="shared" si="22"/>
        <v>0.010008995836049306</v>
      </c>
      <c r="F71" s="378">
        <f t="shared" si="22"/>
        <v>0.05003349896495879</v>
      </c>
      <c r="G71" s="378">
        <f t="shared" si="22"/>
        <v>0.10005581284040355</v>
      </c>
      <c r="H71" s="375">
        <f t="shared" si="22"/>
        <v>0.20008673695871648</v>
      </c>
      <c r="I71" s="160">
        <f t="shared" si="18"/>
        <v>1.699823574718108E-25</v>
      </c>
      <c r="J71" s="160">
        <f t="shared" si="19"/>
        <v>8.497168193431952E-25</v>
      </c>
      <c r="K71" s="160">
        <f t="shared" si="20"/>
        <v>1.6992436827791974E-24</v>
      </c>
      <c r="L71" s="160">
        <f t="shared" si="21"/>
        <v>3.398064681432562E-24</v>
      </c>
    </row>
    <row r="72" spans="1:12" ht="12.75">
      <c r="A72" s="402">
        <v>-10</v>
      </c>
      <c r="B72" s="404">
        <f t="shared" si="15"/>
        <v>-143.05537682649256</v>
      </c>
      <c r="C72" s="404">
        <f t="shared" si="16"/>
        <v>-49.30436033305845</v>
      </c>
      <c r="D72" s="409">
        <f t="shared" si="17"/>
        <v>1.0442895372248504E-24</v>
      </c>
      <c r="E72" s="199">
        <f t="shared" si="22"/>
        <v>0.010005675205774223</v>
      </c>
      <c r="F72" s="378">
        <f t="shared" si="22"/>
        <v>0.050021134480149776</v>
      </c>
      <c r="G72" s="378">
        <f t="shared" si="22"/>
        <v>0.10003521311581776</v>
      </c>
      <c r="H72" s="375">
        <f t="shared" si="22"/>
        <v>0.20005472506455935</v>
      </c>
      <c r="I72" s="160">
        <f t="shared" si="18"/>
        <v>1.0448821930260123E-26</v>
      </c>
      <c r="J72" s="160">
        <f t="shared" si="19"/>
        <v>5.223654737773761E-26</v>
      </c>
      <c r="K72" s="160">
        <f t="shared" si="20"/>
        <v>1.044657264109066E-25</v>
      </c>
      <c r="L72" s="160">
        <f t="shared" si="21"/>
        <v>2.0891505625731337E-25</v>
      </c>
    </row>
    <row r="73" spans="1:12" ht="12.75">
      <c r="A73" s="402">
        <v>-12</v>
      </c>
      <c r="B73" s="404">
        <f t="shared" si="15"/>
        <v>-145.05537682649256</v>
      </c>
      <c r="C73" s="404">
        <f t="shared" si="16"/>
        <v>-51.30436033305845</v>
      </c>
      <c r="D73" s="409">
        <f t="shared" si="17"/>
        <v>5.9491918532348E-26</v>
      </c>
      <c r="E73" s="199">
        <f t="shared" si="22"/>
        <v>0.010003580501061426</v>
      </c>
      <c r="F73" s="378">
        <f t="shared" si="22"/>
        <v>0.05001333418404896</v>
      </c>
      <c r="G73" s="378">
        <f t="shared" si="22"/>
        <v>0.10002221701631153</v>
      </c>
      <c r="H73" s="375">
        <f t="shared" si="22"/>
        <v>0.2000345282830054</v>
      </c>
      <c r="I73" s="160">
        <f t="shared" si="18"/>
        <v>5.951321962009313E-28</v>
      </c>
      <c r="J73" s="160">
        <f t="shared" si="19"/>
        <v>2.975389202808536E-27</v>
      </c>
      <c r="K73" s="160">
        <f t="shared" si="20"/>
        <v>5.950513586159237E-27</v>
      </c>
      <c r="L73" s="160">
        <f t="shared" si="21"/>
        <v>1.1900437860269217E-26</v>
      </c>
    </row>
    <row r="74" spans="1:12" ht="12.75">
      <c r="A74" s="402">
        <v>-14</v>
      </c>
      <c r="B74" s="404">
        <f t="shared" si="15"/>
        <v>-147.05537682649256</v>
      </c>
      <c r="C74" s="404">
        <f t="shared" si="16"/>
        <v>-53.30436033305845</v>
      </c>
      <c r="D74" s="409">
        <f t="shared" si="17"/>
        <v>3.1399626545035898E-27</v>
      </c>
      <c r="E74" s="199">
        <f t="shared" si="22"/>
        <v>0.010002259019358917</v>
      </c>
      <c r="F74" s="378">
        <f t="shared" si="22"/>
        <v>0.05000841299425873</v>
      </c>
      <c r="G74" s="378">
        <f t="shared" si="22"/>
        <v>0.1000140176083355</v>
      </c>
      <c r="H74" s="375">
        <f t="shared" si="22"/>
        <v>0.20002178551608174</v>
      </c>
      <c r="I74" s="160">
        <f t="shared" si="18"/>
        <v>3.1406719781458696E-29</v>
      </c>
      <c r="J74" s="160">
        <f t="shared" si="19"/>
        <v>1.5702454921296447E-28</v>
      </c>
      <c r="K74" s="160">
        <f t="shared" si="20"/>
        <v>3.1404028021703793E-28</v>
      </c>
      <c r="L74" s="160">
        <f t="shared" si="21"/>
        <v>6.280609366076237E-28</v>
      </c>
    </row>
    <row r="75" spans="1:12" ht="12.75">
      <c r="A75" s="402">
        <v>-16</v>
      </c>
      <c r="B75" s="404">
        <f t="shared" si="15"/>
        <v>-149.05537682649256</v>
      </c>
      <c r="C75" s="404">
        <f t="shared" si="16"/>
        <v>-55.30436033305845</v>
      </c>
      <c r="D75" s="409">
        <f t="shared" si="17"/>
        <v>1.5353961648765215E-28</v>
      </c>
      <c r="E75" s="199">
        <f t="shared" si="22"/>
        <v>0.010001425295459665</v>
      </c>
      <c r="F75" s="378">
        <f t="shared" si="22"/>
        <v>0.05000530811826054</v>
      </c>
      <c r="G75" s="378">
        <f t="shared" si="22"/>
        <v>0.10000884436114232</v>
      </c>
      <c r="H75" s="375">
        <f t="shared" si="22"/>
        <v>0.20001374558898033</v>
      </c>
      <c r="I75" s="160">
        <f t="shared" si="18"/>
        <v>1.53561500419478E-30</v>
      </c>
      <c r="J75" s="160">
        <f t="shared" si="19"/>
        <v>7.677795830824602E-30</v>
      </c>
      <c r="K75" s="160">
        <f t="shared" si="20"/>
        <v>1.5355319608583086E-29</v>
      </c>
      <c r="L75" s="160">
        <f t="shared" si="21"/>
        <v>3.0710033789990866E-29</v>
      </c>
    </row>
    <row r="76" spans="1:12" ht="12.75">
      <c r="A76" s="402">
        <v>-18</v>
      </c>
      <c r="B76" s="404">
        <f t="shared" si="15"/>
        <v>-151.05537682649256</v>
      </c>
      <c r="C76" s="404">
        <f t="shared" si="16"/>
        <v>-57.30436033305845</v>
      </c>
      <c r="D76" s="409">
        <f t="shared" si="17"/>
        <v>6.955780691449506E-30</v>
      </c>
      <c r="E76" s="199">
        <f t="shared" si="22"/>
        <v>0.010000899280973918</v>
      </c>
      <c r="F76" s="378">
        <f t="shared" si="22"/>
        <v>0.05000334914753146</v>
      </c>
      <c r="G76" s="378">
        <f t="shared" si="22"/>
        <v>0.10000558035419194</v>
      </c>
      <c r="H76" s="375">
        <f t="shared" si="22"/>
        <v>0.20000867282363222</v>
      </c>
      <c r="I76" s="160">
        <f t="shared" si="18"/>
        <v>6.956406211572963E-32</v>
      </c>
      <c r="J76" s="160">
        <f t="shared" si="19"/>
        <v>3.478123305082075E-31</v>
      </c>
      <c r="K76" s="160">
        <f t="shared" si="20"/>
        <v>6.956168848648904E-31</v>
      </c>
      <c r="L76" s="160">
        <f t="shared" si="21"/>
        <v>1.3912164645490625E-30</v>
      </c>
    </row>
    <row r="77" spans="1:12" ht="12.75">
      <c r="A77" s="402">
        <v>-20</v>
      </c>
      <c r="B77" s="404">
        <f t="shared" si="15"/>
        <v>-153.05537682649256</v>
      </c>
      <c r="C77" s="404">
        <f t="shared" si="16"/>
        <v>-59.30436033305845</v>
      </c>
      <c r="D77" s="409">
        <f t="shared" si="17"/>
        <v>2.919448176139853E-31</v>
      </c>
      <c r="E77" s="199">
        <f t="shared" si="22"/>
        <v>0.010000567400106908</v>
      </c>
      <c r="F77" s="378">
        <f t="shared" si="22"/>
        <v>0.0500021131498567</v>
      </c>
      <c r="G77" s="378">
        <f t="shared" si="22"/>
        <v>0.10000352094140541</v>
      </c>
      <c r="H77" s="375">
        <f t="shared" si="22"/>
        <v>0.20000547215919962</v>
      </c>
      <c r="I77" s="160">
        <f t="shared" si="18"/>
        <v>2.9196138256605786E-33</v>
      </c>
      <c r="J77" s="160">
        <f t="shared" si="19"/>
        <v>1.459785780384877E-32</v>
      </c>
      <c r="K77" s="160">
        <f t="shared" si="20"/>
        <v>2.919550968199496E-32</v>
      </c>
      <c r="L77" s="160">
        <f t="shared" si="21"/>
        <v>5.839056109131655E-32</v>
      </c>
    </row>
    <row r="78" spans="9:12" ht="12.75">
      <c r="I78" s="406">
        <f>SUM(I17:I77)*($C$17-$C$18)</f>
        <v>0.9999955747222586</v>
      </c>
      <c r="J78" s="406">
        <f>SUM(J17:J77)*($C$17-$C$18)</f>
        <v>0.9999976398123638</v>
      </c>
      <c r="K78" s="406">
        <f>SUM(K17:K77)*($C$17-$C$18)</f>
        <v>0.9999983823230483</v>
      </c>
      <c r="L78" s="408">
        <f>SUM(L17:L77)*($C$17-$C$18)</f>
        <v>0.9999990115482243</v>
      </c>
    </row>
  </sheetData>
  <mergeCells count="1">
    <mergeCell ref="A1:L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Carl R. Stevenson</cp:lastModifiedBy>
  <cp:lastPrinted>2006-05-03T13:26:00Z</cp:lastPrinted>
  <dcterms:created xsi:type="dcterms:W3CDTF">2005-07-17T01:24:31Z</dcterms:created>
  <dcterms:modified xsi:type="dcterms:W3CDTF">2006-07-11T18:27:45Z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