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2045" windowHeight="15480" activeTab="0"/>
  </bookViews>
  <sheets>
    <sheet name="Title" sheetId="1" r:id="rId1"/>
    <sheet name="Sensing time" sheetId="2" r:id="rId2"/>
    <sheet name="References" sheetId="3" r:id="rId3"/>
  </sheets>
  <definedNames>
    <definedName name="Doc_title" localSheetId="2">'References'!$C$2</definedName>
    <definedName name="_xlnm.Print_Area" localSheetId="2">'References'!$A$1:$B$1</definedName>
    <definedName name="_xlnm.Print_Area" localSheetId="1">'Sensing time'!$A$24:$H$53</definedName>
    <definedName name="_xlnm.Print_Area" localSheetId="0">'Title'!$A$1:$I$6</definedName>
  </definedNames>
  <calcPr fullCalcOnLoad="1"/>
</workbook>
</file>

<file path=xl/comments2.xml><?xml version="1.0" encoding="utf-8"?>
<comments xmlns="http://schemas.openxmlformats.org/spreadsheetml/2006/main">
  <authors>
    <author>G. Chouinard</author>
    <author>danijela</author>
  </authors>
  <commentList>
    <comment ref="A5" authorId="0">
      <text>
        <r>
          <rPr>
            <sz val="8"/>
            <rFont val="Tahoma"/>
            <family val="0"/>
          </rPr>
          <t>Re: 18-04-0056-00-0000_Comments_ to_TV_Band_NPRM.doc</t>
        </r>
      </text>
    </comment>
    <comment ref="A7" authorId="0">
      <text>
        <r>
          <rPr>
            <sz val="8"/>
            <rFont val="Tahoma"/>
            <family val="0"/>
          </rPr>
          <t>All losses between the antenna and the input to the receiver are included.</t>
        </r>
      </text>
    </comment>
    <comment ref="F71" authorId="0">
      <text>
        <r>
          <rPr>
            <sz val="8"/>
            <rFont val="Tahoma"/>
            <family val="0"/>
          </rPr>
          <t>This represents the total integration time during the PN511 periods rounded up to the nearest number of PN511 periods that are needed to achieve the sensing threshold.</t>
        </r>
      </text>
    </comment>
    <comment ref="F72" authorId="0">
      <text>
        <r>
          <rPr>
            <sz val="8"/>
            <rFont val="Tahoma"/>
            <family val="0"/>
          </rPr>
          <t>This represents the total integration time during the PN63 periods rounded up to the nearest number of PN63 periods that are needed to achieve the sensing threshold.</t>
        </r>
      </text>
    </comment>
    <comment ref="F70" authorId="0">
      <text>
        <r>
          <rPr>
            <sz val="8"/>
            <rFont val="Tahoma"/>
            <family val="0"/>
          </rPr>
          <t>This represents the total integration time during the horizontal sync periods rounded up to the nearest number of horizontal sync intervals that are needed to achieve the sensing threshold.</t>
        </r>
      </text>
    </comment>
    <comment ref="D57" authorId="0">
      <text>
        <r>
          <rPr>
            <sz val="8"/>
            <rFont val="Tahoma"/>
            <family val="0"/>
          </rPr>
          <t>C/N required to meet the detection performance with only one horizontal sync interval.</t>
        </r>
      </text>
    </comment>
    <comment ref="D58" authorId="0">
      <text>
        <r>
          <rPr>
            <sz val="8"/>
            <rFont val="Tahoma"/>
            <family val="0"/>
          </rPr>
          <t>C/N required to meet the detection performance with only one PN511 sequence.</t>
        </r>
      </text>
    </comment>
    <comment ref="D59" authorId="0">
      <text>
        <r>
          <rPr>
            <sz val="8"/>
            <rFont val="Tahoma"/>
            <family val="0"/>
          </rPr>
          <t>C/N required to meet the detection performance with only one PN63 sequence.</t>
        </r>
      </text>
    </comment>
    <comment ref="D62" authorId="0">
      <text>
        <r>
          <rPr>
            <sz val="8"/>
            <rFont val="Tahoma"/>
            <family val="0"/>
          </rPr>
          <t xml:space="preserve">In 200 kHz bandwidth and integrated over 5 usec.
</t>
        </r>
      </text>
    </comment>
    <comment ref="D63" authorId="0">
      <text>
        <r>
          <rPr>
            <sz val="8"/>
            <rFont val="Tahoma"/>
            <family val="0"/>
          </rPr>
          <t>In 10 kHz bandwidth and integrated over 100 usec.</t>
        </r>
      </text>
    </comment>
    <comment ref="D64" authorId="0">
      <text>
        <r>
          <rPr>
            <sz val="8"/>
            <rFont val="Tahoma"/>
            <family val="0"/>
          </rPr>
          <t>In 10 kHz bandwidth and integrated over 100 usec.</t>
        </r>
      </text>
    </comment>
    <comment ref="D55" authorId="0">
      <text>
        <r>
          <rPr>
            <sz val="8"/>
            <rFont val="Tahoma"/>
            <family val="0"/>
          </rPr>
          <t>The ATSC pilot is assumed to be 11.2 dB below the power of the total DTV signal and it is measured over a bandwidth of 10 kHz rather than the full 6 MHz.  The integration takes place over 100 usec.</t>
        </r>
      </text>
    </comment>
    <comment ref="G70" authorId="0">
      <text>
        <r>
          <rPr>
            <sz val="8"/>
            <rFont val="Tahoma"/>
            <family val="0"/>
          </rPr>
          <t>If the required sensing time period is larger than that available in one DTV line, the sensing period is assumed to include the time for the minimum number of lines plus  one line period included as the worst case asynchronous start of the sensing window with respect to the DTV line repetition.  Otherwise, it is equal to one horizontal sync period plus one line period included as the worst case asynchronous start of the sensing window with respect to the DTV line repetition.</t>
        </r>
      </text>
    </comment>
    <comment ref="G71" authorId="0">
      <text>
        <r>
          <rPr>
            <sz val="8"/>
            <rFont val="Tahoma"/>
            <family val="0"/>
          </rPr>
          <t xml:space="preserve">If the required sensing time period is larger than that available in one DTV field, the sensing period is assumed to include the time for the minimum number of fields plus one field included as the worst case asynchronous start of the sensing window with respect to the DTV field repetition.  Otherwise, it is equal to one DTV field plus one field included as the worst case asynchronous start of the sensing window with respect to the DTV field repetition.. </t>
        </r>
      </text>
    </comment>
    <comment ref="G72" authorId="0">
      <text>
        <r>
          <rPr>
            <sz val="8"/>
            <rFont val="Tahoma"/>
            <family val="0"/>
          </rPr>
          <t>If the required sensing time period is larger than the three PN63 sequences in one DTV field, the sensing period is assumed to include the time for the minimum number of fields plus one field period minus 2 PN63 sequences included as the worst case asynchronous start of the sensing window with respect to the DTV field repetition.  Otherwise, it is equal to the required number of PN63 sequences in one field, up to 3, plus one field period minus two PN63 sequences included as the worst case asynchronous start of the sensing window with respect to the DTV field repetition.</t>
        </r>
      </text>
    </comment>
    <comment ref="D54" authorId="0">
      <text>
        <r>
          <rPr>
            <sz val="8"/>
            <rFont val="Tahoma"/>
            <family val="0"/>
          </rPr>
          <t>In 6 MHz bandwidth and integrated over 0.1667 usec.</t>
        </r>
      </text>
    </comment>
    <comment ref="D60" authorId="0">
      <text>
        <r>
          <rPr>
            <sz val="8"/>
            <rFont val="Tahoma"/>
            <family val="0"/>
          </rPr>
          <t>In 20 kHz bandwidth and integrated over 50 usec.</t>
        </r>
      </text>
    </comment>
    <comment ref="D61" authorId="0">
      <text>
        <r>
          <rPr>
            <sz val="8"/>
            <rFont val="Tahoma"/>
            <family val="0"/>
          </rPr>
          <t>In 20 kHz bandwidth and integrated over 50 usec.</t>
        </r>
      </text>
    </comment>
    <comment ref="D12" authorId="0">
      <text>
        <r>
          <rPr>
            <sz val="8"/>
            <rFont val="Tahoma"/>
            <family val="0"/>
          </rPr>
          <t>Equal to the differential between the EIRP of the faded Part 74 microphone and the maximum EIRP of the CPE plus the maximum level of interfering power flux density at the microphone receiver, that is the minimum field strength that can still be received by the microphone receiver minus the protection ratio.</t>
        </r>
      </text>
    </comment>
    <comment ref="E12" authorId="0">
      <text>
        <r>
          <rPr>
            <sz val="8"/>
            <rFont val="Tahoma"/>
            <family val="0"/>
          </rPr>
          <t>Equal to the differential between the EIRP of the microphone beacon and the maximum EIRP of the CPE plus the maximum level of interfering power flux density at the microphone receiver, that is the minimum field strength that can still be received by the microphone receiver minus the protection ratio.
The power assumed for the beacon represents the case when the power transmitted by the CPE is spread over the entire 6 MHz channel to reduce the amount of interfering power in 200 kHz bandwidth.</t>
        </r>
      </text>
    </comment>
    <comment ref="I67" authorId="0">
      <text>
        <r>
          <rPr>
            <sz val="8"/>
            <rFont val="Tahoma"/>
            <family val="0"/>
          </rPr>
          <t>ATSC-DTV symbol frequency, tolerance is +/- 30 Hz.</t>
        </r>
      </text>
    </comment>
    <comment ref="G26" authorId="1">
      <text>
        <r>
          <rPr>
            <b/>
            <sz val="8"/>
            <rFont val="Tahoma"/>
            <family val="0"/>
          </rPr>
          <t>danijela:</t>
        </r>
        <r>
          <rPr>
            <sz val="8"/>
            <rFont val="Tahoma"/>
            <family val="0"/>
          </rPr>
          <t xml:space="preserve">
</t>
        </r>
        <r>
          <rPr>
            <b/>
            <sz val="8"/>
            <rFont val="Tahoma"/>
            <family val="2"/>
          </rPr>
          <t>Formula for energy detection (1)</t>
        </r>
      </text>
    </comment>
    <comment ref="G32" authorId="1">
      <text>
        <r>
          <rPr>
            <b/>
            <sz val="8"/>
            <rFont val="Tahoma"/>
            <family val="0"/>
          </rPr>
          <t>danijela:</t>
        </r>
        <r>
          <rPr>
            <sz val="8"/>
            <rFont val="Tahoma"/>
            <family val="0"/>
          </rPr>
          <t xml:space="preserve">
</t>
        </r>
        <r>
          <rPr>
            <b/>
            <sz val="8"/>
            <rFont val="Tahoma"/>
            <family val="2"/>
          </rPr>
          <t>Formula for coherent detection (2)</t>
        </r>
      </text>
    </comment>
    <comment ref="B20" authorId="0">
      <text>
        <r>
          <rPr>
            <sz val="8"/>
            <rFont val="Tahoma"/>
            <family val="0"/>
          </rPr>
          <t>If local interference is generated by other LE systems in the neighborhood, this will need to be added to this equation as apparent increase in RF noise and will result in lower SNR at the output of the sensing RF front-end.</t>
        </r>
      </text>
    </comment>
    <comment ref="B19" authorId="0">
      <text>
        <r>
          <rPr>
            <sz val="8"/>
            <rFont val="Tahoma"/>
            <family val="0"/>
          </rPr>
          <t xml:space="preserve">One third of the omni antenna pattern is assumed to capture the sky noise (90˚K) and the other two third captures the ground noise (290˚K).
</t>
        </r>
      </text>
    </comment>
    <comment ref="A32" authorId="0">
      <text>
        <r>
          <rPr>
            <sz val="8"/>
            <rFont val="Tahoma"/>
            <family val="0"/>
          </rPr>
          <t>Table 15.1.2 of the FRD.</t>
        </r>
      </text>
    </comment>
    <comment ref="A33" authorId="0">
      <text>
        <r>
          <rPr>
            <sz val="8"/>
            <rFont val="Tahoma"/>
            <family val="0"/>
          </rPr>
          <t>Table 15.1.2 of the FRD.</t>
        </r>
      </text>
    </comment>
    <comment ref="M37" authorId="1">
      <text>
        <r>
          <rPr>
            <b/>
            <sz val="8"/>
            <rFont val="Tahoma"/>
            <family val="0"/>
          </rPr>
          <t>danijela:</t>
        </r>
        <r>
          <rPr>
            <sz val="8"/>
            <rFont val="Tahoma"/>
            <family val="0"/>
          </rPr>
          <t xml:space="preserve">
If the number of averages is smaller than 10 the sensing time estimate could be crude as the central limit theorem does not apply.</t>
        </r>
      </text>
    </comment>
    <comment ref="K39" authorId="1">
      <text>
        <r>
          <rPr>
            <b/>
            <sz val="8"/>
            <rFont val="Tahoma"/>
            <family val="0"/>
          </rPr>
          <t>danijela:</t>
        </r>
        <r>
          <rPr>
            <sz val="8"/>
            <rFont val="Tahoma"/>
            <family val="0"/>
          </rPr>
          <t xml:space="preserve">
assume there is a 10 kHz analog filter around pilot</t>
        </r>
      </text>
    </comment>
    <comment ref="K44" authorId="1">
      <text>
        <r>
          <rPr>
            <b/>
            <sz val="8"/>
            <rFont val="Tahoma"/>
            <family val="0"/>
          </rPr>
          <t>danijela:</t>
        </r>
        <r>
          <rPr>
            <sz val="8"/>
            <rFont val="Tahoma"/>
            <family val="0"/>
          </rPr>
          <t xml:space="preserve">
Not sure what is the bandwidth</t>
        </r>
      </text>
    </comment>
    <comment ref="K45" authorId="1">
      <text>
        <r>
          <rPr>
            <b/>
            <sz val="8"/>
            <rFont val="Tahoma"/>
            <family val="0"/>
          </rPr>
          <t>danijela:</t>
        </r>
        <r>
          <rPr>
            <sz val="8"/>
            <rFont val="Tahoma"/>
            <family val="0"/>
          </rPr>
          <t xml:space="preserve">
also not sure what is the bandwidth</t>
        </r>
      </text>
    </comment>
    <comment ref="K46" authorId="1">
      <text>
        <r>
          <rPr>
            <b/>
            <sz val="8"/>
            <rFont val="Tahoma"/>
            <family val="0"/>
          </rPr>
          <t>danijela:</t>
        </r>
        <r>
          <rPr>
            <sz val="8"/>
            <rFont val="Tahoma"/>
            <family val="0"/>
          </rPr>
          <t xml:space="preserve">
assume analog filtering with 200kHz bandwidth</t>
        </r>
      </text>
    </comment>
    <comment ref="C37" authorId="0">
      <text>
        <r>
          <rPr>
            <sz val="8"/>
            <rFont val="Tahoma"/>
            <family val="0"/>
          </rPr>
          <t>This variability is related to the bandwidth of the signal.  Larger the bandwidth is, smaller will be the depth of a fade over the entire channel bandwidth caused by multipath frequency selective fading.
Level to be maintained for 95% of the time is suggested at this time.</t>
        </r>
      </text>
    </comment>
    <comment ref="C39" authorId="0">
      <text>
        <r>
          <rPr>
            <sz val="8"/>
            <rFont val="Tahoma"/>
            <family val="0"/>
          </rPr>
          <t>The standard deviation of the signal in 10 kHz bandwidth caused by multipath in rural environment as used in the formula is extrapolated from Table X.2 of the ITU-R DSB Handbook, 2002.</t>
        </r>
      </text>
    </comment>
    <comment ref="C66" authorId="0">
      <text>
        <r>
          <rPr>
            <sz val="8"/>
            <rFont val="Tahoma"/>
            <family val="0"/>
          </rPr>
          <t>This variability is related to the bandwidth of the signal.  Larger the bandwidth is, smaller will be the depth of a fade over the entire channel bandwidth caused by multipath frequency selective fading.</t>
        </r>
      </text>
    </comment>
    <comment ref="B39" authorId="0">
      <text>
        <r>
          <rPr>
            <sz val="8"/>
            <rFont val="Tahoma"/>
            <family val="0"/>
          </rPr>
          <t>The ATSC pilot is assumed to be 11.2 dB below the power of the total DTV signal and it is measured over a bandwidth of 10 kHz rather than the full 6 MHz.</t>
        </r>
      </text>
    </comment>
    <comment ref="D53" authorId="0">
      <text>
        <r>
          <rPr>
            <sz val="8"/>
            <rFont val="Tahoma"/>
            <family val="0"/>
          </rPr>
          <t xml:space="preserve">Measurements are assumed to be made either using simulated signals or actual signals recorded in the field.  Detection measurements are done at various levels of injected AWGN and the SNR retained is the one resulting in the stated probabilities of detetion and false alarm as given in rows 32 and 33.  The integration time for the detection is initially set to the inverse of the measurement bandwidth but could be set at any appropriate value as long as the proper re-scaling is done in the next table.  </t>
        </r>
      </text>
    </comment>
    <comment ref="B68" authorId="0">
      <text>
        <r>
          <rPr>
            <sz val="8"/>
            <rFont val="Tahoma"/>
            <family val="0"/>
          </rPr>
          <t>The ATSC pilot is assumed to be 11.2 dB below the power of the total DTV signal and it is measured over a bandwidth of 10 kHz rather than the full 6 MHz.</t>
        </r>
      </text>
    </comment>
    <comment ref="F66" authorId="0">
      <text>
        <r>
          <rPr>
            <sz val="8"/>
            <rFont val="Tahoma"/>
            <family val="0"/>
          </rPr>
          <t>The assumption is that the integration time for sensing with needed probabilities (rows 32 and 33) can be linearly scaled according to the available SNR.  As an example, if the actual SNR avaiable from the sensor RF front-end is 3 dB less than the needed SNR indicated in the previous table, the integration time will need to be doubled.
&lt;&lt;&lt;Still needs to be validated!&gt;&gt;&gt;</t>
        </r>
      </text>
    </comment>
    <comment ref="C46" authorId="0">
      <text>
        <r>
          <rPr>
            <sz val="8"/>
            <rFont val="Tahoma"/>
            <family val="0"/>
          </rPr>
          <t>The standard deviation of the signal in 200 kHz bandwidth caused by multipath in rural environment as used in the formula is extrapolated from Table X.2 of the ITU-R DSB Handbook, 2002.</t>
        </r>
      </text>
    </comment>
    <comment ref="C47" authorId="0">
      <text>
        <r>
          <rPr>
            <sz val="8"/>
            <rFont val="Tahoma"/>
            <family val="0"/>
          </rPr>
          <t>The standard deviation of the signal in 10 kHz bandwidth caused by multipath in rural environment as used in the formula is extrapolated from Table X.2 of the ITU-R DSB Handbook, 2002.  The assumption is that, because of its narrow band, a beacon could be faded when it reaches a CPE whereas the WRAN signals around this specific frequency may not be faded and reach the wireless microphone receiver and interfere.
However, unlike in the preceeding cases, since the wireless microphone beacon will be placed in a favourable position with respect to the microphone receivers (most likely above), the signal fading on the beacon path will be the same or less than that on the reciprocal signal path from the WRAN transmit device. Hence, variability due to blockage does not need to be considered.  The reference beacon signal level will therefore be assumed to be available at 100% rather than at the usual F(dd,tt).</t>
        </r>
      </text>
    </comment>
    <comment ref="B44" authorId="0">
      <text>
        <r>
          <rPr>
            <sz val="8"/>
            <rFont val="Tahoma"/>
            <family val="0"/>
          </rPr>
          <t>The power of the NTSC visual carrier represents about 30% of the total NTSC power.</t>
        </r>
      </text>
    </comment>
    <comment ref="B45" authorId="0">
      <text>
        <r>
          <rPr>
            <sz val="8"/>
            <rFont val="Tahoma"/>
            <family val="0"/>
          </rPr>
          <t>The power of the NTSC sound carrier represents about 10% of the total NTSC power.</t>
        </r>
      </text>
    </comment>
    <comment ref="F37" authorId="0">
      <text>
        <r>
          <rPr>
            <sz val="8"/>
            <rFont val="Tahoma"/>
            <family val="0"/>
          </rPr>
          <t>Ratio between the beacon signal power and the total signal power.</t>
        </r>
      </text>
    </comment>
    <comment ref="I41" authorId="0">
      <text>
        <r>
          <rPr>
            <sz val="8"/>
            <rFont val="Tahoma"/>
            <family val="0"/>
          </rPr>
          <t>If the required sensing time period is larger than that available in one DTV line, the sensing period is assumed to include the time for the minimum number of lines plus  one line period included as the worst case asynchronous start of the sensing window with respect to the DTV line repetition.</t>
        </r>
      </text>
    </comment>
    <comment ref="I42" authorId="0">
      <text>
        <r>
          <rPr>
            <sz val="8"/>
            <rFont val="Tahoma"/>
            <family val="0"/>
          </rPr>
          <t>If the required sensing time period is larger than that available in one DTV field, the sensing period is assumed to include the time for the minimum number of fields plus one field included as the worst case asynchronous start of the sensing window with respect to the DTV field repetition.</t>
        </r>
      </text>
    </comment>
    <comment ref="I43" authorId="0">
      <text>
        <r>
          <rPr>
            <sz val="8"/>
            <rFont val="Tahoma"/>
            <family val="0"/>
          </rPr>
          <t>If the required sensing time period is larger than the three PN63 sequences in one DTV field, the sensing period is assumed to include the time for the minimum number of fields plus one field period included as the worst case asynchronous start of the sensing window with respect to the DTV field repetition.</t>
        </r>
      </text>
    </comment>
    <comment ref="B28" authorId="0">
      <text>
        <r>
          <rPr>
            <sz val="8"/>
            <rFont val="Tahoma"/>
            <family val="0"/>
          </rPr>
          <t>Assuming a noise level uncertainty of 1 dB due to the nearby LE systems, antenna noise and input amplifier noise figure, the noise wall for the energy detector is at -4 dB.  The minimum SNR that can be accommodated is therefore -4 dB.  The -116 dBm sensing threshold is therefore ecessively demanding for a sensor using energy detection given the performance of the RF sensor front-end perrformance.</t>
        </r>
      </text>
    </comment>
    <comment ref="B73" authorId="0">
      <text>
        <r>
          <rPr>
            <sz val="8"/>
            <rFont val="Tahoma"/>
            <family val="0"/>
          </rPr>
          <t>The power of the NTSC visual carrier represents about 30% of the total NTSC power.</t>
        </r>
      </text>
    </comment>
    <comment ref="B74" authorId="0">
      <text>
        <r>
          <rPr>
            <sz val="8"/>
            <rFont val="Tahoma"/>
            <family val="0"/>
          </rPr>
          <t>The power of the NTSC sound carrier represents about 10% of the total NTSC power.</t>
        </r>
      </text>
    </comment>
    <comment ref="C44" authorId="0">
      <text>
        <r>
          <rPr>
            <sz val="8"/>
            <rFont val="Tahoma"/>
            <family val="0"/>
          </rPr>
          <t>The standard deviation of the signal in 20 kHz bandwidth caused by multipath in rural environment as used in the formula is extrapolated from Table X.2 of the ITU-R DSB Handbook, 2002.</t>
        </r>
      </text>
    </comment>
    <comment ref="C45" authorId="0">
      <text>
        <r>
          <rPr>
            <sz val="8"/>
            <rFont val="Tahoma"/>
            <family val="0"/>
          </rPr>
          <t>The standard deviation of the signal in 20 kHz bandwidth caused by multipath in rural environment as used in the formula is extrapolated from Table X.2 of the ITU-R DSB Handbook, 2002.</t>
        </r>
      </text>
    </comment>
    <comment ref="B49" authorId="0">
      <text>
        <r>
          <rPr>
            <sz val="8"/>
            <rFont val="Tahoma"/>
            <family val="0"/>
          </rPr>
          <t>In the real world, the level of the signal will not be static in either time or location.  The sensors will have to work with the signal availability that will be available at the edge of the incumbent coverage area (e.g., F(50.90) for DTV).
In addition, an extra variability will exist if the signal to be sensed is narrower that the reference TV channel bandwidth.  This extra variability, which will be larger for narrower band signals will need to be considered and will affect the sensing.  For convenience, it is proposed at this time to determine the impact of this extra signal variability, beyond the basic F(50,90), for 95% of time/location.  As a result, it is assumed that the signal could not be detected for 5% of the time/location because of this extra variability.  The performance of the sensing scheme will therefore need to be increased accordingly so that the overall performance meets the required detection performance.</t>
        </r>
      </text>
    </comment>
    <comment ref="B78" authorId="0">
      <text>
        <r>
          <rPr>
            <sz val="8"/>
            <rFont val="Tahoma"/>
            <family val="0"/>
          </rPr>
          <t>In the real world, the level of the signal will not be static in either time or location.  The sensors will have to work with the signal availability that will be available at the edge of the incumbent coverage area (e.g., F(50.90) for DTV).
In addition, an extra variability will exist if the signal to be sensed is narrower that the reference TV channel bandwidth.  This extra variability, which will be larger for narrower band signals will need to be considered and will affect the sensing.  For convenience, it is proposed at this time to determine the impact of this extra signal variability, beyond the basic F(50,90), for 95% of time/location.  As a result, it is assumed that the signal could not be detected for 5% of the time/location because of this extra variability.  The performance of the sensing scheme will therefore need to be increased accordingly so that the overall performance meets the required detection performance.</t>
        </r>
      </text>
    </comment>
    <comment ref="F41" authorId="0">
      <text>
        <r>
          <rPr>
            <sz val="8"/>
            <rFont val="Tahoma"/>
            <family val="0"/>
          </rPr>
          <t xml:space="preserve">In case of a TDM, the total signal power carried in the channel is used for the correlated sensing detection during the sync period.  Theta is therefore equal to 100%. </t>
        </r>
      </text>
    </comment>
    <comment ref="F42" authorId="0">
      <text>
        <r>
          <rPr>
            <sz val="8"/>
            <rFont val="Tahoma"/>
            <family val="0"/>
          </rPr>
          <t xml:space="preserve">In case of a TDM, the total signal power carried in the channel is used for the correlated sensing detection during the field PN511 sequence.  Theta is therefore equal to 100%. </t>
        </r>
      </text>
    </comment>
    <comment ref="F43" authorId="0">
      <text>
        <r>
          <rPr>
            <sz val="8"/>
            <rFont val="Tahoma"/>
            <family val="0"/>
          </rPr>
          <t xml:space="preserve">In case of a TDM, the total signal power carried in the channel is used for the correlated sensing detection during the 3 field PN63 sequences.  Theta is therefore equal to 100%. </t>
        </r>
      </text>
    </comment>
    <comment ref="G41" authorId="0">
      <text>
        <r>
          <rPr>
            <sz val="8"/>
            <rFont val="Tahoma"/>
            <family val="0"/>
          </rPr>
          <t>Number of sync periods needed, that is 1/4 the number of channel samples needed.</t>
        </r>
      </text>
    </comment>
    <comment ref="G42" authorId="0">
      <text>
        <r>
          <rPr>
            <sz val="8"/>
            <rFont val="Tahoma"/>
            <family val="0"/>
          </rPr>
          <t>Number of PN511 periods needed, that is 1/511 the number of channel samples needed.</t>
        </r>
      </text>
    </comment>
    <comment ref="G43" authorId="0">
      <text>
        <r>
          <rPr>
            <sz val="8"/>
            <rFont val="Tahoma"/>
            <family val="2"/>
          </rPr>
          <t>Number of 3*PN63 periods needed, that is 1/(3*63) the number of channel samples needed.</t>
        </r>
      </text>
    </comment>
    <comment ref="C40" authorId="0">
      <text>
        <r>
          <rPr>
            <sz val="8"/>
            <rFont val="Tahoma"/>
            <family val="0"/>
          </rPr>
          <t>The standard deviation of the signal in 10 kHz bandwidth caused by multipath in rural environment as used in the formula is extrapolated from Table X.2 of the ITU-R DSB Handbook, 2002.</t>
        </r>
      </text>
    </comment>
    <comment ref="F40" authorId="0">
      <text>
        <r>
          <rPr>
            <sz val="8"/>
            <rFont val="Tahoma"/>
            <family val="0"/>
          </rPr>
          <t>The ATSC pilot is assumed to be 11.2 dB below the power of the total DTV signal.</t>
        </r>
      </text>
    </comment>
    <comment ref="C38" authorId="0">
      <text>
        <r>
          <rPr>
            <sz val="8"/>
            <rFont val="Tahoma"/>
            <family val="0"/>
          </rPr>
          <t>The standard deviation of the signal in 6 MHz bandwidth caused by multipath in rural environment is taken from Table X.2 of the ITU-R DSB Handbook, 2002.</t>
        </r>
      </text>
    </comment>
    <comment ref="C48" authorId="0">
      <text>
        <r>
          <rPr>
            <sz val="8"/>
            <rFont val="Tahoma"/>
            <family val="0"/>
          </rPr>
          <t>The standard deviation of the signal in 10 kHz bandwidth caused by multipath in rural environment as used in the formula is extrapolated from Table X.2 of the ITU-R DSB Handbook, 2002.  The assumption is that, because of its narrow band, a beacon could be faded when it reaches a CPE whereas the WRAN signals around this specific frequency may not be faded and reach the wireless microphone receiver and interfere.
However, unlike in the preceeding cases, since the wireless microphone beacon will be placed in a favourable position with respect to the microphone receivers (most likely above), the signal fading on the beacon path will be the same or less than that on the reciprocal signal path from the WRAN transmit device. Hence, variability due to blockage does not need to be considered.  The reference beacon signal level will therefore be assumed to be available at 100% rather than at the usual F(dd,tt).</t>
        </r>
      </text>
    </comment>
    <comment ref="C67" authorId="0">
      <text>
        <r>
          <rPr>
            <sz val="8"/>
            <rFont val="Tahoma"/>
            <family val="0"/>
          </rPr>
          <t>The standard deviation of the signal in 6 MHz bandwidth caused by multipath in rural environment is taken from Table X.2 of the ITU-R DSB Handbook, 2002.</t>
        </r>
      </text>
    </comment>
    <comment ref="C68" authorId="0">
      <text>
        <r>
          <rPr>
            <sz val="8"/>
            <rFont val="Tahoma"/>
            <family val="0"/>
          </rPr>
          <t>The standard deviation of the signal in 10 kHz bandwidth caused by multipath in rural environment as used in the formula is extrapolated from Table X.2 of the ITU-R DSB Handbook, 2002.</t>
        </r>
      </text>
    </comment>
    <comment ref="C69" authorId="0">
      <text>
        <r>
          <rPr>
            <sz val="8"/>
            <rFont val="Tahoma"/>
            <family val="0"/>
          </rPr>
          <t>The standard deviation of the signal in 10 kHz bandwidth caused by multipath in rural environment as used in the formula is extrapolated from Table X.2 of the ITU-R DSB Handbook, 2002.</t>
        </r>
      </text>
    </comment>
    <comment ref="C73" authorId="0">
      <text>
        <r>
          <rPr>
            <sz val="8"/>
            <rFont val="Tahoma"/>
            <family val="0"/>
          </rPr>
          <t>The standard deviation of the signal in 20 kHz bandwidth caused by multipath in rural environment as used in the formula is extrapolated from Table X.2 of the ITU-R DSB Handbook, 2002.</t>
        </r>
      </text>
    </comment>
    <comment ref="C74" authorId="0">
      <text>
        <r>
          <rPr>
            <sz val="8"/>
            <rFont val="Tahoma"/>
            <family val="0"/>
          </rPr>
          <t>The standard deviation of the signal in 20 kHz bandwidth caused by multipath in rural environment as used in the formula is extrapolated from Table X.2 of the ITU-R DSB Handbook, 2002.</t>
        </r>
      </text>
    </comment>
    <comment ref="C75" authorId="0">
      <text>
        <r>
          <rPr>
            <sz val="8"/>
            <rFont val="Tahoma"/>
            <family val="0"/>
          </rPr>
          <t>The standard deviation of the signal in 200 kHz bandwidth caused by multipath in rural environment as used in the formula is extrapolated from Table X.2 of the ITU-R DSB Handbook, 2002.</t>
        </r>
      </text>
    </comment>
    <comment ref="C76" authorId="0">
      <text>
        <r>
          <rPr>
            <sz val="8"/>
            <rFont val="Tahoma"/>
            <family val="0"/>
          </rPr>
          <t>The standard deviation of the signal in 10 kHz bandwidth caused by multipath in rural environment as used in the formula is extrapolated from Table X.2 of the ITU-R DSB Handbook, 2002.  The assumption is that, because of its narrow band, a beacon could be faded when it reaches a CPE whereas the WRAN signals around this specific frequency may not be faded and reach the wireless microphone receiver and interfere.
However, unlike in the preceeding cases, since the wireless microphone beacon will be placed in a favourable position with respect to the microphone receivers (most likely above), the signal fading on the beacon path will be the same or less than that on the reciprocal signal path from the WRAN transmit device. Hence, variability due to blockage does not need to be considered.  The reference beacon signal level will therefore be assumed to be available at 100% rather than at the usual F(dd,tt).</t>
        </r>
      </text>
    </comment>
    <comment ref="C77" authorId="0">
      <text>
        <r>
          <rPr>
            <sz val="8"/>
            <rFont val="Tahoma"/>
            <family val="0"/>
          </rPr>
          <t>The standard deviation of the signal in 10 kHz bandwidth caused by multipath in rural environment as used in the formula is extrapolated from Table X.2 of the ITU-R DSB Handbook, 2002.  The assumption is that, because of its narrow band, a beacon could be faded when it reaches a CPE whereas the WRAN signals around this specific frequency may not be faded and reach the wireless microphone receiver and interfere.
However, unlike in the preceeding cases, since the wireless microphone beacon will be placed in a favourable position with respect to the microphone receivers (most likely above), the signal fading on the beacon path will be the same or less than that on the reciprocal signal path from the WRAN transmit device. Hence, variability due to blockage does not need to be considered.  The reference beacon signal level will therefore be assumed to be available at 100% rather than at the usual F(dd,tt).</t>
        </r>
      </text>
    </comment>
  </commentList>
</comments>
</file>

<file path=xl/sharedStrings.xml><?xml version="1.0" encoding="utf-8"?>
<sst xmlns="http://schemas.openxmlformats.org/spreadsheetml/2006/main" count="158" uniqueCount="100">
  <si>
    <t>IEEE P802.22 Wireless RANs</t>
  </si>
  <si>
    <t>Submission</t>
  </si>
  <si>
    <t>Designator:</t>
  </si>
  <si>
    <t>Venue Date:</t>
  </si>
  <si>
    <t>First Author:</t>
  </si>
  <si>
    <t>Subject:</t>
  </si>
  <si>
    <t>Full Date:</t>
  </si>
  <si>
    <t>Author(s):</t>
  </si>
  <si>
    <t>Name(s)</t>
  </si>
  <si>
    <t>Gerald Chouinard</t>
  </si>
  <si>
    <t>Company</t>
  </si>
  <si>
    <t>Address</t>
  </si>
  <si>
    <t>3701 Carling Avenue, Ottawa, Canada K2H-8S2</t>
  </si>
  <si>
    <t xml:space="preserve">Phone: </t>
  </si>
  <si>
    <t>613-998-2500</t>
  </si>
  <si>
    <t xml:space="preserve">Fax: </t>
  </si>
  <si>
    <t>613-990-6339</t>
  </si>
  <si>
    <t xml:space="preserve">email: </t>
  </si>
  <si>
    <t>gerald.chouinard@crc.ca</t>
  </si>
  <si>
    <t>Abstract:</t>
  </si>
  <si>
    <t>dB</t>
  </si>
  <si>
    <t>Gerald Chouinard, Communications Research Centre, Canada (CRC)</t>
  </si>
  <si>
    <t>April 2006</t>
  </si>
  <si>
    <t>Sensing Thresholds</t>
  </si>
  <si>
    <t>2006-04-03</t>
  </si>
  <si>
    <t>Danijela Cabric</t>
  </si>
  <si>
    <t>Communications Research Center</t>
  </si>
  <si>
    <t>UC Berkeley</t>
  </si>
  <si>
    <t>Danijela Cabric &lt;danijela@EECS.Berkeley.EDU&gt;</t>
  </si>
  <si>
    <t>802.22 WRAN Incumbent Sensing</t>
  </si>
  <si>
    <t>Frequency (MHz)</t>
  </si>
  <si>
    <t>UHF TV Channel:</t>
  </si>
  <si>
    <t>Sensing thresholds</t>
  </si>
  <si>
    <t>DTV</t>
  </si>
  <si>
    <t>NTSC</t>
  </si>
  <si>
    <t>Part 74</t>
  </si>
  <si>
    <t>Beacon</t>
  </si>
  <si>
    <t>Reference sensing thresholds (dBm)</t>
  </si>
  <si>
    <t>Channel bandwidth (MHz)</t>
  </si>
  <si>
    <t>Reference sensing antenna gain (dBi)</t>
  </si>
  <si>
    <t>Omni antenna aperture (m^2)</t>
  </si>
  <si>
    <t>Reference power-flux-density (dB(W/m^2))</t>
  </si>
  <si>
    <t>Reference field strength (dB(uV/m))</t>
  </si>
  <si>
    <t>Maximum field strength for service protection</t>
  </si>
  <si>
    <t>dB(uV/m)</t>
  </si>
  <si>
    <t>Proposed reference field strength for sensing</t>
  </si>
  <si>
    <t>Margin for the sensing threshold</t>
  </si>
  <si>
    <t>Sensing Receiver</t>
  </si>
  <si>
    <t>Sensing antenna gain (dBi)</t>
  </si>
  <si>
    <t>Antenna noise temperature (K)</t>
  </si>
  <si>
    <t>Equivalent field strength generated by nearby LE equipment at the sensing antenna (dB(uV/m))</t>
  </si>
  <si>
    <t>RF noise temperature resulting from nearby LE equipment (K)</t>
  </si>
  <si>
    <t>Antenna height, HAAT (m)</t>
  </si>
  <si>
    <t>Coupling loss (dB)</t>
  </si>
  <si>
    <t>Downlead loss (dB)</t>
  </si>
  <si>
    <t>Pre-selection filter loss (dB)</t>
  </si>
  <si>
    <t>LNA Noise Figure (dB)</t>
  </si>
  <si>
    <t>RF front-end Figure of Merit: G/T (dBK^1)</t>
  </si>
  <si>
    <t>Sensing Signal-to-Noise ratio (SNR)</t>
  </si>
  <si>
    <t>Required detection performance</t>
  </si>
  <si>
    <t>Probability of detection (true-positive)</t>
  </si>
  <si>
    <t>Probability of false alarm (false positive)</t>
  </si>
  <si>
    <t>Theoretical model (Berkeley)</t>
  </si>
  <si>
    <t>Sensing time requirement to meet the C/N at the sensing threshold</t>
  </si>
  <si>
    <t>Available SNR (dB)</t>
  </si>
  <si>
    <t>SNR (dB) multipath variability</t>
  </si>
  <si>
    <t>Effective Available SNR (dB)</t>
  </si>
  <si>
    <t>Formula used</t>
  </si>
  <si>
    <t>Theta</t>
  </si>
  <si>
    <t>Number of averages</t>
  </si>
  <si>
    <t>Sensing Time (ms)</t>
  </si>
  <si>
    <t>Total time period over which sensing has to take place</t>
  </si>
  <si>
    <t>Sensing Times</t>
  </si>
  <si>
    <t>DTV energy detection (6 MHz)</t>
  </si>
  <si>
    <t>ms</t>
  </si>
  <si>
    <t>DTV pilot tone energy detection (10 kHz)</t>
  </si>
  <si>
    <t>DTV horizontal sync detection</t>
  </si>
  <si>
    <t>DTV PN511 cyclostationary detection</t>
  </si>
  <si>
    <t>DTV PN63 cyclostationary detection</t>
  </si>
  <si>
    <t>NTSC visual carrier detection (in 20 kHz)</t>
  </si>
  <si>
    <t>?</t>
  </si>
  <si>
    <t>NTSC sound carrier detection (in 20 kHz)</t>
  </si>
  <si>
    <t>Part 74 Wireless micro energy detection (200 kHz)</t>
  </si>
  <si>
    <t>us</t>
  </si>
  <si>
    <t>Part 74 Beacon energy detection (10 kHz)</t>
  </si>
  <si>
    <t>Part 74 Beacon decoding (10 kHz)</t>
  </si>
  <si>
    <t>Signal availability:</t>
  </si>
  <si>
    <t>Empirical model based on sensing scheme measurement results</t>
  </si>
  <si>
    <t>C/N requirements for the specified detection performance for "BW*Time=1"</t>
  </si>
  <si>
    <t>Pfa</t>
  </si>
  <si>
    <t>Pd</t>
  </si>
  <si>
    <t>Measured SNR (dB)</t>
  </si>
  <si>
    <t>Sensing Time (us)</t>
  </si>
  <si>
    <t>DTV Sampling Frequency</t>
  </si>
  <si>
    <t>MHz</t>
  </si>
  <si>
    <t>References:</t>
  </si>
  <si>
    <t>ITU-R RECOMMENDATION P.1546-1, "Method for point-to-area predictions for terrestrial services in the frequency range 30 MHz to 3 000 MHz", Geneva, 2003</t>
  </si>
  <si>
    <t>ITU-R DSB Handbook, "Terrestrial and satellite digital sound broadcasting to vehicular, portable and fixed receivers
in the VHF/UHF bands", Geneva, 2002</t>
  </si>
  <si>
    <t>DTV pilot tone correlated detection</t>
  </si>
  <si>
    <t>doc.: IEEE 802.22-06/0051r1</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</si>
</sst>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 numFmtId="174" formatCode="0.0_)"/>
    <numFmt numFmtId="175" formatCode="0_)"/>
    <numFmt numFmtId="176" formatCode="&quot;Yes&quot;;&quot;Yes&quot;;&quot;No&quot;"/>
    <numFmt numFmtId="177" formatCode="&quot;True&quot;;&quot;True&quot;;&quot;False&quot;"/>
    <numFmt numFmtId="178" formatCode="&quot;On&quot;;&quot;On&quot;;&quot;Off&quot;"/>
    <numFmt numFmtId="179" formatCode="0.0000000000000"/>
    <numFmt numFmtId="180" formatCode="0.0000"/>
    <numFmt numFmtId="181" formatCode="0.00000"/>
    <numFmt numFmtId="182" formatCode="0.0%"/>
    <numFmt numFmtId="183" formatCode="0.000%"/>
    <numFmt numFmtId="184" formatCode="0.000000"/>
    <numFmt numFmtId="185" formatCode="#,##0.0"/>
    <numFmt numFmtId="186" formatCode="&quot;$&quot;#,##0"/>
  </numFmts>
  <fonts count="24">
    <font>
      <sz val="10"/>
      <name val="Arial"/>
      <family val="0"/>
    </font>
    <font>
      <u val="single"/>
      <sz val="7.5"/>
      <color indexed="36"/>
      <name val="Arial"/>
      <family val="0"/>
    </font>
    <font>
      <u val="single"/>
      <sz val="10"/>
      <color indexed="12"/>
      <name val="Arial"/>
      <family val="0"/>
    </font>
    <font>
      <sz val="11"/>
      <name val="Arial"/>
      <family val="2"/>
    </font>
    <font>
      <sz val="10"/>
      <color indexed="10"/>
      <name val="Arial"/>
      <family val="2"/>
    </font>
    <font>
      <b/>
      <sz val="10"/>
      <name val="Arial"/>
      <family val="2"/>
    </font>
    <font>
      <b/>
      <sz val="14"/>
      <name val="Arial"/>
      <family val="2"/>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i/>
      <sz val="10"/>
      <name val="Arial"/>
      <family val="2"/>
    </font>
    <font>
      <b/>
      <sz val="10"/>
      <color indexed="8"/>
      <name val="Arial"/>
      <family val="2"/>
    </font>
    <font>
      <sz val="10"/>
      <color indexed="8"/>
      <name val="Arial"/>
      <family val="2"/>
    </font>
    <font>
      <b/>
      <sz val="12"/>
      <name val="Arial"/>
      <family val="2"/>
    </font>
    <font>
      <b/>
      <i/>
      <sz val="10"/>
      <name val="Arial"/>
      <family val="2"/>
    </font>
    <font>
      <b/>
      <sz val="12"/>
      <color indexed="8"/>
      <name val="Arial"/>
      <family val="2"/>
    </font>
    <font>
      <sz val="8"/>
      <name val="Arial"/>
      <family val="2"/>
    </font>
    <font>
      <sz val="12"/>
      <name val="Arial"/>
      <family val="2"/>
    </font>
    <font>
      <sz val="8"/>
      <name val="Tahoma"/>
      <family val="0"/>
    </font>
    <font>
      <b/>
      <sz val="8"/>
      <name val="Tahoma"/>
      <family val="0"/>
    </font>
    <font>
      <b/>
      <sz val="10"/>
      <color indexed="10"/>
      <name val="Arial"/>
      <family val="2"/>
    </font>
    <font>
      <b/>
      <sz val="8"/>
      <name val="Arial"/>
      <family val="2"/>
    </font>
  </fonts>
  <fills count="11">
    <fill>
      <patternFill/>
    </fill>
    <fill>
      <patternFill patternType="gray125"/>
    </fill>
    <fill>
      <patternFill patternType="solid">
        <fgColor indexed="11"/>
        <bgColor indexed="64"/>
      </patternFill>
    </fill>
    <fill>
      <patternFill patternType="solid">
        <fgColor indexed="40"/>
        <bgColor indexed="64"/>
      </patternFill>
    </fill>
    <fill>
      <patternFill patternType="solid">
        <fgColor indexed="14"/>
        <bgColor indexed="64"/>
      </patternFill>
    </fill>
    <fill>
      <patternFill patternType="solid">
        <fgColor indexed="47"/>
        <bgColor indexed="64"/>
      </patternFill>
    </fill>
    <fill>
      <patternFill patternType="solid">
        <fgColor indexed="46"/>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15"/>
        <bgColor indexed="64"/>
      </patternFill>
    </fill>
  </fills>
  <borders count="45">
    <border>
      <left/>
      <right/>
      <top/>
      <bottom/>
      <diagonal/>
    </border>
    <border>
      <left>
        <color indexed="63"/>
      </left>
      <right>
        <color indexed="63"/>
      </right>
      <top>
        <color indexed="63"/>
      </top>
      <bottom style="medium"/>
    </border>
    <border>
      <left style="thin"/>
      <right style="thin"/>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style="thin"/>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medium"/>
      <top style="medium"/>
      <bottom>
        <color indexed="63"/>
      </bottom>
    </border>
    <border>
      <left>
        <color indexed="63"/>
      </left>
      <right style="thin"/>
      <top style="thin"/>
      <bottom>
        <color indexed="63"/>
      </bottom>
    </border>
    <border>
      <left style="medium"/>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style="medium"/>
      <right>
        <color indexed="63"/>
      </right>
      <top style="medium"/>
      <bottom style="medium"/>
    </border>
    <border>
      <left style="thin"/>
      <right style="thin"/>
      <top style="medium"/>
      <bottom style="medium"/>
    </border>
    <border>
      <left>
        <color indexed="63"/>
      </left>
      <right>
        <color indexed="63"/>
      </right>
      <top style="medium"/>
      <bottom style="medium"/>
    </border>
    <border>
      <left style="thin"/>
      <right>
        <color indexed="63"/>
      </right>
      <top style="medium"/>
      <bottom style="medium"/>
    </border>
    <border>
      <left style="thin"/>
      <right style="medium"/>
      <top style="medium"/>
      <bottom style="medium"/>
    </border>
    <border>
      <left>
        <color indexed="63"/>
      </left>
      <right style="thin"/>
      <top style="thin"/>
      <bottom style="thin"/>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style="thin"/>
      <right style="medium"/>
      <top style="thin"/>
      <bottom>
        <color indexed="63"/>
      </bottom>
    </border>
    <border>
      <left style="thin"/>
      <right style="medium"/>
      <top>
        <color indexed="63"/>
      </top>
      <bottom style="thin"/>
    </border>
    <border>
      <left>
        <color indexed="63"/>
      </left>
      <right style="medium"/>
      <top style="thin"/>
      <bottom>
        <color indexed="63"/>
      </bottom>
    </border>
    <border>
      <left style="thin"/>
      <right style="thin"/>
      <top style="medium"/>
      <bottom style="thin"/>
    </border>
    <border>
      <left>
        <color indexed="63"/>
      </left>
      <right style="thin"/>
      <top>
        <color indexed="63"/>
      </top>
      <bottom style="medium"/>
    </border>
    <border>
      <left>
        <color indexed="63"/>
      </left>
      <right style="thin"/>
      <top style="medium"/>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pplyProtection="0">
      <alignment/>
    </xf>
    <xf numFmtId="9" fontId="0" fillId="0" borderId="0" applyFont="0" applyFill="0" applyBorder="0" applyAlignment="0" applyProtection="0"/>
  </cellStyleXfs>
  <cellXfs count="288">
    <xf numFmtId="0" fontId="0" fillId="0" borderId="0" xfId="0" applyAlignment="1">
      <alignment/>
    </xf>
    <xf numFmtId="0" fontId="7" fillId="0" borderId="0" xfId="0" applyFont="1" applyAlignment="1">
      <alignment/>
    </xf>
    <xf numFmtId="0" fontId="8" fillId="0" borderId="0" xfId="0" applyFont="1" applyAlignment="1">
      <alignment/>
    </xf>
    <xf numFmtId="49" fontId="8" fillId="0" borderId="0" xfId="0" applyNumberFormat="1" applyFont="1" applyAlignment="1">
      <alignment/>
    </xf>
    <xf numFmtId="49" fontId="8" fillId="0" borderId="0" xfId="0" applyNumberFormat="1" applyFont="1" applyAlignment="1" quotePrefix="1">
      <alignment/>
    </xf>
    <xf numFmtId="49" fontId="7" fillId="0" borderId="0" xfId="0" applyNumberFormat="1" applyFont="1" applyAlignment="1">
      <alignment/>
    </xf>
    <xf numFmtId="0" fontId="7" fillId="0" borderId="1" xfId="0" applyFont="1" applyBorder="1" applyAlignment="1">
      <alignment/>
    </xf>
    <xf numFmtId="0" fontId="7" fillId="0" borderId="0" xfId="0" applyFont="1" applyBorder="1" applyAlignment="1">
      <alignment/>
    </xf>
    <xf numFmtId="49" fontId="8" fillId="0" borderId="0" xfId="0" applyNumberFormat="1" applyFont="1" applyBorder="1" applyAlignment="1">
      <alignment/>
    </xf>
    <xf numFmtId="49" fontId="2" fillId="0" borderId="0" xfId="21" applyNumberFormat="1" applyAlignment="1">
      <alignment/>
    </xf>
    <xf numFmtId="0" fontId="7" fillId="0" borderId="0" xfId="0" applyFont="1" applyBorder="1" applyAlignment="1">
      <alignment vertical="top"/>
    </xf>
    <xf numFmtId="0" fontId="9" fillId="0" borderId="0" xfId="0" applyFont="1" applyBorder="1" applyAlignment="1">
      <alignment/>
    </xf>
    <xf numFmtId="0" fontId="6" fillId="2" borderId="0" xfId="23" applyFont="1" applyFill="1" applyAlignment="1">
      <alignment horizontal="center" vertical="center"/>
    </xf>
    <xf numFmtId="0" fontId="6" fillId="0" borderId="0" xfId="23" applyFont="1" applyFill="1" applyAlignment="1">
      <alignment horizontal="center" vertical="center"/>
    </xf>
    <xf numFmtId="0" fontId="0" fillId="0" borderId="0" xfId="23">
      <alignment/>
    </xf>
    <xf numFmtId="1" fontId="0" fillId="0" borderId="0" xfId="23" applyNumberFormat="1">
      <alignment/>
    </xf>
    <xf numFmtId="0" fontId="5" fillId="0" borderId="0" xfId="23" applyFont="1">
      <alignment/>
    </xf>
    <xf numFmtId="0" fontId="0" fillId="0" borderId="0" xfId="23" applyFont="1" applyAlignment="1">
      <alignment horizontal="center"/>
    </xf>
    <xf numFmtId="0" fontId="5" fillId="0" borderId="0" xfId="23" applyFont="1" applyAlignment="1">
      <alignment horizontal="right"/>
    </xf>
    <xf numFmtId="0" fontId="5" fillId="3" borderId="0" xfId="23" applyFont="1" applyFill="1" applyAlignment="1">
      <alignment horizontal="center"/>
    </xf>
    <xf numFmtId="0" fontId="0" fillId="0" borderId="0" xfId="23" applyFill="1" applyBorder="1" applyAlignment="1">
      <alignment/>
    </xf>
    <xf numFmtId="0" fontId="5" fillId="0" borderId="0" xfId="23" applyFont="1" applyFill="1" applyBorder="1" applyAlignment="1">
      <alignment horizontal="center"/>
    </xf>
    <xf numFmtId="1" fontId="5" fillId="0" borderId="0" xfId="23" applyNumberFormat="1" applyFont="1" applyFill="1" applyBorder="1" applyAlignment="1">
      <alignment horizontal="center"/>
    </xf>
    <xf numFmtId="0" fontId="5" fillId="0" borderId="0" xfId="23" applyFont="1" applyAlignment="1">
      <alignment horizontal="center"/>
    </xf>
    <xf numFmtId="0" fontId="0" fillId="0" borderId="0" xfId="23" applyFill="1" applyBorder="1" applyAlignment="1">
      <alignment horizontal="center"/>
    </xf>
    <xf numFmtId="0" fontId="5" fillId="0" borderId="0" xfId="23" applyFont="1" applyFill="1" applyBorder="1" applyAlignment="1">
      <alignment horizontal="center" wrapText="1"/>
    </xf>
    <xf numFmtId="0" fontId="5" fillId="0" borderId="2" xfId="23" applyFont="1" applyBorder="1" applyAlignment="1">
      <alignment horizontal="center"/>
    </xf>
    <xf numFmtId="0" fontId="5" fillId="0" borderId="3" xfId="23" applyFont="1" applyFill="1" applyBorder="1" applyAlignment="1">
      <alignment horizontal="center"/>
    </xf>
    <xf numFmtId="0" fontId="5" fillId="0" borderId="4" xfId="23" applyFont="1" applyBorder="1">
      <alignment/>
    </xf>
    <xf numFmtId="0" fontId="0" fillId="0" borderId="5" xfId="23" applyFont="1" applyBorder="1" applyAlignment="1">
      <alignment horizontal="center"/>
    </xf>
    <xf numFmtId="0" fontId="0" fillId="0" borderId="6" xfId="23" applyBorder="1" applyAlignment="1">
      <alignment horizontal="center"/>
    </xf>
    <xf numFmtId="0" fontId="0" fillId="0" borderId="7" xfId="23" applyBorder="1" applyAlignment="1">
      <alignment horizontal="center"/>
    </xf>
    <xf numFmtId="0" fontId="0" fillId="0" borderId="8" xfId="23" applyFill="1" applyBorder="1" applyAlignment="1">
      <alignment horizontal="center"/>
    </xf>
    <xf numFmtId="0" fontId="5" fillId="0" borderId="9" xfId="23" applyFont="1" applyBorder="1">
      <alignment/>
    </xf>
    <xf numFmtId="0" fontId="0" fillId="0" borderId="2" xfId="23" applyFont="1" applyBorder="1" applyAlignment="1">
      <alignment horizontal="center"/>
    </xf>
    <xf numFmtId="0" fontId="0" fillId="0" borderId="0" xfId="23" applyBorder="1" applyAlignment="1">
      <alignment horizontal="center"/>
    </xf>
    <xf numFmtId="0" fontId="0" fillId="0" borderId="10" xfId="23" applyBorder="1" applyAlignment="1">
      <alignment horizontal="center"/>
    </xf>
    <xf numFmtId="0" fontId="0" fillId="0" borderId="11" xfId="23" applyFill="1" applyBorder="1" applyAlignment="1">
      <alignment horizontal="center"/>
    </xf>
    <xf numFmtId="0" fontId="0" fillId="0" borderId="9" xfId="23" applyBorder="1">
      <alignment/>
    </xf>
    <xf numFmtId="2" fontId="12" fillId="0" borderId="2" xfId="23" applyNumberFormat="1" applyFont="1" applyBorder="1" applyAlignment="1">
      <alignment horizontal="center"/>
    </xf>
    <xf numFmtId="2" fontId="12" fillId="0" borderId="0" xfId="23" applyNumberFormat="1" applyFont="1" applyBorder="1" applyAlignment="1">
      <alignment horizontal="center"/>
    </xf>
    <xf numFmtId="2" fontId="12" fillId="0" borderId="10" xfId="23" applyNumberFormat="1" applyFont="1" applyBorder="1" applyAlignment="1">
      <alignment horizontal="center"/>
    </xf>
    <xf numFmtId="2" fontId="12" fillId="0" borderId="11" xfId="23" applyNumberFormat="1" applyFont="1" applyBorder="1" applyAlignment="1">
      <alignment horizontal="center"/>
    </xf>
    <xf numFmtId="0" fontId="0" fillId="0" borderId="9" xfId="23" applyFont="1" applyFill="1" applyBorder="1">
      <alignment/>
    </xf>
    <xf numFmtId="172" fontId="12" fillId="0" borderId="2" xfId="23" applyNumberFormat="1" applyFont="1" applyBorder="1" applyAlignment="1">
      <alignment horizontal="center"/>
    </xf>
    <xf numFmtId="172" fontId="12" fillId="0" borderId="0" xfId="23" applyNumberFormat="1" applyFont="1" applyBorder="1" applyAlignment="1">
      <alignment horizontal="center"/>
    </xf>
    <xf numFmtId="172" fontId="12" fillId="0" borderId="10" xfId="23" applyNumberFormat="1" applyFont="1" applyBorder="1" applyAlignment="1">
      <alignment horizontal="center"/>
    </xf>
    <xf numFmtId="172" fontId="12" fillId="0" borderId="11" xfId="23" applyNumberFormat="1" applyFont="1" applyBorder="1" applyAlignment="1">
      <alignment horizontal="center"/>
    </xf>
    <xf numFmtId="0" fontId="5" fillId="0" borderId="12" xfId="23" applyFont="1" applyBorder="1">
      <alignment/>
    </xf>
    <xf numFmtId="172" fontId="0" fillId="0" borderId="13" xfId="23" applyNumberFormat="1" applyFont="1" applyBorder="1" applyAlignment="1">
      <alignment horizontal="center"/>
    </xf>
    <xf numFmtId="172" fontId="0" fillId="0" borderId="1" xfId="23" applyNumberFormat="1" applyFont="1" applyBorder="1" applyAlignment="1">
      <alignment horizontal="center"/>
    </xf>
    <xf numFmtId="172" fontId="0" fillId="0" borderId="14" xfId="23" applyNumberFormat="1" applyFont="1" applyBorder="1" applyAlignment="1">
      <alignment horizontal="center"/>
    </xf>
    <xf numFmtId="172" fontId="0" fillId="0" borderId="15" xfId="23" applyNumberFormat="1" applyFont="1" applyBorder="1" applyAlignment="1">
      <alignment horizontal="center"/>
    </xf>
    <xf numFmtId="0" fontId="0" fillId="0" borderId="0" xfId="23" applyAlignment="1">
      <alignment horizontal="center"/>
    </xf>
    <xf numFmtId="0" fontId="0" fillId="0" borderId="4" xfId="23" applyFont="1" applyBorder="1">
      <alignment/>
    </xf>
    <xf numFmtId="172" fontId="0" fillId="0" borderId="5" xfId="23" applyNumberFormat="1" applyBorder="1" applyAlignment="1">
      <alignment horizontal="center"/>
    </xf>
    <xf numFmtId="172" fontId="0" fillId="0" borderId="16" xfId="23" applyNumberFormat="1" applyBorder="1" applyAlignment="1">
      <alignment horizontal="center"/>
    </xf>
    <xf numFmtId="0" fontId="0" fillId="0" borderId="17" xfId="23" applyBorder="1" applyAlignment="1">
      <alignment horizontal="center"/>
    </xf>
    <xf numFmtId="0" fontId="0" fillId="0" borderId="18" xfId="23" applyFont="1" applyBorder="1">
      <alignment/>
    </xf>
    <xf numFmtId="172" fontId="0" fillId="0" borderId="19" xfId="23" applyNumberFormat="1" applyFont="1" applyBorder="1" applyAlignment="1">
      <alignment horizontal="center"/>
    </xf>
    <xf numFmtId="172" fontId="0" fillId="0" borderId="20" xfId="23" applyNumberFormat="1" applyBorder="1" applyAlignment="1">
      <alignment horizontal="center"/>
    </xf>
    <xf numFmtId="172" fontId="0" fillId="0" borderId="19" xfId="23" applyNumberFormat="1" applyBorder="1" applyAlignment="1">
      <alignment horizontal="center"/>
    </xf>
    <xf numFmtId="172" fontId="0" fillId="0" borderId="21" xfId="23" applyNumberFormat="1" applyBorder="1" applyAlignment="1">
      <alignment horizontal="center"/>
    </xf>
    <xf numFmtId="0" fontId="0" fillId="0" borderId="3" xfId="23" applyBorder="1" applyAlignment="1">
      <alignment horizontal="center"/>
    </xf>
    <xf numFmtId="0" fontId="5" fillId="0" borderId="12" xfId="23" applyFont="1" applyFill="1" applyBorder="1">
      <alignment/>
    </xf>
    <xf numFmtId="0" fontId="0" fillId="0" borderId="22" xfId="23" applyBorder="1" applyAlignment="1">
      <alignment horizontal="center"/>
    </xf>
    <xf numFmtId="0" fontId="5" fillId="0" borderId="0" xfId="23" applyFont="1" applyBorder="1">
      <alignment/>
    </xf>
    <xf numFmtId="2" fontId="0" fillId="0" borderId="0" xfId="23" applyNumberFormat="1" applyAlignment="1">
      <alignment horizontal="center"/>
    </xf>
    <xf numFmtId="0" fontId="0" fillId="0" borderId="0" xfId="23" applyFont="1" applyFill="1" applyBorder="1" applyAlignment="1">
      <alignment horizontal="center"/>
    </xf>
    <xf numFmtId="0" fontId="5" fillId="0" borderId="9" xfId="23" applyFont="1" applyBorder="1" applyAlignment="1">
      <alignment horizontal="center"/>
    </xf>
    <xf numFmtId="180" fontId="0" fillId="0" borderId="0" xfId="23" applyNumberFormat="1">
      <alignment/>
    </xf>
    <xf numFmtId="0" fontId="0" fillId="0" borderId="0" xfId="23" applyNumberFormat="1" applyFont="1" applyFill="1" applyBorder="1" applyAlignment="1">
      <alignment horizontal="center"/>
    </xf>
    <xf numFmtId="0" fontId="0" fillId="0" borderId="4" xfId="23" applyBorder="1">
      <alignment/>
    </xf>
    <xf numFmtId="0" fontId="0" fillId="0" borderId="0" xfId="23" applyAlignment="1">
      <alignment/>
    </xf>
    <xf numFmtId="0" fontId="0" fillId="0" borderId="0" xfId="23" applyFont="1" applyFill="1" applyBorder="1" applyAlignment="1">
      <alignment horizontal="center" vertical="top" wrapText="1"/>
    </xf>
    <xf numFmtId="172" fontId="0" fillId="0" borderId="0" xfId="23" applyNumberFormat="1" applyFill="1" applyBorder="1" applyAlignment="1">
      <alignment horizontal="center"/>
    </xf>
    <xf numFmtId="0" fontId="5" fillId="0" borderId="0" xfId="23" applyFont="1" applyFill="1" applyBorder="1" applyAlignment="1">
      <alignment horizontal="left"/>
    </xf>
    <xf numFmtId="2" fontId="0" fillId="0" borderId="0" xfId="23" applyNumberFormat="1" applyFill="1" applyBorder="1" applyAlignment="1">
      <alignment horizontal="center"/>
    </xf>
    <xf numFmtId="0" fontId="0" fillId="0" borderId="9" xfId="23" applyBorder="1" applyAlignment="1">
      <alignment wrapText="1"/>
    </xf>
    <xf numFmtId="0" fontId="0" fillId="0" borderId="9" xfId="23" applyBorder="1" applyAlignment="1">
      <alignment horizontal="left" wrapText="1"/>
    </xf>
    <xf numFmtId="0" fontId="0" fillId="0" borderId="0" xfId="23" applyBorder="1" applyAlignment="1">
      <alignment horizontal="left" wrapText="1"/>
    </xf>
    <xf numFmtId="0" fontId="0" fillId="0" borderId="9" xfId="23" applyFill="1" applyBorder="1">
      <alignment/>
    </xf>
    <xf numFmtId="0" fontId="0" fillId="0" borderId="23" xfId="23" applyFill="1" applyBorder="1" applyAlignment="1">
      <alignment horizontal="left" vertical="top" wrapText="1"/>
    </xf>
    <xf numFmtId="172" fontId="0" fillId="4" borderId="24" xfId="23" applyNumberFormat="1" applyFont="1" applyFill="1" applyBorder="1" applyAlignment="1">
      <alignment horizontal="center" vertical="top" wrapText="1"/>
    </xf>
    <xf numFmtId="172" fontId="0" fillId="0" borderId="25" xfId="23" applyNumberFormat="1" applyFont="1" applyFill="1" applyBorder="1" applyAlignment="1">
      <alignment horizontal="center" vertical="top" wrapText="1"/>
    </xf>
    <xf numFmtId="172" fontId="0" fillId="0" borderId="26" xfId="23" applyNumberFormat="1" applyFont="1" applyFill="1" applyBorder="1" applyAlignment="1">
      <alignment horizontal="center" vertical="top" wrapText="1"/>
    </xf>
    <xf numFmtId="172" fontId="0" fillId="0" borderId="27" xfId="23" applyNumberFormat="1" applyFont="1" applyFill="1" applyBorder="1" applyAlignment="1">
      <alignment horizontal="center" vertical="top" wrapText="1"/>
    </xf>
    <xf numFmtId="0" fontId="0" fillId="0" borderId="28" xfId="23" applyBorder="1" applyAlignment="1">
      <alignment horizontal="center"/>
    </xf>
    <xf numFmtId="0" fontId="12" fillId="0" borderId="0" xfId="23" applyFont="1" applyFill="1" applyBorder="1" applyAlignment="1">
      <alignment horizontal="right"/>
    </xf>
    <xf numFmtId="1" fontId="5" fillId="0" borderId="0" xfId="23" applyNumberFormat="1" applyFont="1" applyFill="1" applyBorder="1" applyAlignment="1">
      <alignment horizontal="center" wrapText="1"/>
    </xf>
    <xf numFmtId="0" fontId="0" fillId="0" borderId="0" xfId="23" applyFill="1" applyBorder="1" applyAlignment="1">
      <alignment horizontal="left" vertical="top" wrapText="1"/>
    </xf>
    <xf numFmtId="172" fontId="0" fillId="0" borderId="0" xfId="23" applyNumberFormat="1" applyFont="1" applyFill="1" applyBorder="1" applyAlignment="1">
      <alignment horizontal="center" vertical="top" wrapText="1"/>
    </xf>
    <xf numFmtId="1" fontId="12" fillId="0" borderId="0" xfId="23" applyNumberFormat="1" applyFont="1" applyFill="1" applyBorder="1" applyAlignment="1">
      <alignment horizontal="right"/>
    </xf>
    <xf numFmtId="173" fontId="0" fillId="0" borderId="0" xfId="23" applyNumberFormat="1" applyFill="1" applyBorder="1" applyAlignment="1">
      <alignment horizontal="center"/>
    </xf>
    <xf numFmtId="0" fontId="0" fillId="0" borderId="0" xfId="23" applyFont="1" applyFill="1" applyBorder="1" applyAlignment="1">
      <alignment/>
    </xf>
    <xf numFmtId="0" fontId="13" fillId="0" borderId="0" xfId="23" applyFont="1" applyFill="1" applyBorder="1" applyAlignment="1">
      <alignment horizontal="left"/>
    </xf>
    <xf numFmtId="1" fontId="0" fillId="0" borderId="0" xfId="23" applyNumberFormat="1" applyFill="1" applyBorder="1" applyAlignment="1">
      <alignment/>
    </xf>
    <xf numFmtId="0" fontId="14" fillId="0" borderId="4" xfId="23" applyFont="1" applyFill="1" applyBorder="1" applyAlignment="1">
      <alignment horizontal="left"/>
    </xf>
    <xf numFmtId="9" fontId="0" fillId="5" borderId="5" xfId="23" applyNumberFormat="1" applyFill="1" applyBorder="1" applyAlignment="1">
      <alignment horizontal="center"/>
    </xf>
    <xf numFmtId="9" fontId="0" fillId="5" borderId="6" xfId="23" applyNumberFormat="1" applyFill="1" applyBorder="1" applyAlignment="1">
      <alignment horizontal="center"/>
    </xf>
    <xf numFmtId="9" fontId="0" fillId="5" borderId="16" xfId="23" applyNumberFormat="1" applyFill="1" applyBorder="1" applyAlignment="1">
      <alignment horizontal="center"/>
    </xf>
    <xf numFmtId="1" fontId="0" fillId="0" borderId="0" xfId="23" applyNumberFormat="1" applyFill="1" applyBorder="1" applyAlignment="1">
      <alignment horizontal="center"/>
    </xf>
    <xf numFmtId="0" fontId="14" fillId="0" borderId="12" xfId="23" applyFont="1" applyFill="1" applyBorder="1" applyAlignment="1">
      <alignment horizontal="left"/>
    </xf>
    <xf numFmtId="9" fontId="0" fillId="5" borderId="13" xfId="23" applyNumberFormat="1" applyFill="1" applyBorder="1" applyAlignment="1">
      <alignment horizontal="center"/>
    </xf>
    <xf numFmtId="9" fontId="0" fillId="5" borderId="1" xfId="23" applyNumberFormat="1" applyFill="1" applyBorder="1" applyAlignment="1">
      <alignment horizontal="center"/>
    </xf>
    <xf numFmtId="9" fontId="0" fillId="5" borderId="29" xfId="23" applyNumberFormat="1" applyFill="1" applyBorder="1" applyAlignment="1">
      <alignment horizontal="center"/>
    </xf>
    <xf numFmtId="0" fontId="14" fillId="0" borderId="0" xfId="23" applyFont="1" applyFill="1" applyBorder="1" applyAlignment="1">
      <alignment horizontal="left"/>
    </xf>
    <xf numFmtId="9" fontId="0" fillId="0" borderId="0" xfId="23" applyNumberFormat="1" applyFill="1" applyBorder="1" applyAlignment="1">
      <alignment horizontal="center"/>
    </xf>
    <xf numFmtId="172" fontId="0" fillId="0" borderId="0" xfId="23" applyNumberFormat="1" applyFont="1" applyFill="1" applyBorder="1" applyAlignment="1">
      <alignment horizontal="center"/>
    </xf>
    <xf numFmtId="2" fontId="0" fillId="0" borderId="0" xfId="23" applyNumberFormat="1" applyFill="1" applyBorder="1" applyAlignment="1">
      <alignment horizontal="center" vertical="center" wrapText="1"/>
    </xf>
    <xf numFmtId="0" fontId="13" fillId="0" borderId="0" xfId="23" applyFont="1" applyFill="1" applyBorder="1" applyAlignment="1">
      <alignment horizontal="left" vertical="center" wrapText="1"/>
    </xf>
    <xf numFmtId="0" fontId="5" fillId="0" borderId="0" xfId="23" applyFont="1" applyBorder="1" applyAlignment="1">
      <alignment horizontal="center" vertical="center" wrapText="1"/>
    </xf>
    <xf numFmtId="1" fontId="5" fillId="0" borderId="1" xfId="23" applyNumberFormat="1" applyFont="1" applyFill="1" applyBorder="1" applyAlignment="1">
      <alignment horizontal="center" vertical="center" wrapText="1"/>
    </xf>
    <xf numFmtId="0" fontId="5" fillId="0" borderId="0" xfId="23" applyFont="1" applyFill="1" applyBorder="1" applyAlignment="1">
      <alignment horizontal="center" vertical="center" wrapText="1"/>
    </xf>
    <xf numFmtId="0" fontId="5" fillId="6" borderId="30" xfId="23" applyFont="1" applyFill="1" applyBorder="1" applyAlignment="1">
      <alignment horizontal="center" vertical="center" wrapText="1"/>
    </xf>
    <xf numFmtId="172" fontId="0" fillId="6" borderId="31" xfId="23" applyNumberFormat="1" applyFill="1" applyBorder="1" applyAlignment="1">
      <alignment horizontal="center" vertical="center" wrapText="1"/>
    </xf>
    <xf numFmtId="1" fontId="5" fillId="7" borderId="17" xfId="23" applyNumberFormat="1" applyFont="1" applyFill="1" applyBorder="1" applyAlignment="1">
      <alignment horizontal="center" vertical="center" wrapText="1"/>
    </xf>
    <xf numFmtId="0" fontId="0" fillId="0" borderId="0" xfId="23" applyBorder="1">
      <alignment/>
    </xf>
    <xf numFmtId="0" fontId="0" fillId="0" borderId="4" xfId="23" applyFont="1" applyFill="1" applyBorder="1" applyAlignment="1">
      <alignment horizontal="left" wrapText="1"/>
    </xf>
    <xf numFmtId="172" fontId="0" fillId="0" borderId="5" xfId="23" applyNumberFormat="1" applyFill="1" applyBorder="1" applyAlignment="1">
      <alignment horizontal="center" wrapText="1"/>
    </xf>
    <xf numFmtId="172" fontId="0" fillId="0" borderId="6" xfId="23" applyNumberFormat="1" applyFill="1" applyBorder="1" applyAlignment="1">
      <alignment horizontal="center" wrapText="1"/>
    </xf>
    <xf numFmtId="1" fontId="0" fillId="0" borderId="2" xfId="23" applyNumberFormat="1" applyFont="1" applyFill="1" applyBorder="1" applyAlignment="1">
      <alignment horizontal="center"/>
    </xf>
    <xf numFmtId="183" fontId="0" fillId="0" borderId="6" xfId="23" applyNumberFormat="1" applyBorder="1" applyAlignment="1">
      <alignment horizontal="center"/>
    </xf>
    <xf numFmtId="1" fontId="0" fillId="0" borderId="7" xfId="23" applyNumberFormat="1" applyBorder="1" applyAlignment="1">
      <alignment horizontal="center"/>
    </xf>
    <xf numFmtId="2" fontId="0" fillId="0" borderId="16" xfId="23" applyNumberFormat="1" applyBorder="1" applyAlignment="1">
      <alignment horizontal="center"/>
    </xf>
    <xf numFmtId="0" fontId="5" fillId="6" borderId="32" xfId="23" applyFont="1" applyFill="1" applyBorder="1" applyAlignment="1">
      <alignment horizontal="center"/>
    </xf>
    <xf numFmtId="172" fontId="5" fillId="6" borderId="17" xfId="23" applyNumberFormat="1" applyFont="1" applyFill="1" applyBorder="1" applyAlignment="1">
      <alignment horizontal="center"/>
    </xf>
    <xf numFmtId="1" fontId="0" fillId="7" borderId="32" xfId="23" applyNumberFormat="1" applyFill="1" applyBorder="1" applyAlignment="1">
      <alignment horizontal="center"/>
    </xf>
    <xf numFmtId="0" fontId="0" fillId="0" borderId="9" xfId="23" applyFont="1" applyFill="1" applyBorder="1" applyAlignment="1">
      <alignment horizontal="left"/>
    </xf>
    <xf numFmtId="172" fontId="0" fillId="0" borderId="2" xfId="23" applyNumberFormat="1" applyFill="1" applyBorder="1" applyAlignment="1">
      <alignment horizontal="center" wrapText="1"/>
    </xf>
    <xf numFmtId="183" fontId="0" fillId="0" borderId="0" xfId="23" applyNumberFormat="1" applyBorder="1" applyAlignment="1">
      <alignment horizontal="center"/>
    </xf>
    <xf numFmtId="1" fontId="0" fillId="0" borderId="10" xfId="23" applyNumberFormat="1" applyBorder="1" applyAlignment="1">
      <alignment horizontal="center"/>
    </xf>
    <xf numFmtId="2" fontId="0" fillId="0" borderId="33" xfId="23" applyNumberFormat="1" applyBorder="1" applyAlignment="1">
      <alignment horizontal="center"/>
    </xf>
    <xf numFmtId="172" fontId="0" fillId="0" borderId="34" xfId="23" applyNumberFormat="1" applyFill="1" applyBorder="1" applyAlignment="1">
      <alignment horizontal="center"/>
    </xf>
    <xf numFmtId="0" fontId="5" fillId="6" borderId="2" xfId="23" applyFont="1" applyFill="1" applyBorder="1" applyAlignment="1">
      <alignment horizontal="center"/>
    </xf>
    <xf numFmtId="172" fontId="5" fillId="6" borderId="19" xfId="23" applyNumberFormat="1" applyFont="1" applyFill="1" applyBorder="1" applyAlignment="1">
      <alignment horizontal="center"/>
    </xf>
    <xf numFmtId="1" fontId="0" fillId="7" borderId="2" xfId="23" applyNumberFormat="1" applyFill="1" applyBorder="1" applyAlignment="1">
      <alignment horizontal="center"/>
    </xf>
    <xf numFmtId="172" fontId="0" fillId="0" borderId="2" xfId="23" applyNumberFormat="1" applyFill="1" applyBorder="1" applyAlignment="1">
      <alignment horizontal="center"/>
    </xf>
    <xf numFmtId="9" fontId="0" fillId="0" borderId="0" xfId="23" applyNumberFormat="1" applyBorder="1" applyAlignment="1">
      <alignment horizontal="center"/>
    </xf>
    <xf numFmtId="2" fontId="0" fillId="0" borderId="17" xfId="23" applyNumberFormat="1" applyFill="1" applyBorder="1" applyAlignment="1">
      <alignment horizontal="center"/>
    </xf>
    <xf numFmtId="172" fontId="0" fillId="0" borderId="31" xfId="23" applyNumberFormat="1" applyFill="1" applyBorder="1" applyAlignment="1">
      <alignment horizontal="center"/>
    </xf>
    <xf numFmtId="0" fontId="5" fillId="6" borderId="3" xfId="23" applyFont="1" applyFill="1" applyBorder="1" applyAlignment="1">
      <alignment horizontal="center"/>
    </xf>
    <xf numFmtId="1" fontId="0" fillId="7" borderId="2" xfId="23" applyNumberFormat="1" applyFont="1" applyFill="1" applyBorder="1" applyAlignment="1">
      <alignment horizontal="center"/>
    </xf>
    <xf numFmtId="172" fontId="0" fillId="0" borderId="0" xfId="23" applyNumberFormat="1" applyFill="1" applyBorder="1" applyAlignment="1">
      <alignment/>
    </xf>
    <xf numFmtId="2" fontId="0" fillId="0" borderId="3" xfId="23" applyNumberFormat="1" applyFill="1" applyBorder="1" applyAlignment="1">
      <alignment horizontal="center"/>
    </xf>
    <xf numFmtId="172" fontId="5" fillId="6" borderId="3" xfId="23" applyNumberFormat="1" applyFont="1" applyFill="1" applyBorder="1" applyAlignment="1">
      <alignment horizontal="center"/>
    </xf>
    <xf numFmtId="0" fontId="0" fillId="0" borderId="18" xfId="23" applyFont="1" applyFill="1" applyBorder="1" applyAlignment="1">
      <alignment horizontal="left"/>
    </xf>
    <xf numFmtId="172" fontId="0" fillId="0" borderId="19" xfId="23" applyNumberFormat="1" applyFill="1" applyBorder="1" applyAlignment="1">
      <alignment horizontal="center" wrapText="1"/>
    </xf>
    <xf numFmtId="172" fontId="0" fillId="0" borderId="34" xfId="23" applyNumberFormat="1" applyFill="1" applyBorder="1" applyAlignment="1">
      <alignment horizontal="center" wrapText="1"/>
    </xf>
    <xf numFmtId="1" fontId="0" fillId="0" borderId="19" xfId="23" applyNumberFormat="1" applyFont="1" applyFill="1" applyBorder="1" applyAlignment="1">
      <alignment horizontal="center"/>
    </xf>
    <xf numFmtId="9" fontId="0" fillId="0" borderId="34" xfId="23" applyNumberFormat="1" applyBorder="1" applyAlignment="1">
      <alignment horizontal="center"/>
    </xf>
    <xf numFmtId="1" fontId="0" fillId="0" borderId="20" xfId="23" applyNumberFormat="1" applyBorder="1" applyAlignment="1">
      <alignment horizontal="center"/>
    </xf>
    <xf numFmtId="2" fontId="0" fillId="0" borderId="21" xfId="23" applyNumberFormat="1" applyBorder="1" applyAlignment="1">
      <alignment horizontal="center"/>
    </xf>
    <xf numFmtId="2" fontId="0" fillId="0" borderId="22" xfId="23" applyNumberFormat="1" applyFill="1" applyBorder="1" applyAlignment="1">
      <alignment horizontal="center" wrapText="1"/>
    </xf>
    <xf numFmtId="0" fontId="5" fillId="6" borderId="19" xfId="23" applyFont="1" applyFill="1" applyBorder="1" applyAlignment="1">
      <alignment horizontal="center"/>
    </xf>
    <xf numFmtId="172" fontId="0" fillId="0" borderId="32" xfId="23" applyNumberFormat="1" applyFill="1" applyBorder="1" applyAlignment="1">
      <alignment horizontal="center"/>
    </xf>
    <xf numFmtId="173" fontId="0" fillId="0" borderId="10" xfId="23" applyNumberFormat="1" applyBorder="1" applyAlignment="1">
      <alignment horizontal="center"/>
    </xf>
    <xf numFmtId="180" fontId="0" fillId="0" borderId="33" xfId="23" applyNumberFormat="1" applyBorder="1" applyAlignment="1">
      <alignment horizontal="center"/>
    </xf>
    <xf numFmtId="172" fontId="0" fillId="0" borderId="19" xfId="23" applyNumberFormat="1" applyFill="1" applyBorder="1" applyAlignment="1">
      <alignment horizontal="center"/>
    </xf>
    <xf numFmtId="0" fontId="15" fillId="6" borderId="3" xfId="23" applyFont="1" applyFill="1" applyBorder="1" applyAlignment="1">
      <alignment horizontal="center"/>
    </xf>
    <xf numFmtId="172" fontId="0" fillId="0" borderId="35" xfId="23" applyNumberFormat="1" applyFill="1" applyBorder="1" applyAlignment="1">
      <alignment horizontal="center" wrapText="1"/>
    </xf>
    <xf numFmtId="1" fontId="0" fillId="0" borderId="35" xfId="23" applyNumberFormat="1" applyFont="1" applyFill="1" applyBorder="1" applyAlignment="1">
      <alignment horizontal="center"/>
    </xf>
    <xf numFmtId="183" fontId="0" fillId="0" borderId="36" xfId="23" applyNumberFormat="1" applyBorder="1" applyAlignment="1">
      <alignment horizontal="center"/>
    </xf>
    <xf numFmtId="1" fontId="0" fillId="0" borderId="37" xfId="23" applyNumberFormat="1" applyBorder="1" applyAlignment="1">
      <alignment horizontal="center"/>
    </xf>
    <xf numFmtId="2" fontId="0" fillId="0" borderId="38" xfId="23" applyNumberFormat="1" applyBorder="1" applyAlignment="1">
      <alignment horizontal="center"/>
    </xf>
    <xf numFmtId="0" fontId="5" fillId="6" borderId="35" xfId="23" applyFont="1" applyFill="1" applyBorder="1" applyAlignment="1">
      <alignment horizontal="center"/>
    </xf>
    <xf numFmtId="172" fontId="5" fillId="6" borderId="35" xfId="23" applyNumberFormat="1" applyFont="1" applyFill="1" applyBorder="1" applyAlignment="1">
      <alignment horizontal="center"/>
    </xf>
    <xf numFmtId="1" fontId="0" fillId="0" borderId="32" xfId="23" applyNumberFormat="1" applyFont="1" applyFill="1" applyBorder="1" applyAlignment="1">
      <alignment horizontal="center"/>
    </xf>
    <xf numFmtId="1" fontId="0" fillId="0" borderId="30" xfId="23" applyNumberFormat="1" applyBorder="1" applyAlignment="1">
      <alignment horizontal="center"/>
    </xf>
    <xf numFmtId="0" fontId="0" fillId="0" borderId="12" xfId="23" applyFont="1" applyFill="1" applyBorder="1" applyAlignment="1">
      <alignment horizontal="left"/>
    </xf>
    <xf numFmtId="172" fontId="0" fillId="0" borderId="13" xfId="23" applyNumberFormat="1" applyFill="1" applyBorder="1" applyAlignment="1">
      <alignment horizontal="center"/>
    </xf>
    <xf numFmtId="172" fontId="0" fillId="0" borderId="1" xfId="23" applyNumberFormat="1" applyFill="1" applyBorder="1" applyAlignment="1">
      <alignment horizontal="center"/>
    </xf>
    <xf numFmtId="172" fontId="0" fillId="0" borderId="13" xfId="23" applyNumberFormat="1" applyFill="1" applyBorder="1" applyAlignment="1">
      <alignment horizontal="center" wrapText="1"/>
    </xf>
    <xf numFmtId="1" fontId="0" fillId="0" borderId="13" xfId="23" applyNumberFormat="1" applyFont="1" applyFill="1" applyBorder="1" applyAlignment="1">
      <alignment horizontal="center"/>
    </xf>
    <xf numFmtId="9" fontId="0" fillId="0" borderId="1" xfId="23" applyNumberFormat="1" applyBorder="1" applyAlignment="1">
      <alignment horizontal="center"/>
    </xf>
    <xf numFmtId="1" fontId="0" fillId="0" borderId="14" xfId="23" applyNumberFormat="1" applyBorder="1" applyAlignment="1">
      <alignment horizontal="center"/>
    </xf>
    <xf numFmtId="2" fontId="0" fillId="0" borderId="29" xfId="23" applyNumberFormat="1" applyBorder="1" applyAlignment="1">
      <alignment horizontal="center"/>
    </xf>
    <xf numFmtId="1" fontId="0" fillId="7" borderId="19" xfId="23" applyNumberFormat="1" applyFill="1" applyBorder="1" applyAlignment="1">
      <alignment horizontal="center"/>
    </xf>
    <xf numFmtId="0" fontId="0" fillId="0" borderId="0" xfId="23" applyFont="1" applyFill="1" applyBorder="1" applyAlignment="1">
      <alignment horizontal="left"/>
    </xf>
    <xf numFmtId="172" fontId="5" fillId="0" borderId="0" xfId="23" applyNumberFormat="1" applyFont="1" applyFill="1" applyBorder="1" applyAlignment="1">
      <alignment horizontal="right"/>
    </xf>
    <xf numFmtId="9" fontId="0" fillId="0" borderId="19" xfId="23" applyNumberFormat="1" applyFill="1" applyBorder="1" applyAlignment="1">
      <alignment horizontal="center"/>
    </xf>
    <xf numFmtId="172" fontId="0" fillId="0" borderId="0" xfId="23" applyNumberFormat="1" applyFill="1" applyBorder="1" applyAlignment="1">
      <alignment horizontal="center" wrapText="1"/>
    </xf>
    <xf numFmtId="172" fontId="5" fillId="0" borderId="0" xfId="23" applyNumberFormat="1" applyFont="1" applyFill="1" applyBorder="1" applyAlignment="1">
      <alignment horizontal="center"/>
    </xf>
    <xf numFmtId="1" fontId="0" fillId="0" borderId="0" xfId="23" applyNumberFormat="1" applyFont="1" applyFill="1" applyBorder="1" applyAlignment="1">
      <alignment horizontal="center"/>
    </xf>
    <xf numFmtId="172" fontId="16" fillId="0" borderId="0" xfId="23" applyNumberFormat="1" applyFont="1" applyFill="1" applyBorder="1" applyAlignment="1">
      <alignment horizontal="center"/>
    </xf>
    <xf numFmtId="0" fontId="17" fillId="0" borderId="0" xfId="23" applyFont="1" applyFill="1" applyBorder="1" applyAlignment="1">
      <alignment horizontal="center"/>
    </xf>
    <xf numFmtId="0" fontId="13" fillId="0" borderId="0" xfId="23" applyFont="1" applyFill="1" applyBorder="1" applyAlignment="1">
      <alignment horizontal="left" wrapText="1"/>
    </xf>
    <xf numFmtId="9" fontId="14" fillId="0" borderId="0" xfId="23" applyNumberFormat="1" applyFont="1" applyFill="1" applyBorder="1" applyAlignment="1" applyProtection="1">
      <alignment horizontal="center"/>
      <protection/>
    </xf>
    <xf numFmtId="10" fontId="0" fillId="0" borderId="6" xfId="23" applyNumberFormat="1" applyFill="1" applyBorder="1" applyAlignment="1">
      <alignment horizontal="center"/>
    </xf>
    <xf numFmtId="172" fontId="4" fillId="5" borderId="8" xfId="23" applyNumberFormat="1" applyFont="1" applyFill="1" applyBorder="1" applyAlignment="1">
      <alignment horizontal="center" wrapText="1"/>
    </xf>
    <xf numFmtId="0" fontId="0" fillId="0" borderId="0" xfId="23" applyFill="1" applyBorder="1" applyAlignment="1">
      <alignment horizontal="center" wrapText="1"/>
    </xf>
    <xf numFmtId="10" fontId="0" fillId="0" borderId="0" xfId="23" applyNumberFormat="1" applyBorder="1" applyAlignment="1">
      <alignment horizontal="center"/>
    </xf>
    <xf numFmtId="10" fontId="0" fillId="0" borderId="0" xfId="23" applyNumberFormat="1" applyFill="1" applyBorder="1" applyAlignment="1">
      <alignment horizontal="center"/>
    </xf>
    <xf numFmtId="0" fontId="15" fillId="0" borderId="0" xfId="23" applyFont="1" applyFill="1" applyBorder="1" applyAlignment="1">
      <alignment horizontal="center"/>
    </xf>
    <xf numFmtId="172" fontId="4" fillId="5" borderId="11" xfId="23" applyNumberFormat="1" applyFont="1" applyFill="1" applyBorder="1" applyAlignment="1">
      <alignment horizontal="center"/>
    </xf>
    <xf numFmtId="0" fontId="18" fillId="0" borderId="0" xfId="23" applyFont="1" applyFill="1" applyBorder="1" applyAlignment="1">
      <alignment/>
    </xf>
    <xf numFmtId="172" fontId="4" fillId="5" borderId="11" xfId="23" applyNumberFormat="1" applyFont="1" applyFill="1" applyBorder="1" applyAlignment="1">
      <alignment horizontal="center" wrapText="1"/>
    </xf>
    <xf numFmtId="10" fontId="0" fillId="0" borderId="31" xfId="23" applyNumberFormat="1" applyBorder="1" applyAlignment="1">
      <alignment horizontal="center"/>
    </xf>
    <xf numFmtId="10" fontId="0" fillId="0" borderId="31" xfId="23" applyNumberFormat="1" applyFill="1" applyBorder="1" applyAlignment="1">
      <alignment horizontal="center"/>
    </xf>
    <xf numFmtId="172" fontId="4" fillId="5" borderId="39" xfId="23" applyNumberFormat="1" applyFont="1" applyFill="1" applyBorder="1" applyAlignment="1">
      <alignment horizontal="center"/>
    </xf>
    <xf numFmtId="172" fontId="4" fillId="5" borderId="40" xfId="23" applyNumberFormat="1" applyFont="1" applyFill="1" applyBorder="1" applyAlignment="1">
      <alignment horizontal="center"/>
    </xf>
    <xf numFmtId="172" fontId="4" fillId="0" borderId="0" xfId="23" applyNumberFormat="1" applyFont="1" applyFill="1" applyBorder="1" applyAlignment="1">
      <alignment horizontal="center"/>
    </xf>
    <xf numFmtId="10" fontId="0" fillId="0" borderId="0" xfId="23" applyNumberFormat="1" applyFill="1" applyBorder="1" applyAlignment="1">
      <alignment/>
    </xf>
    <xf numFmtId="10" fontId="0" fillId="0" borderId="1" xfId="23" applyNumberFormat="1" applyBorder="1" applyAlignment="1">
      <alignment horizontal="center"/>
    </xf>
    <xf numFmtId="172" fontId="4" fillId="5" borderId="15" xfId="23" applyNumberFormat="1" applyFont="1" applyFill="1" applyBorder="1" applyAlignment="1">
      <alignment horizontal="center"/>
    </xf>
    <xf numFmtId="2" fontId="0" fillId="0" borderId="0" xfId="23" applyNumberFormat="1" applyFont="1" applyFill="1" applyBorder="1" applyAlignment="1">
      <alignment horizontal="center"/>
    </xf>
    <xf numFmtId="172" fontId="0" fillId="0" borderId="6" xfId="23" applyNumberFormat="1" applyBorder="1" applyAlignment="1">
      <alignment horizontal="center"/>
    </xf>
    <xf numFmtId="185" fontId="0" fillId="0" borderId="16" xfId="23" applyNumberFormat="1" applyFill="1" applyBorder="1" applyAlignment="1">
      <alignment horizontal="center" wrapText="1"/>
    </xf>
    <xf numFmtId="173" fontId="0" fillId="8" borderId="35" xfId="23" applyNumberFormat="1" applyFill="1" applyBorder="1" applyAlignment="1">
      <alignment horizontal="center"/>
    </xf>
    <xf numFmtId="1" fontId="5" fillId="0" borderId="0" xfId="23" applyNumberFormat="1" applyFont="1" applyFill="1" applyBorder="1" applyAlignment="1">
      <alignment horizontal="center" vertical="center" wrapText="1"/>
    </xf>
    <xf numFmtId="172" fontId="0" fillId="0" borderId="0" xfId="23" applyNumberFormat="1" applyBorder="1" applyAlignment="1">
      <alignment horizontal="center"/>
    </xf>
    <xf numFmtId="4" fontId="0" fillId="0" borderId="33" xfId="23" applyNumberFormat="1" applyFill="1" applyBorder="1" applyAlignment="1">
      <alignment horizontal="center" wrapText="1"/>
    </xf>
    <xf numFmtId="172" fontId="0" fillId="8" borderId="35" xfId="23" applyNumberFormat="1" applyFill="1" applyBorder="1" applyAlignment="1">
      <alignment horizontal="center"/>
    </xf>
    <xf numFmtId="0" fontId="0" fillId="0" borderId="0" xfId="23" applyFill="1" applyBorder="1">
      <alignment/>
    </xf>
    <xf numFmtId="172" fontId="0" fillId="0" borderId="17" xfId="23" applyNumberFormat="1" applyFill="1" applyBorder="1" applyAlignment="1">
      <alignment horizontal="center"/>
    </xf>
    <xf numFmtId="172" fontId="0" fillId="0" borderId="3" xfId="23" applyNumberFormat="1" applyFill="1" applyBorder="1" applyAlignment="1">
      <alignment horizontal="center"/>
    </xf>
    <xf numFmtId="173" fontId="0" fillId="0" borderId="0" xfId="23" applyNumberFormat="1" applyFill="1" applyBorder="1" applyAlignment="1">
      <alignment/>
    </xf>
    <xf numFmtId="172" fontId="0" fillId="0" borderId="22" xfId="23" applyNumberFormat="1" applyFill="1" applyBorder="1" applyAlignment="1">
      <alignment horizontal="center"/>
    </xf>
    <xf numFmtId="172" fontId="0" fillId="0" borderId="31" xfId="23" applyNumberFormat="1" applyFill="1" applyBorder="1" applyAlignment="1">
      <alignment horizontal="center" wrapText="1"/>
    </xf>
    <xf numFmtId="172" fontId="0" fillId="0" borderId="31" xfId="23" applyNumberFormat="1" applyBorder="1" applyAlignment="1">
      <alignment horizontal="center"/>
    </xf>
    <xf numFmtId="4" fontId="0" fillId="0" borderId="41" xfId="23" applyNumberFormat="1" applyFill="1" applyBorder="1" applyAlignment="1">
      <alignment horizontal="center" wrapText="1"/>
    </xf>
    <xf numFmtId="172" fontId="0" fillId="0" borderId="34" xfId="23" applyNumberFormat="1" applyBorder="1" applyAlignment="1">
      <alignment horizontal="center"/>
    </xf>
    <xf numFmtId="185" fontId="0" fillId="0" borderId="21" xfId="23" applyNumberFormat="1" applyFill="1" applyBorder="1" applyAlignment="1">
      <alignment horizontal="center" wrapText="1"/>
    </xf>
    <xf numFmtId="185" fontId="0" fillId="0" borderId="33" xfId="23" applyNumberFormat="1" applyFill="1" applyBorder="1" applyAlignment="1">
      <alignment horizontal="center" wrapText="1"/>
    </xf>
    <xf numFmtId="1" fontId="19" fillId="0" borderId="0" xfId="23" applyNumberFormat="1" applyFont="1" applyFill="1" applyBorder="1" applyAlignment="1">
      <alignment horizontal="center"/>
    </xf>
    <xf numFmtId="185" fontId="0" fillId="0" borderId="41" xfId="23" applyNumberFormat="1" applyFill="1" applyBorder="1" applyAlignment="1">
      <alignment horizontal="center" wrapText="1"/>
    </xf>
    <xf numFmtId="172" fontId="0" fillId="0" borderId="1" xfId="23" applyNumberFormat="1" applyFill="1" applyBorder="1" applyAlignment="1">
      <alignment horizontal="center" wrapText="1"/>
    </xf>
    <xf numFmtId="172" fontId="0" fillId="0" borderId="1" xfId="23" applyNumberFormat="1" applyBorder="1" applyAlignment="1">
      <alignment horizontal="center"/>
    </xf>
    <xf numFmtId="185" fontId="0" fillId="0" borderId="29" xfId="23" applyNumberFormat="1" applyFill="1" applyBorder="1" applyAlignment="1">
      <alignment horizontal="center" wrapText="1"/>
    </xf>
    <xf numFmtId="9" fontId="0" fillId="0" borderId="42" xfId="23" applyNumberFormat="1" applyFill="1" applyBorder="1" applyAlignment="1">
      <alignment horizontal="center"/>
    </xf>
    <xf numFmtId="1" fontId="0" fillId="0" borderId="0" xfId="23" applyNumberFormat="1" applyFill="1" applyBorder="1">
      <alignment/>
    </xf>
    <xf numFmtId="0" fontId="15" fillId="0" borderId="0" xfId="22" applyFont="1">
      <alignment/>
      <protection/>
    </xf>
    <xf numFmtId="0" fontId="0" fillId="0" borderId="0" xfId="22">
      <alignment/>
      <protection/>
    </xf>
    <xf numFmtId="49" fontId="0" fillId="0" borderId="0" xfId="22" applyNumberFormat="1">
      <alignment/>
      <protection/>
    </xf>
    <xf numFmtId="0" fontId="3" fillId="0" borderId="0" xfId="22" applyFont="1" applyAlignment="1">
      <alignment horizontal="center" vertical="center"/>
      <protection/>
    </xf>
    <xf numFmtId="15" fontId="0" fillId="0" borderId="0" xfId="22" applyNumberFormat="1">
      <alignment/>
      <protection/>
    </xf>
    <xf numFmtId="0" fontId="0" fillId="0" borderId="9" xfId="23" applyBorder="1" applyAlignment="1">
      <alignment vertical="center" wrapText="1"/>
    </xf>
    <xf numFmtId="172" fontId="0" fillId="0" borderId="5" xfId="23" applyNumberFormat="1" applyFont="1" applyBorder="1" applyAlignment="1">
      <alignment horizontal="center"/>
    </xf>
    <xf numFmtId="172" fontId="0" fillId="0" borderId="9" xfId="23" applyNumberFormat="1" applyFill="1" applyBorder="1" applyAlignment="1">
      <alignment horizontal="center"/>
    </xf>
    <xf numFmtId="0" fontId="0" fillId="9" borderId="9" xfId="23" applyFont="1" applyFill="1" applyBorder="1" applyAlignment="1">
      <alignment horizontal="left"/>
    </xf>
    <xf numFmtId="172" fontId="0" fillId="9" borderId="2" xfId="23" applyNumberFormat="1" applyFill="1" applyBorder="1" applyAlignment="1">
      <alignment horizontal="center" wrapText="1"/>
    </xf>
    <xf numFmtId="1" fontId="0" fillId="9" borderId="2" xfId="23" applyNumberFormat="1" applyFont="1" applyFill="1" applyBorder="1" applyAlignment="1">
      <alignment horizontal="center"/>
    </xf>
    <xf numFmtId="183" fontId="0" fillId="9" borderId="0" xfId="23" applyNumberFormat="1" applyFill="1" applyBorder="1" applyAlignment="1">
      <alignment horizontal="center"/>
    </xf>
    <xf numFmtId="1" fontId="0" fillId="9" borderId="10" xfId="23" applyNumberFormat="1" applyFill="1" applyBorder="1" applyAlignment="1">
      <alignment horizontal="center"/>
    </xf>
    <xf numFmtId="2" fontId="0" fillId="9" borderId="33" xfId="23" applyNumberFormat="1" applyFill="1" applyBorder="1" applyAlignment="1">
      <alignment horizontal="center"/>
    </xf>
    <xf numFmtId="10" fontId="0" fillId="9" borderId="0" xfId="23" applyNumberFormat="1" applyFill="1" applyBorder="1" applyAlignment="1">
      <alignment horizontal="center"/>
    </xf>
    <xf numFmtId="172" fontId="5" fillId="9" borderId="11" xfId="23" applyNumberFormat="1" applyFont="1" applyFill="1" applyBorder="1" applyAlignment="1">
      <alignment horizontal="center"/>
    </xf>
    <xf numFmtId="10" fontId="0" fillId="0" borderId="17" xfId="23" applyNumberFormat="1" applyFill="1" applyBorder="1" applyAlignment="1">
      <alignment horizontal="center"/>
    </xf>
    <xf numFmtId="10" fontId="0" fillId="0" borderId="43" xfId="23" applyNumberFormat="1" applyFill="1" applyBorder="1" applyAlignment="1">
      <alignment horizontal="center"/>
    </xf>
    <xf numFmtId="172" fontId="0" fillId="9" borderId="0" xfId="23" applyNumberFormat="1" applyFill="1" applyBorder="1" applyAlignment="1">
      <alignment horizontal="center" wrapText="1"/>
    </xf>
    <xf numFmtId="172" fontId="0" fillId="9" borderId="0" xfId="23" applyNumberFormat="1" applyFill="1" applyBorder="1" applyAlignment="1">
      <alignment horizontal="center"/>
    </xf>
    <xf numFmtId="4" fontId="0" fillId="9" borderId="33" xfId="23" applyNumberFormat="1" applyFill="1" applyBorder="1" applyAlignment="1">
      <alignment horizontal="center" wrapText="1"/>
    </xf>
    <xf numFmtId="1" fontId="0" fillId="0" borderId="33" xfId="23" applyNumberFormat="1" applyFont="1" applyBorder="1" applyAlignment="1">
      <alignment horizontal="center"/>
    </xf>
    <xf numFmtId="0" fontId="0" fillId="0" borderId="0" xfId="23" applyFont="1">
      <alignment/>
    </xf>
    <xf numFmtId="10" fontId="0" fillId="0" borderId="44" xfId="23" applyNumberFormat="1" applyFill="1" applyBorder="1" applyAlignment="1">
      <alignment horizontal="center"/>
    </xf>
    <xf numFmtId="172" fontId="5" fillId="6" borderId="2" xfId="23" applyNumberFormat="1" applyFont="1" applyFill="1" applyBorder="1" applyAlignment="1">
      <alignment horizontal="center"/>
    </xf>
    <xf numFmtId="172" fontId="22" fillId="9" borderId="11" xfId="23" applyNumberFormat="1" applyFont="1" applyFill="1" applyBorder="1" applyAlignment="1">
      <alignment horizontal="center"/>
    </xf>
    <xf numFmtId="0" fontId="9" fillId="0" borderId="0" xfId="0" applyFont="1" applyBorder="1" applyAlignment="1">
      <alignment horizontal="left" vertical="top" wrapText="1"/>
    </xf>
    <xf numFmtId="0" fontId="9" fillId="0" borderId="0" xfId="0" applyFont="1" applyBorder="1" applyAlignment="1">
      <alignment horizontal="justify" vertical="top" wrapText="1"/>
    </xf>
    <xf numFmtId="172" fontId="5" fillId="0" borderId="0" xfId="23" applyNumberFormat="1" applyFont="1" applyFill="1" applyBorder="1" applyAlignment="1">
      <alignment horizontal="center" wrapText="1"/>
    </xf>
    <xf numFmtId="0" fontId="5" fillId="0" borderId="7" xfId="23" applyFont="1" applyBorder="1" applyAlignment="1">
      <alignment horizontal="center"/>
    </xf>
    <xf numFmtId="0" fontId="5" fillId="0" borderId="6" xfId="23" applyFont="1" applyBorder="1" applyAlignment="1">
      <alignment horizontal="center"/>
    </xf>
    <xf numFmtId="0" fontId="5" fillId="0" borderId="16" xfId="23" applyFont="1" applyBorder="1" applyAlignment="1">
      <alignment horizontal="center"/>
    </xf>
    <xf numFmtId="0" fontId="6" fillId="2" borderId="0" xfId="23" applyFont="1" applyFill="1" applyAlignment="1">
      <alignment horizontal="center" vertical="center"/>
    </xf>
    <xf numFmtId="1" fontId="0" fillId="0" borderId="10" xfId="23" applyNumberFormat="1" applyFont="1" applyBorder="1" applyAlignment="1">
      <alignment horizontal="center"/>
    </xf>
    <xf numFmtId="1" fontId="0" fillId="0" borderId="0" xfId="23" applyNumberFormat="1" applyFont="1" applyBorder="1" applyAlignment="1">
      <alignment horizontal="center"/>
    </xf>
    <xf numFmtId="2" fontId="12" fillId="0" borderId="14" xfId="23" applyNumberFormat="1" applyFont="1" applyFill="1" applyBorder="1" applyAlignment="1">
      <alignment horizontal="center"/>
    </xf>
    <xf numFmtId="2" fontId="12" fillId="0" borderId="1" xfId="23" applyNumberFormat="1" applyFont="1" applyFill="1" applyBorder="1" applyAlignment="1">
      <alignment horizontal="center"/>
    </xf>
    <xf numFmtId="2" fontId="12" fillId="0" borderId="29" xfId="23" applyNumberFormat="1" applyFont="1" applyFill="1" applyBorder="1" applyAlignment="1">
      <alignment horizontal="center"/>
    </xf>
    <xf numFmtId="0" fontId="5" fillId="0" borderId="10" xfId="23" applyFont="1" applyBorder="1" applyAlignment="1">
      <alignment horizontal="center"/>
    </xf>
    <xf numFmtId="0" fontId="5" fillId="0" borderId="0" xfId="23" applyFont="1" applyBorder="1" applyAlignment="1">
      <alignment horizontal="center"/>
    </xf>
    <xf numFmtId="0" fontId="5" fillId="0" borderId="33" xfId="23" applyFont="1" applyBorder="1" applyAlignment="1">
      <alignment horizontal="center"/>
    </xf>
    <xf numFmtId="0" fontId="0" fillId="0" borderId="10" xfId="23" applyFont="1" applyBorder="1" applyAlignment="1">
      <alignment horizontal="center"/>
    </xf>
    <xf numFmtId="0" fontId="0" fillId="0" borderId="0" xfId="23" applyFont="1" applyBorder="1" applyAlignment="1">
      <alignment horizontal="center"/>
    </xf>
    <xf numFmtId="0" fontId="0" fillId="0" borderId="33" xfId="23" applyFont="1" applyBorder="1" applyAlignment="1">
      <alignment horizontal="center"/>
    </xf>
    <xf numFmtId="0" fontId="17" fillId="10" borderId="0" xfId="23" applyFont="1" applyFill="1" applyBorder="1" applyAlignment="1">
      <alignment horizontal="center"/>
    </xf>
    <xf numFmtId="0" fontId="15" fillId="10" borderId="0" xfId="23" applyFont="1" applyFill="1" applyBorder="1" applyAlignment="1">
      <alignment horizontal="center"/>
    </xf>
    <xf numFmtId="2" fontId="12" fillId="0" borderId="10" xfId="23" applyNumberFormat="1" applyFont="1" applyBorder="1" applyAlignment="1">
      <alignment horizontal="center"/>
    </xf>
    <xf numFmtId="2" fontId="12" fillId="0" borderId="0" xfId="23" applyNumberFormat="1" applyFont="1" applyBorder="1" applyAlignment="1">
      <alignment horizontal="center"/>
    </xf>
    <xf numFmtId="2" fontId="12" fillId="0" borderId="33" xfId="23" applyNumberFormat="1" applyFont="1" applyBorder="1" applyAlignment="1">
      <alignment horizontal="center"/>
    </xf>
    <xf numFmtId="0" fontId="5" fillId="0" borderId="10" xfId="23" applyFont="1" applyBorder="1" applyAlignment="1">
      <alignment horizontal="center" vertical="center"/>
    </xf>
    <xf numFmtId="0" fontId="5" fillId="0" borderId="0" xfId="23" applyFont="1" applyBorder="1" applyAlignment="1">
      <alignment horizontal="center" vertical="center"/>
    </xf>
    <xf numFmtId="0" fontId="5" fillId="0" borderId="33" xfId="23" applyFont="1" applyBorder="1" applyAlignment="1">
      <alignment horizontal="center" vertical="center"/>
    </xf>
    <xf numFmtId="1" fontId="0" fillId="0" borderId="10" xfId="23" applyNumberFormat="1" applyFont="1" applyBorder="1" applyAlignment="1">
      <alignment horizontal="center" vertical="center"/>
    </xf>
    <xf numFmtId="1" fontId="0" fillId="0" borderId="0" xfId="23" applyNumberFormat="1" applyFont="1" applyBorder="1" applyAlignment="1">
      <alignment horizontal="center" vertical="center"/>
    </xf>
    <xf numFmtId="1" fontId="0" fillId="0" borderId="33" xfId="23" applyNumberFormat="1" applyFont="1" applyBorder="1" applyAlignment="1">
      <alignment horizontal="center" vertical="center"/>
    </xf>
    <xf numFmtId="0" fontId="3" fillId="0" borderId="0" xfId="22" applyFont="1" applyAlignment="1">
      <alignment horizontal="left" wrapText="1"/>
      <protection/>
    </xf>
    <xf numFmtId="0" fontId="3" fillId="0" borderId="0" xfId="22" applyFont="1" applyAlignment="1">
      <alignment horizontal="left"/>
      <protection/>
    </xf>
  </cellXfs>
  <cellStyles count="11">
    <cellStyle name="Normal" xfId="0"/>
    <cellStyle name="_x0000__x0001__x0001_ _x0000_§_x0000_Ð_x0002__x0000__x0000__x0000__x0000_g_x0017__x0000__x0000_f_x0006__x0010__x0000__x0000__x0000__x0000__x0000_ÿÿÿÿÿÿÿÿÿÿÿÿÿÿÿ" xfId="15"/>
    <cellStyle name="Comma" xfId="16"/>
    <cellStyle name="Comma [0]" xfId="17"/>
    <cellStyle name="Currency" xfId="18"/>
    <cellStyle name="Currency [0]" xfId="19"/>
    <cellStyle name="Followed Hyperlink" xfId="20"/>
    <cellStyle name="Hyperlink" xfId="21"/>
    <cellStyle name="Normal_22-04-0002-13-0000_WRAN_Reference_Model" xfId="22"/>
    <cellStyle name="Normal_Sensing Thresholds-r7"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20</xdr:row>
      <xdr:rowOff>19050</xdr:rowOff>
    </xdr:from>
    <xdr:to>
      <xdr:col>8</xdr:col>
      <xdr:colOff>571500</xdr:colOff>
      <xdr:row>29</xdr:row>
      <xdr:rowOff>57150</xdr:rowOff>
    </xdr:to>
    <xdr:sp>
      <xdr:nvSpPr>
        <xdr:cNvPr id="1" name="TextBox 1"/>
        <xdr:cNvSpPr txBox="1">
          <a:spLocks noChangeArrowheads="1"/>
        </xdr:cNvSpPr>
      </xdr:nvSpPr>
      <xdr:spPr>
        <a:xfrm>
          <a:off x="876300" y="4219575"/>
          <a:ext cx="4924425" cy="1543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spreadsheet is an attempt at rationalizing the key parameters related to sensing incumbent servives operating in the TV bands so that interference generated by Wireless Regional Area Networks (WRAN) can be avoided.  The spreadsheet begins with the reference sensing levels proposed by 802.18 in its response to the FCC NPRM 04-186 for the various types of incumbent services, proposes a model for the RF front-end of the sensor and describes mathematical equations that relate these parameters to the required sensing dwell time from a theoretical point of view as well as an empirical approach where the performance of various sensing schemes would be known.
</a:t>
          </a:r>
        </a:p>
      </xdr:txBody>
    </xdr:sp>
    <xdr:clientData/>
  </xdr:twoCellAnchor>
  <xdr:twoCellAnchor>
    <xdr:from>
      <xdr:col>1</xdr:col>
      <xdr:colOff>0</xdr:colOff>
      <xdr:row>30</xdr:row>
      <xdr:rowOff>19050</xdr:rowOff>
    </xdr:from>
    <xdr:to>
      <xdr:col>8</xdr:col>
      <xdr:colOff>571500</xdr:colOff>
      <xdr:row>64</xdr:row>
      <xdr:rowOff>19050</xdr:rowOff>
    </xdr:to>
    <xdr:sp>
      <xdr:nvSpPr>
        <xdr:cNvPr id="2" name="TextBox 2"/>
        <xdr:cNvSpPr txBox="1">
          <a:spLocks noChangeArrowheads="1"/>
        </xdr:cNvSpPr>
      </xdr:nvSpPr>
      <xdr:spPr>
        <a:xfrm>
          <a:off x="876300" y="5915025"/>
          <a:ext cx="4924425"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&lt;http://standards.ieee.org/guides/bylaws/sb-bylaws.pdf&gt;,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&lt;carl.stevenson@ieee.org&gt;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xdr:colOff>
      <xdr:row>27</xdr:row>
      <xdr:rowOff>9525</xdr:rowOff>
    </xdr:from>
    <xdr:to>
      <xdr:col>10</xdr:col>
      <xdr:colOff>219075</xdr:colOff>
      <xdr:row>29</xdr:row>
      <xdr:rowOff>9525</xdr:rowOff>
    </xdr:to>
    <xdr:pic>
      <xdr:nvPicPr>
        <xdr:cNvPr id="1" name="Picture 22"/>
        <xdr:cNvPicPr preferRelativeResize="1">
          <a:picLocks noChangeAspect="1"/>
        </xdr:cNvPicPr>
      </xdr:nvPicPr>
      <xdr:blipFill>
        <a:blip r:embed="rId1"/>
        <a:srcRect r="7044"/>
        <a:stretch>
          <a:fillRect/>
        </a:stretch>
      </xdr:blipFill>
      <xdr:spPr>
        <a:xfrm>
          <a:off x="6953250" y="5324475"/>
          <a:ext cx="2266950" cy="323850"/>
        </a:xfrm>
        <a:prstGeom prst="rect">
          <a:avLst/>
        </a:prstGeom>
        <a:noFill/>
        <a:ln w="9525" cmpd="sng">
          <a:solidFill>
            <a:srgbClr val="FF0000"/>
          </a:solidFill>
          <a:headEnd type="none"/>
          <a:tailEnd type="none"/>
        </a:ln>
      </xdr:spPr>
    </xdr:pic>
    <xdr:clientData/>
  </xdr:twoCellAnchor>
  <xdr:twoCellAnchor>
    <xdr:from>
      <xdr:col>5</xdr:col>
      <xdr:colOff>0</xdr:colOff>
      <xdr:row>26</xdr:row>
      <xdr:rowOff>57150</xdr:rowOff>
    </xdr:from>
    <xdr:to>
      <xdr:col>7</xdr:col>
      <xdr:colOff>19050</xdr:colOff>
      <xdr:row>36</xdr:row>
      <xdr:rowOff>9525</xdr:rowOff>
    </xdr:to>
    <xdr:sp>
      <xdr:nvSpPr>
        <xdr:cNvPr id="2" name="Line 25"/>
        <xdr:cNvSpPr>
          <a:spLocks/>
        </xdr:cNvSpPr>
      </xdr:nvSpPr>
      <xdr:spPr>
        <a:xfrm flipV="1">
          <a:off x="5610225" y="5200650"/>
          <a:ext cx="1352550" cy="1638300"/>
        </a:xfrm>
        <a:prstGeom prst="line">
          <a:avLst/>
        </a:prstGeom>
        <a:noFill/>
        <a:ln w="22225" cmpd="sng">
          <a:solidFill>
            <a:srgbClr val="FF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19050</xdr:colOff>
      <xdr:row>33</xdr:row>
      <xdr:rowOff>9525</xdr:rowOff>
    </xdr:from>
    <xdr:to>
      <xdr:col>10</xdr:col>
      <xdr:colOff>238125</xdr:colOff>
      <xdr:row>35</xdr:row>
      <xdr:rowOff>0</xdr:rowOff>
    </xdr:to>
    <xdr:pic>
      <xdr:nvPicPr>
        <xdr:cNvPr id="3" name="Picture 28"/>
        <xdr:cNvPicPr preferRelativeResize="1">
          <a:picLocks noChangeAspect="1"/>
        </xdr:cNvPicPr>
      </xdr:nvPicPr>
      <xdr:blipFill>
        <a:blip r:embed="rId2"/>
        <a:stretch>
          <a:fillRect/>
        </a:stretch>
      </xdr:blipFill>
      <xdr:spPr>
        <a:xfrm>
          <a:off x="6962775" y="6305550"/>
          <a:ext cx="2276475" cy="323850"/>
        </a:xfrm>
        <a:prstGeom prst="rect">
          <a:avLst/>
        </a:prstGeom>
        <a:noFill/>
        <a:ln w="9525" cmpd="sng">
          <a:solidFill>
            <a:srgbClr val="FF0000"/>
          </a:solidFill>
          <a:headEnd type="none"/>
          <a:tailEnd type="none"/>
        </a:ln>
      </xdr:spPr>
    </xdr:pic>
    <xdr:clientData/>
  </xdr:twoCellAnchor>
  <xdr:twoCellAnchor>
    <xdr:from>
      <xdr:col>4</xdr:col>
      <xdr:colOff>685800</xdr:colOff>
      <xdr:row>32</xdr:row>
      <xdr:rowOff>76200</xdr:rowOff>
    </xdr:from>
    <xdr:to>
      <xdr:col>7</xdr:col>
      <xdr:colOff>38100</xdr:colOff>
      <xdr:row>36</xdr:row>
      <xdr:rowOff>9525</xdr:rowOff>
    </xdr:to>
    <xdr:sp>
      <xdr:nvSpPr>
        <xdr:cNvPr id="4" name="Line 36"/>
        <xdr:cNvSpPr>
          <a:spLocks/>
        </xdr:cNvSpPr>
      </xdr:nvSpPr>
      <xdr:spPr>
        <a:xfrm flipV="1">
          <a:off x="5591175" y="6210300"/>
          <a:ext cx="1390650" cy="628650"/>
        </a:xfrm>
        <a:prstGeom prst="line">
          <a:avLst/>
        </a:prstGeom>
        <a:noFill/>
        <a:ln w="15875" cmpd="sng">
          <a:solidFill>
            <a:srgbClr val="FF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6"/>
  <sheetViews>
    <sheetView tabSelected="1" zoomScale="75" zoomScaleNormal="75" workbookViewId="0" topLeftCell="A1">
      <selection activeCell="G2" sqref="G2"/>
    </sheetView>
  </sheetViews>
  <sheetFormatPr defaultColWidth="9.140625" defaultRowHeight="12.75"/>
  <cols>
    <col min="1" max="1" width="13.140625" style="1" customWidth="1"/>
    <col min="2" max="2" width="10.421875" style="1" customWidth="1"/>
    <col min="3" max="16384" width="9.140625" style="1" customWidth="1"/>
  </cols>
  <sheetData>
    <row r="1" ht="18.75">
      <c r="B1" s="2" t="s">
        <v>0</v>
      </c>
    </row>
    <row r="2" ht="18.75">
      <c r="B2" s="2" t="s">
        <v>1</v>
      </c>
    </row>
    <row r="3" spans="1:2" ht="18.75">
      <c r="A3" s="1" t="s">
        <v>2</v>
      </c>
      <c r="B3" s="2" t="s">
        <v>99</v>
      </c>
    </row>
    <row r="4" spans="1:6" ht="18.75">
      <c r="A4" s="1" t="s">
        <v>3</v>
      </c>
      <c r="B4" s="3" t="s">
        <v>22</v>
      </c>
      <c r="F4" s="4"/>
    </row>
    <row r="5" spans="1:2" ht="15.75">
      <c r="A5" s="1" t="s">
        <v>4</v>
      </c>
      <c r="B5" s="5" t="s">
        <v>21</v>
      </c>
    </row>
    <row r="6" s="6" customFormat="1" ht="16.5" thickBot="1"/>
    <row r="7" spans="1:2" s="7" customFormat="1" ht="18.75">
      <c r="A7" s="7" t="s">
        <v>5</v>
      </c>
      <c r="B7" s="8" t="s">
        <v>23</v>
      </c>
    </row>
    <row r="8" spans="1:2" ht="15.75">
      <c r="A8" s="1" t="s">
        <v>6</v>
      </c>
      <c r="B8" s="5" t="s">
        <v>24</v>
      </c>
    </row>
    <row r="9" spans="1:9" ht="15.75">
      <c r="A9" s="1" t="s">
        <v>7</v>
      </c>
      <c r="B9" s="5" t="s">
        <v>8</v>
      </c>
      <c r="C9" s="5" t="s">
        <v>9</v>
      </c>
      <c r="D9" s="5"/>
      <c r="E9" s="5"/>
      <c r="F9" s="5"/>
      <c r="G9" s="5"/>
      <c r="H9" s="5"/>
      <c r="I9" s="5"/>
    </row>
    <row r="10" spans="2:9" ht="15.75">
      <c r="B10" s="5" t="s">
        <v>10</v>
      </c>
      <c r="C10" s="5" t="s">
        <v>26</v>
      </c>
      <c r="D10" s="5"/>
      <c r="E10" s="5"/>
      <c r="F10" s="5"/>
      <c r="G10" s="5"/>
      <c r="H10" s="5"/>
      <c r="I10" s="5"/>
    </row>
    <row r="11" spans="2:9" ht="15.75">
      <c r="B11" s="5" t="s">
        <v>11</v>
      </c>
      <c r="C11" s="5" t="s">
        <v>12</v>
      </c>
      <c r="D11" s="5"/>
      <c r="E11" s="5"/>
      <c r="F11" s="5"/>
      <c r="G11" s="5"/>
      <c r="H11" s="5"/>
      <c r="I11" s="5"/>
    </row>
    <row r="12" spans="2:9" ht="15.75">
      <c r="B12" s="5" t="s">
        <v>13</v>
      </c>
      <c r="C12" s="5" t="s">
        <v>14</v>
      </c>
      <c r="D12" s="5"/>
      <c r="E12" s="5"/>
      <c r="F12" s="5"/>
      <c r="G12" s="5"/>
      <c r="H12" s="5"/>
      <c r="I12" s="5"/>
    </row>
    <row r="13" spans="2:9" ht="15.75">
      <c r="B13" s="5" t="s">
        <v>15</v>
      </c>
      <c r="C13" s="5" t="s">
        <v>16</v>
      </c>
      <c r="D13" s="5"/>
      <c r="E13" s="5"/>
      <c r="F13" s="5"/>
      <c r="G13" s="5"/>
      <c r="H13" s="5"/>
      <c r="I13" s="5"/>
    </row>
    <row r="14" spans="2:9" ht="15.75">
      <c r="B14" s="5" t="s">
        <v>17</v>
      </c>
      <c r="C14" s="9" t="s">
        <v>18</v>
      </c>
      <c r="D14" s="5"/>
      <c r="E14" s="5"/>
      <c r="F14" s="5"/>
      <c r="G14" s="5"/>
      <c r="H14" s="5"/>
      <c r="I14" s="5"/>
    </row>
    <row r="15" spans="2:9" ht="15.75">
      <c r="B15" s="5" t="s">
        <v>8</v>
      </c>
      <c r="C15" s="5" t="s">
        <v>25</v>
      </c>
      <c r="D15" s="5"/>
      <c r="E15" s="5"/>
      <c r="F15" s="5"/>
      <c r="G15" s="5"/>
      <c r="H15" s="5"/>
      <c r="I15" s="5"/>
    </row>
    <row r="16" spans="2:9" ht="15.75">
      <c r="B16" s="5" t="s">
        <v>10</v>
      </c>
      <c r="C16" s="5" t="s">
        <v>27</v>
      </c>
      <c r="D16" s="5"/>
      <c r="E16" s="5"/>
      <c r="F16" s="5"/>
      <c r="G16" s="5"/>
      <c r="H16" s="5"/>
      <c r="I16" s="5"/>
    </row>
    <row r="17" spans="2:9" ht="15.75">
      <c r="B17" s="5" t="s">
        <v>11</v>
      </c>
      <c r="C17" s="5"/>
      <c r="D17" s="5"/>
      <c r="E17" s="5"/>
      <c r="F17" s="5"/>
      <c r="G17" s="5"/>
      <c r="H17" s="5"/>
      <c r="I17" s="5"/>
    </row>
    <row r="18" spans="2:9" ht="15.75">
      <c r="B18" s="5" t="s">
        <v>13</v>
      </c>
      <c r="C18" s="5"/>
      <c r="D18" s="5"/>
      <c r="E18" s="5"/>
      <c r="F18" s="5"/>
      <c r="G18" s="5"/>
      <c r="H18" s="5"/>
      <c r="I18" s="5"/>
    </row>
    <row r="19" spans="2:9" ht="15.75">
      <c r="B19" s="5" t="s">
        <v>15</v>
      </c>
      <c r="C19" s="5"/>
      <c r="D19" s="5"/>
      <c r="E19" s="5"/>
      <c r="F19" s="5"/>
      <c r="G19" s="5"/>
      <c r="H19" s="5"/>
      <c r="I19" s="5"/>
    </row>
    <row r="20" spans="2:9" ht="15.75">
      <c r="B20" s="5" t="s">
        <v>17</v>
      </c>
      <c r="C20" t="s">
        <v>28</v>
      </c>
      <c r="D20" s="5"/>
      <c r="E20" s="5"/>
      <c r="F20" s="5"/>
      <c r="G20" s="5"/>
      <c r="H20" s="5"/>
      <c r="I20" s="5"/>
    </row>
    <row r="21" ht="15.75">
      <c r="A21" s="1" t="s">
        <v>19</v>
      </c>
    </row>
    <row r="31" spans="1:5" ht="15.75" customHeight="1">
      <c r="A31" s="10"/>
      <c r="B31" s="258"/>
      <c r="C31" s="258"/>
      <c r="D31" s="258"/>
      <c r="E31" s="258"/>
    </row>
    <row r="32" spans="1:5" ht="15.75" customHeight="1">
      <c r="A32" s="7"/>
      <c r="B32" s="11"/>
      <c r="C32" s="11"/>
      <c r="D32" s="11"/>
      <c r="E32" s="11"/>
    </row>
    <row r="33" spans="1:5" ht="15.75" customHeight="1">
      <c r="A33" s="7"/>
      <c r="B33" s="257"/>
      <c r="C33" s="257"/>
      <c r="D33" s="257"/>
      <c r="E33" s="257"/>
    </row>
    <row r="34" spans="1:5" ht="15.75" customHeight="1">
      <c r="A34" s="7"/>
      <c r="B34" s="11"/>
      <c r="C34" s="11"/>
      <c r="D34" s="11"/>
      <c r="E34" s="11"/>
    </row>
    <row r="35" spans="1:5" ht="15.75" customHeight="1">
      <c r="A35" s="7"/>
      <c r="B35" s="257"/>
      <c r="C35" s="257"/>
      <c r="D35" s="257"/>
      <c r="E35" s="257"/>
    </row>
    <row r="36" spans="2:5" ht="15.75" customHeight="1">
      <c r="B36" s="257"/>
      <c r="C36" s="257"/>
      <c r="D36" s="257"/>
      <c r="E36" s="257"/>
    </row>
    <row r="37" ht="15.75" customHeight="1"/>
    <row r="38" ht="15.75" customHeight="1"/>
    <row r="39" ht="15.75" customHeight="1"/>
  </sheetData>
  <mergeCells count="3">
    <mergeCell ref="B33:E33"/>
    <mergeCell ref="B31:E31"/>
    <mergeCell ref="B35:E36"/>
  </mergeCells>
  <hyperlinks>
    <hyperlink ref="C14" r:id="rId1" display="gerald.chouinard@crc.ca"/>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3"/>
  <dimension ref="A1:Z81"/>
  <sheetViews>
    <sheetView workbookViewId="0" topLeftCell="A36">
      <selection activeCell="A55" sqref="A55"/>
    </sheetView>
  </sheetViews>
  <sheetFormatPr defaultColWidth="9.140625" defaultRowHeight="12.75"/>
  <cols>
    <col min="1" max="1" width="42.57421875" style="14" customWidth="1"/>
    <col min="2" max="2" width="10.140625" style="14" customWidth="1"/>
    <col min="3" max="3" width="10.57421875" style="14" customWidth="1"/>
    <col min="4" max="4" width="10.28125" style="14" customWidth="1"/>
    <col min="5" max="5" width="10.57421875" style="14" customWidth="1"/>
    <col min="6" max="6" width="10.7109375" style="14" customWidth="1"/>
    <col min="7" max="7" width="9.28125" style="14" customWidth="1"/>
    <col min="8" max="8" width="12.140625" style="14" customWidth="1"/>
    <col min="9" max="9" width="11.8515625" style="14" customWidth="1"/>
    <col min="10" max="10" width="6.8515625" style="14" customWidth="1"/>
    <col min="11" max="11" width="11.00390625" style="14" customWidth="1"/>
    <col min="12" max="12" width="5.140625" style="14" customWidth="1"/>
    <col min="13" max="13" width="10.140625" style="14" customWidth="1"/>
    <col min="14" max="14" width="11.421875" style="15" customWidth="1"/>
    <col min="15" max="15" width="7.57421875" style="14" customWidth="1"/>
    <col min="16" max="16" width="8.8515625" style="14" customWidth="1"/>
    <col min="17" max="21" width="7.57421875" style="14" customWidth="1"/>
    <col min="22" max="22" width="10.28125" style="14" customWidth="1"/>
    <col min="23" max="26" width="7.57421875" style="14" customWidth="1"/>
    <col min="27" max="16384" width="9.140625" style="14" customWidth="1"/>
  </cols>
  <sheetData>
    <row r="1" spans="1:10" ht="28.5" customHeight="1">
      <c r="A1" s="263" t="s">
        <v>29</v>
      </c>
      <c r="B1" s="263"/>
      <c r="C1" s="263"/>
      <c r="D1" s="263"/>
      <c r="E1" s="263"/>
      <c r="F1" s="263"/>
      <c r="G1" s="263"/>
      <c r="H1" s="263"/>
      <c r="I1" s="12"/>
      <c r="J1" s="13"/>
    </row>
    <row r="2" spans="1:26" ht="13.5" customHeight="1">
      <c r="A2" s="16" t="s">
        <v>30</v>
      </c>
      <c r="B2" s="17">
        <f>IF(AND(E2&gt;13,E2&lt;52),$E$2*6+389,"ERROR")</f>
        <v>617</v>
      </c>
      <c r="D2" s="18" t="s">
        <v>31</v>
      </c>
      <c r="E2" s="19">
        <v>38</v>
      </c>
      <c r="J2" s="20"/>
      <c r="K2" s="21"/>
      <c r="L2" s="21"/>
      <c r="M2" s="21"/>
      <c r="N2" s="22"/>
      <c r="O2" s="20"/>
      <c r="P2" s="20"/>
      <c r="Q2" s="20"/>
      <c r="R2" s="20"/>
      <c r="S2" s="20"/>
      <c r="T2" s="20"/>
      <c r="U2" s="20"/>
      <c r="V2" s="20"/>
      <c r="W2" s="20"/>
      <c r="X2" s="20"/>
      <c r="Y2" s="20"/>
      <c r="Z2" s="20"/>
    </row>
    <row r="3" spans="1:26" ht="13.5" customHeight="1">
      <c r="A3" s="16"/>
      <c r="B3" s="23"/>
      <c r="J3" s="20"/>
      <c r="K3" s="24"/>
      <c r="U3" s="25"/>
      <c r="V3" s="25"/>
      <c r="W3" s="25"/>
      <c r="X3" s="25"/>
      <c r="Y3" s="25"/>
      <c r="Z3" s="25"/>
    </row>
    <row r="4" spans="1:26" ht="13.5" customHeight="1" thickBot="1">
      <c r="A4" s="23" t="s">
        <v>32</v>
      </c>
      <c r="B4" s="26" t="s">
        <v>33</v>
      </c>
      <c r="C4" s="23" t="s">
        <v>34</v>
      </c>
      <c r="D4" s="26" t="s">
        <v>35</v>
      </c>
      <c r="E4" s="27" t="s">
        <v>36</v>
      </c>
      <c r="J4" s="20"/>
      <c r="K4" s="24"/>
      <c r="U4" s="25"/>
      <c r="V4" s="25"/>
      <c r="W4" s="25"/>
      <c r="X4" s="25"/>
      <c r="Y4" s="25"/>
      <c r="Z4" s="25"/>
    </row>
    <row r="5" spans="1:26" ht="13.5" customHeight="1">
      <c r="A5" s="28" t="s">
        <v>37</v>
      </c>
      <c r="B5" s="29">
        <v>-116</v>
      </c>
      <c r="C5" s="30">
        <v>-94</v>
      </c>
      <c r="D5" s="31">
        <v>-107</v>
      </c>
      <c r="E5" s="32">
        <v>-120</v>
      </c>
      <c r="J5" s="20"/>
      <c r="K5" s="24"/>
      <c r="U5" s="25"/>
      <c r="V5" s="25"/>
      <c r="W5" s="25"/>
      <c r="X5" s="25"/>
      <c r="Y5" s="25"/>
      <c r="Z5" s="25"/>
    </row>
    <row r="6" spans="1:26" ht="13.5" customHeight="1">
      <c r="A6" s="33" t="s">
        <v>38</v>
      </c>
      <c r="B6" s="34">
        <v>6</v>
      </c>
      <c r="C6" s="35">
        <v>6</v>
      </c>
      <c r="D6" s="36">
        <v>0.2</v>
      </c>
      <c r="E6" s="37">
        <v>0.01</v>
      </c>
      <c r="J6" s="20"/>
      <c r="K6" s="24"/>
      <c r="U6" s="25"/>
      <c r="V6" s="25"/>
      <c r="W6" s="25"/>
      <c r="X6" s="25"/>
      <c r="Y6" s="25"/>
      <c r="Z6" s="25"/>
    </row>
    <row r="7" spans="1:26" ht="13.5" customHeight="1">
      <c r="A7" s="33" t="s">
        <v>39</v>
      </c>
      <c r="B7" s="34">
        <v>0</v>
      </c>
      <c r="C7" s="35">
        <v>0</v>
      </c>
      <c r="D7" s="36">
        <v>0</v>
      </c>
      <c r="E7" s="37">
        <v>0</v>
      </c>
      <c r="J7" s="20"/>
      <c r="K7" s="24"/>
      <c r="U7" s="25"/>
      <c r="V7" s="25"/>
      <c r="W7" s="25"/>
      <c r="X7" s="25"/>
      <c r="Y7" s="25"/>
      <c r="Z7" s="25"/>
    </row>
    <row r="8" spans="1:26" ht="13.5" customHeight="1">
      <c r="A8" s="38" t="s">
        <v>40</v>
      </c>
      <c r="B8" s="39">
        <f>(300/$B$2)^2/(4*PI())</f>
        <v>0.01881318461824558</v>
      </c>
      <c r="C8" s="40">
        <f>(300/$B$2)^2/(4*PI())</f>
        <v>0.01881318461824558</v>
      </c>
      <c r="D8" s="41">
        <f>(300/$B$2)^2/(4*PI())</f>
        <v>0.01881318461824558</v>
      </c>
      <c r="E8" s="42">
        <f>(300/$B$2)^2/(4*PI())</f>
        <v>0.01881318461824558</v>
      </c>
      <c r="J8" s="20"/>
      <c r="K8" s="24"/>
      <c r="U8" s="25"/>
      <c r="V8" s="25"/>
      <c r="W8" s="25"/>
      <c r="X8" s="25"/>
      <c r="Y8" s="25"/>
      <c r="Z8" s="25"/>
    </row>
    <row r="9" spans="1:26" ht="13.5" customHeight="1">
      <c r="A9" s="43" t="s">
        <v>41</v>
      </c>
      <c r="B9" s="44">
        <f>(B5-30)-B7-10*LOG10(B8)</f>
        <v>-128.74462317350745</v>
      </c>
      <c r="C9" s="45">
        <f>(C5-30)-C7-10*LOG10(C8)</f>
        <v>-106.74462317350745</v>
      </c>
      <c r="D9" s="46">
        <f>(D5-30)-D7-10*LOG10(D8)</f>
        <v>-119.74462317350745</v>
      </c>
      <c r="E9" s="47">
        <f>(E5-30)-E7-10*LOG10(E8)</f>
        <v>-132.74462317350745</v>
      </c>
      <c r="K9" s="24"/>
      <c r="U9" s="25"/>
      <c r="V9" s="25"/>
      <c r="W9" s="25"/>
      <c r="X9" s="25"/>
      <c r="Y9" s="25"/>
      <c r="Z9" s="25"/>
    </row>
    <row r="10" spans="1:26" ht="13.5" customHeight="1" thickBot="1">
      <c r="A10" s="48" t="s">
        <v>42</v>
      </c>
      <c r="B10" s="49">
        <f>B9+145.8</f>
        <v>17.055376826492562</v>
      </c>
      <c r="C10" s="50">
        <f>C9+145.8</f>
        <v>39.05537682649256</v>
      </c>
      <c r="D10" s="51">
        <f>D9+145.8</f>
        <v>26.055376826492562</v>
      </c>
      <c r="E10" s="52">
        <f>E9+145.8</f>
        <v>13.055376826492562</v>
      </c>
      <c r="J10" s="20"/>
      <c r="K10" s="24"/>
      <c r="U10" s="25"/>
      <c r="V10" s="25"/>
      <c r="W10" s="25"/>
      <c r="X10" s="25"/>
      <c r="Y10" s="25"/>
      <c r="Z10" s="25"/>
    </row>
    <row r="11" spans="1:26" ht="13.5" customHeight="1" thickBot="1">
      <c r="A11" s="16"/>
      <c r="B11" s="23"/>
      <c r="C11" s="53"/>
      <c r="D11" s="53"/>
      <c r="E11" s="53"/>
      <c r="J11" s="20"/>
      <c r="K11" s="24"/>
      <c r="U11" s="25"/>
      <c r="V11" s="25"/>
      <c r="W11" s="25"/>
      <c r="X11" s="25"/>
      <c r="Y11" s="25"/>
      <c r="Z11" s="25"/>
    </row>
    <row r="12" spans="1:26" ht="13.5" customHeight="1">
      <c r="A12" s="54" t="s">
        <v>43</v>
      </c>
      <c r="B12" s="237">
        <f>41-20*LOG10(615/$B$2)</f>
        <v>41.0282009651565</v>
      </c>
      <c r="C12" s="206">
        <f>64-20*LOG10(615/$B$2)</f>
        <v>64.0282009651565</v>
      </c>
      <c r="D12" s="55">
        <f>(-26.8-30)-(6+10*LOG10(200/6000))-107.8-20+145.8</f>
        <v>-30.028787452803357</v>
      </c>
      <c r="E12" s="56">
        <f>(16.3-30)-(6+10*LOG10(200/6000))-107.8-20+145.8</f>
        <v>13.071212547196637</v>
      </c>
      <c r="F12" s="57" t="s">
        <v>44</v>
      </c>
      <c r="U12" s="25"/>
      <c r="V12" s="25"/>
      <c r="W12" s="25"/>
      <c r="X12" s="25"/>
      <c r="Y12" s="25"/>
      <c r="Z12" s="25"/>
    </row>
    <row r="13" spans="1:26" ht="13.5" customHeight="1">
      <c r="A13" s="58" t="s">
        <v>45</v>
      </c>
      <c r="B13" s="59">
        <f>B10</f>
        <v>17.055376826492562</v>
      </c>
      <c r="C13" s="60">
        <f>C10</f>
        <v>39.05537682649256</v>
      </c>
      <c r="D13" s="61">
        <f>D10</f>
        <v>26.055376826492562</v>
      </c>
      <c r="E13" s="62">
        <f>E10</f>
        <v>13.055376826492562</v>
      </c>
      <c r="F13" s="63" t="s">
        <v>44</v>
      </c>
      <c r="U13" s="25"/>
      <c r="V13" s="25"/>
      <c r="W13" s="25"/>
      <c r="X13" s="25"/>
      <c r="Y13" s="25"/>
      <c r="Z13" s="25"/>
    </row>
    <row r="14" spans="1:26" ht="13.5" customHeight="1" thickBot="1">
      <c r="A14" s="64" t="s">
        <v>46</v>
      </c>
      <c r="B14" s="49">
        <f>B12-B10</f>
        <v>23.97282413866394</v>
      </c>
      <c r="C14" s="51">
        <f>C12-C10</f>
        <v>24.97282413866394</v>
      </c>
      <c r="D14" s="51">
        <f>D12-D10</f>
        <v>-56.08416427929592</v>
      </c>
      <c r="E14" s="52">
        <f>E12-E10</f>
        <v>0.01583572070407513</v>
      </c>
      <c r="F14" s="65" t="s">
        <v>20</v>
      </c>
      <c r="U14" s="25"/>
      <c r="V14" s="25"/>
      <c r="W14" s="25"/>
      <c r="X14" s="25"/>
      <c r="Y14" s="25"/>
      <c r="Z14" s="25"/>
    </row>
    <row r="15" spans="1:26" ht="13.5" customHeight="1">
      <c r="A15" s="66"/>
      <c r="B15" s="16"/>
      <c r="C15" s="67"/>
      <c r="J15" s="20"/>
      <c r="K15" s="24"/>
      <c r="U15" s="21"/>
      <c r="V15" s="68"/>
      <c r="W15" s="68"/>
      <c r="X15" s="68"/>
      <c r="Y15" s="68"/>
      <c r="Z15" s="68"/>
    </row>
    <row r="16" spans="1:26" ht="13.5" customHeight="1" thickBot="1">
      <c r="A16" s="69" t="s">
        <v>47</v>
      </c>
      <c r="B16" s="26" t="s">
        <v>33</v>
      </c>
      <c r="C16" s="23" t="s">
        <v>34</v>
      </c>
      <c r="D16" s="26" t="s">
        <v>35</v>
      </c>
      <c r="E16" s="27" t="s">
        <v>36</v>
      </c>
      <c r="G16" s="70"/>
      <c r="J16" s="20"/>
      <c r="K16" s="24"/>
      <c r="V16" s="68"/>
      <c r="W16" s="68"/>
      <c r="X16" s="71"/>
      <c r="Y16" s="68"/>
      <c r="Z16" s="68"/>
    </row>
    <row r="17" spans="1:26" ht="13.5" customHeight="1">
      <c r="A17" s="72" t="s">
        <v>48</v>
      </c>
      <c r="B17" s="260">
        <v>0</v>
      </c>
      <c r="C17" s="261"/>
      <c r="D17" s="261"/>
      <c r="E17" s="262"/>
      <c r="F17" s="73"/>
      <c r="G17" s="73"/>
      <c r="H17" s="73"/>
      <c r="I17" s="73"/>
      <c r="J17" s="20"/>
      <c r="K17" s="24"/>
      <c r="V17" s="74"/>
      <c r="W17" s="74"/>
      <c r="X17" s="74"/>
      <c r="Y17" s="74"/>
      <c r="Z17" s="74"/>
    </row>
    <row r="18" spans="1:26" ht="13.5" customHeight="1">
      <c r="A18" s="38" t="s">
        <v>40</v>
      </c>
      <c r="B18" s="277">
        <f>(300/$B$2)^2/(4*PI())</f>
        <v>0.01881318461824558</v>
      </c>
      <c r="C18" s="278"/>
      <c r="D18" s="278"/>
      <c r="E18" s="279"/>
      <c r="F18" s="75"/>
      <c r="V18" s="76"/>
      <c r="W18" s="77"/>
      <c r="X18" s="20"/>
      <c r="Y18" s="20"/>
      <c r="Z18" s="20"/>
    </row>
    <row r="19" spans="1:26" ht="13.5" customHeight="1">
      <c r="A19" s="38" t="s">
        <v>49</v>
      </c>
      <c r="B19" s="264">
        <f>90*(1/3)+290*(2/3)</f>
        <v>223.33333333333331</v>
      </c>
      <c r="C19" s="265"/>
      <c r="D19" s="265"/>
      <c r="E19" s="252"/>
      <c r="V19" s="77"/>
      <c r="W19" s="77"/>
      <c r="X19" s="77"/>
      <c r="Y19" s="77"/>
      <c r="Z19" s="77"/>
    </row>
    <row r="20" spans="1:26" ht="39.75" customHeight="1">
      <c r="A20" s="236" t="s">
        <v>50</v>
      </c>
      <c r="B20" s="280">
        <v>-99</v>
      </c>
      <c r="C20" s="281"/>
      <c r="D20" s="281"/>
      <c r="E20" s="282"/>
      <c r="F20" s="79"/>
      <c r="G20" s="80"/>
      <c r="H20" s="80"/>
      <c r="I20" s="80"/>
      <c r="J20" s="80"/>
      <c r="W20" s="77"/>
      <c r="X20" s="77"/>
      <c r="Y20" s="77"/>
      <c r="Z20" s="77"/>
    </row>
    <row r="21" spans="1:26" ht="26.25" customHeight="1">
      <c r="A21" s="78" t="s">
        <v>51</v>
      </c>
      <c r="B21" s="283">
        <f>10^((B20-145.8+10*LOG(B18)+B17+168.6-10*LOG10(B6))/10)</f>
        <v>7.521614428973094E-11</v>
      </c>
      <c r="C21" s="284"/>
      <c r="D21" s="284"/>
      <c r="E21" s="285"/>
      <c r="F21" s="79"/>
      <c r="J21" s="80"/>
      <c r="K21" s="80"/>
      <c r="W21" s="77"/>
      <c r="X21" s="77"/>
      <c r="Y21" s="77"/>
      <c r="Z21" s="77"/>
    </row>
    <row r="22" spans="1:26" ht="13.5" customHeight="1">
      <c r="A22" s="38" t="s">
        <v>52</v>
      </c>
      <c r="B22" s="272">
        <v>10</v>
      </c>
      <c r="C22" s="273"/>
      <c r="D22" s="273"/>
      <c r="E22" s="274"/>
      <c r="L22" s="80"/>
      <c r="M22" s="20"/>
      <c r="W22" s="77"/>
      <c r="X22" s="77"/>
      <c r="Y22" s="77"/>
      <c r="Z22" s="77"/>
    </row>
    <row r="23" spans="1:26" ht="13.5" customHeight="1">
      <c r="A23" s="81" t="s">
        <v>53</v>
      </c>
      <c r="B23" s="269">
        <v>0.5</v>
      </c>
      <c r="C23" s="270"/>
      <c r="D23" s="270"/>
      <c r="E23" s="271"/>
      <c r="M23" s="20"/>
      <c r="W23" s="77"/>
      <c r="X23" s="77"/>
      <c r="Y23" s="77"/>
      <c r="Z23" s="77"/>
    </row>
    <row r="24" spans="1:26" ht="13.5" customHeight="1">
      <c r="A24" s="38" t="s">
        <v>54</v>
      </c>
      <c r="B24" s="269">
        <v>4</v>
      </c>
      <c r="C24" s="270"/>
      <c r="D24" s="270"/>
      <c r="E24" s="271"/>
      <c r="G24" s="80"/>
      <c r="H24" s="80"/>
      <c r="I24" s="80"/>
      <c r="J24" s="80"/>
      <c r="K24" s="80"/>
      <c r="L24" s="68"/>
      <c r="M24" s="20"/>
      <c r="W24" s="77"/>
      <c r="X24" s="77"/>
      <c r="Y24" s="77"/>
      <c r="Z24" s="77"/>
    </row>
    <row r="25" spans="1:26" ht="13.5" customHeight="1">
      <c r="A25" s="81" t="s">
        <v>55</v>
      </c>
      <c r="B25" s="269">
        <v>2</v>
      </c>
      <c r="C25" s="270"/>
      <c r="D25" s="270"/>
      <c r="E25" s="271"/>
      <c r="L25" s="74"/>
      <c r="M25" s="20"/>
      <c r="W25" s="77"/>
      <c r="X25" s="77"/>
      <c r="Y25" s="77"/>
      <c r="Z25" s="77"/>
    </row>
    <row r="26" spans="1:26" ht="13.5" customHeight="1">
      <c r="A26" s="81" t="s">
        <v>56</v>
      </c>
      <c r="B26" s="269">
        <v>6</v>
      </c>
      <c r="C26" s="270"/>
      <c r="D26" s="270"/>
      <c r="E26" s="271"/>
      <c r="G26" s="24"/>
      <c r="I26" s="21"/>
      <c r="J26" s="20"/>
      <c r="K26" s="24"/>
      <c r="L26" s="76"/>
      <c r="W26" s="77"/>
      <c r="X26" s="77"/>
      <c r="Y26" s="77"/>
      <c r="Z26" s="77"/>
    </row>
    <row r="27" spans="1:26" ht="13.5" customHeight="1" thickBot="1">
      <c r="A27" s="81" t="s">
        <v>57</v>
      </c>
      <c r="B27" s="266">
        <f>B17-(B23+B24+B25)-10*LOG10((B19+B21)*10^(-(B23+B24+B25)/10)+290*(1-10^(-(B23+B24+B25)/10))+290*(10^(B26/10)-1))</f>
        <v>-37.06747100272945</v>
      </c>
      <c r="C27" s="267"/>
      <c r="D27" s="267"/>
      <c r="E27" s="268"/>
      <c r="G27" s="73"/>
      <c r="H27" s="73"/>
      <c r="I27" s="73"/>
      <c r="J27" s="20"/>
      <c r="K27" s="20"/>
      <c r="L27" s="75"/>
      <c r="W27" s="77"/>
      <c r="X27" s="77"/>
      <c r="Y27" s="77"/>
      <c r="Z27" s="77"/>
    </row>
    <row r="28" spans="1:26" ht="12.75" customHeight="1" thickBot="1">
      <c r="A28" s="82" t="s">
        <v>58</v>
      </c>
      <c r="B28" s="83">
        <f>B9+168.6-10*LOG10(B6)+10*LOG10($B18)+$B27</f>
        <v>-22.248983506565885</v>
      </c>
      <c r="C28" s="84">
        <f>C9+168.6-10*LOG10(C6)+10*LOG10($B18)+$B27</f>
        <v>-0.2489835065658852</v>
      </c>
      <c r="D28" s="85">
        <f>D9+168.6-10*LOG10(D6)+10*LOG10($B18)+$B27</f>
        <v>1.5222290406307408</v>
      </c>
      <c r="E28" s="86">
        <f>E9+168.6-10*LOG10(E6)+10*LOG10($B18)+$B27</f>
        <v>1.5325289972705534</v>
      </c>
      <c r="F28" s="87" t="s">
        <v>20</v>
      </c>
      <c r="M28" s="88"/>
      <c r="Q28" s="89"/>
      <c r="W28" s="77"/>
      <c r="X28" s="20"/>
      <c r="Y28" s="20"/>
      <c r="Z28" s="20"/>
    </row>
    <row r="29" spans="1:26" ht="12.75" customHeight="1">
      <c r="A29" s="90"/>
      <c r="B29" s="91"/>
      <c r="C29" s="91"/>
      <c r="D29" s="91"/>
      <c r="E29" s="91"/>
      <c r="M29" s="88"/>
      <c r="Q29" s="92"/>
      <c r="W29" s="77"/>
      <c r="X29" s="20"/>
      <c r="Y29" s="20"/>
      <c r="Z29" s="20"/>
    </row>
    <row r="30" spans="1:26" ht="13.5" customHeight="1">
      <c r="A30" s="24"/>
      <c r="B30" s="75"/>
      <c r="C30" s="75"/>
      <c r="D30" s="75"/>
      <c r="E30" s="75"/>
      <c r="G30" s="93"/>
      <c r="H30" s="75"/>
      <c r="I30" s="75"/>
      <c r="J30" s="94"/>
      <c r="K30" s="88"/>
      <c r="M30" s="20"/>
      <c r="Q30" s="92"/>
      <c r="W30" s="20"/>
      <c r="X30" s="20"/>
      <c r="Y30" s="20"/>
      <c r="Z30" s="20"/>
    </row>
    <row r="31" spans="1:26" ht="12.75" customHeight="1" thickBot="1">
      <c r="A31" s="95" t="s">
        <v>59</v>
      </c>
      <c r="B31" s="75"/>
      <c r="C31" s="75"/>
      <c r="D31" s="75"/>
      <c r="E31" s="75"/>
      <c r="G31" s="93"/>
      <c r="H31" s="75"/>
      <c r="I31" s="75"/>
      <c r="J31" s="94"/>
      <c r="K31" s="88"/>
      <c r="M31" s="24"/>
      <c r="Q31" s="96"/>
      <c r="W31" s="20"/>
      <c r="X31" s="20"/>
      <c r="Y31" s="20"/>
      <c r="Z31" s="20"/>
    </row>
    <row r="32" spans="1:26" ht="12.75" customHeight="1">
      <c r="A32" s="97" t="s">
        <v>60</v>
      </c>
      <c r="B32" s="98">
        <v>0.9</v>
      </c>
      <c r="C32" s="99">
        <v>0.9</v>
      </c>
      <c r="D32" s="98">
        <v>0.9</v>
      </c>
      <c r="E32" s="100">
        <v>0.9</v>
      </c>
      <c r="G32" s="75"/>
      <c r="I32" s="75"/>
      <c r="J32" s="94"/>
      <c r="K32" s="77"/>
      <c r="M32" s="20"/>
      <c r="Q32" s="101"/>
      <c r="W32" s="20"/>
      <c r="X32" s="20"/>
      <c r="Y32" s="20"/>
      <c r="Z32" s="20"/>
    </row>
    <row r="33" spans="1:26" ht="12.75" customHeight="1" thickBot="1">
      <c r="A33" s="102" t="s">
        <v>61</v>
      </c>
      <c r="B33" s="103">
        <v>0.1</v>
      </c>
      <c r="C33" s="104">
        <v>0.1</v>
      </c>
      <c r="D33" s="103">
        <v>0.1</v>
      </c>
      <c r="E33" s="105">
        <v>0.1</v>
      </c>
      <c r="G33" s="75"/>
      <c r="H33" s="75"/>
      <c r="I33" s="75"/>
      <c r="J33" s="20"/>
      <c r="K33" s="20"/>
      <c r="M33" s="20"/>
      <c r="Q33" s="96"/>
      <c r="W33" s="20"/>
      <c r="X33" s="20"/>
      <c r="Y33" s="20"/>
      <c r="Z33" s="20"/>
    </row>
    <row r="34" spans="1:26" ht="12.75" customHeight="1">
      <c r="A34" s="106"/>
      <c r="B34" s="107"/>
      <c r="C34" s="107"/>
      <c r="D34" s="107"/>
      <c r="E34" s="107"/>
      <c r="G34" s="75"/>
      <c r="H34" s="75"/>
      <c r="I34" s="75"/>
      <c r="J34" s="20"/>
      <c r="K34" s="20"/>
      <c r="M34" s="20"/>
      <c r="Q34" s="96"/>
      <c r="W34" s="20"/>
      <c r="X34" s="20"/>
      <c r="Y34" s="20"/>
      <c r="Z34" s="20"/>
    </row>
    <row r="35" spans="1:26" ht="13.5" customHeight="1">
      <c r="A35" s="24"/>
      <c r="B35" s="75"/>
      <c r="C35" s="75"/>
      <c r="D35" s="75"/>
      <c r="E35" s="75"/>
      <c r="F35" s="108"/>
      <c r="G35" s="75"/>
      <c r="H35" s="75"/>
      <c r="I35" s="75"/>
      <c r="J35" s="20"/>
      <c r="K35" s="20"/>
      <c r="M35" s="20"/>
      <c r="Q35" s="96"/>
      <c r="T35" s="20"/>
      <c r="U35" s="20"/>
      <c r="V35" s="109"/>
      <c r="W35" s="20"/>
      <c r="X35" s="20"/>
      <c r="Y35" s="20"/>
      <c r="Z35" s="20"/>
    </row>
    <row r="36" spans="1:26" ht="15.75" customHeight="1">
      <c r="A36" s="276" t="s">
        <v>62</v>
      </c>
      <c r="B36" s="276"/>
      <c r="C36" s="276"/>
      <c r="D36" s="276"/>
      <c r="E36" s="276"/>
      <c r="F36" s="20"/>
      <c r="N36" s="14"/>
      <c r="T36" s="20"/>
      <c r="U36" s="20"/>
      <c r="V36" s="109"/>
      <c r="W36" s="20"/>
      <c r="X36" s="20"/>
      <c r="Y36" s="20"/>
      <c r="Z36" s="20"/>
    </row>
    <row r="37" spans="1:26" s="117" customFormat="1" ht="39.75" customHeight="1" thickBot="1">
      <c r="A37" s="110" t="s">
        <v>63</v>
      </c>
      <c r="B37" s="111" t="s">
        <v>64</v>
      </c>
      <c r="C37" s="111" t="s">
        <v>65</v>
      </c>
      <c r="D37" s="111" t="s">
        <v>66</v>
      </c>
      <c r="E37" s="112" t="s">
        <v>67</v>
      </c>
      <c r="F37" s="113" t="s">
        <v>68</v>
      </c>
      <c r="G37" s="113" t="s">
        <v>69</v>
      </c>
      <c r="H37" s="113" t="s">
        <v>70</v>
      </c>
      <c r="I37" s="259" t="s">
        <v>71</v>
      </c>
      <c r="J37" s="259"/>
      <c r="K37" s="114" t="s">
        <v>72</v>
      </c>
      <c r="L37" s="115"/>
      <c r="M37" s="116" t="s">
        <v>69</v>
      </c>
      <c r="T37" s="20"/>
      <c r="U37" s="20"/>
      <c r="V37" s="20"/>
      <c r="W37" s="20"/>
      <c r="X37" s="20"/>
      <c r="Y37" s="20"/>
      <c r="Z37" s="20"/>
    </row>
    <row r="38" spans="1:14" ht="12.75">
      <c r="A38" s="118" t="s">
        <v>73</v>
      </c>
      <c r="B38" s="119">
        <f>B28</f>
        <v>-22.248983506565885</v>
      </c>
      <c r="C38" s="120">
        <f>1.3*NORMSINV($C$49)</f>
        <v>2.138309715036914</v>
      </c>
      <c r="D38" s="119">
        <f aca="true" t="shared" si="0" ref="D38:D48">B38-C38</f>
        <v>-24.3872932216028</v>
      </c>
      <c r="E38" s="121">
        <v>1</v>
      </c>
      <c r="F38" s="122"/>
      <c r="G38" s="123">
        <f>2*(NORMSINV(0.1*$C$49)-NORMSINV(0.9/$C$49))^2/10^(D38/5)</f>
        <v>1295248.0149131997</v>
      </c>
      <c r="H38" s="124">
        <f>G38/($B$6*1000)</f>
        <v>215.87466915219994</v>
      </c>
      <c r="I38" s="117"/>
      <c r="J38" s="117"/>
      <c r="K38" s="125">
        <v>63.3</v>
      </c>
      <c r="L38" s="126" t="s">
        <v>74</v>
      </c>
      <c r="M38" s="127">
        <v>379810</v>
      </c>
      <c r="N38" s="14"/>
    </row>
    <row r="39" spans="1:14" ht="12.75">
      <c r="A39" s="239" t="s">
        <v>75</v>
      </c>
      <c r="B39" s="240">
        <f>B$28-11.2+10*LOG10(B6/0.01)</f>
        <v>-5.667471002729446</v>
      </c>
      <c r="C39" s="240">
        <f>4.5*NORMSINV($C$49)</f>
        <v>7.401841321281626</v>
      </c>
      <c r="D39" s="240">
        <f t="shared" si="0"/>
        <v>-13.069312324011072</v>
      </c>
      <c r="E39" s="241">
        <v>1</v>
      </c>
      <c r="F39" s="242"/>
      <c r="G39" s="243">
        <f>2*(NORMSINV(0.1*$C$49)-NORMSINV(0.9/$C$49))^2/10^(D39/5)</f>
        <v>7059.220633717536</v>
      </c>
      <c r="H39" s="244">
        <f>G39/($B$6*1000)</f>
        <v>1.1765367722862559</v>
      </c>
      <c r="I39" s="238"/>
      <c r="J39" s="75"/>
      <c r="K39" s="134">
        <v>0.03</v>
      </c>
      <c r="L39" s="255" t="s">
        <v>74</v>
      </c>
      <c r="M39" s="136">
        <v>183</v>
      </c>
      <c r="N39" s="14"/>
    </row>
    <row r="40" spans="1:14" ht="12.75">
      <c r="A40" s="239" t="s">
        <v>98</v>
      </c>
      <c r="B40" s="240">
        <f>B$28</f>
        <v>-22.248983506565885</v>
      </c>
      <c r="C40" s="240">
        <f>4.5*NORMSINV($C$49)</f>
        <v>7.401841321281626</v>
      </c>
      <c r="D40" s="240">
        <f t="shared" si="0"/>
        <v>-29.65082482784751</v>
      </c>
      <c r="E40" s="241">
        <v>2</v>
      </c>
      <c r="F40" s="245">
        <f>10^(-11.2/10)</f>
        <v>0.07585775750291839</v>
      </c>
      <c r="G40" s="243">
        <f>(NORMSINV(0.9/$C$49)-NORMSINV(0.1*$C$49))^2/(F40*(10^(D40/10)))</f>
        <v>104459.21988933769</v>
      </c>
      <c r="H40" s="244">
        <f>G40/($B$6*1000)</f>
        <v>17.40986998155628</v>
      </c>
      <c r="I40" s="75"/>
      <c r="J40" s="75"/>
      <c r="K40" s="134"/>
      <c r="L40" s="135"/>
      <c r="M40" s="136"/>
      <c r="N40" s="14"/>
    </row>
    <row r="41" spans="1:26" ht="12.75" customHeight="1">
      <c r="A41" s="128" t="s">
        <v>76</v>
      </c>
      <c r="B41" s="137">
        <f>B28</f>
        <v>-22.248983506565885</v>
      </c>
      <c r="C41" s="75">
        <f>C38</f>
        <v>2.138309715036914</v>
      </c>
      <c r="D41" s="129">
        <f t="shared" si="0"/>
        <v>-24.3872932216028</v>
      </c>
      <c r="E41" s="121">
        <v>2</v>
      </c>
      <c r="F41" s="138">
        <v>1</v>
      </c>
      <c r="G41" s="131">
        <f>(1/4)*(NORMSINV(0.9/$C$49)-NORMSINV(0.1*$C$49))^2/(F41*(10^(D41/10)))</f>
        <v>589.5676238760675</v>
      </c>
      <c r="H41" s="132">
        <f>G41*(4/$I$67)/1000</f>
        <v>0.21912454896498418</v>
      </c>
      <c r="I41" s="139">
        <f>(G41+1)*(832/$I$67)/1000</f>
        <v>45.65521352714685</v>
      </c>
      <c r="J41" s="140" t="s">
        <v>74</v>
      </c>
      <c r="K41" s="125">
        <v>21</v>
      </c>
      <c r="L41" s="141" t="s">
        <v>74</v>
      </c>
      <c r="M41" s="142">
        <v>279</v>
      </c>
      <c r="N41" s="14"/>
      <c r="T41" s="143"/>
      <c r="U41" s="143"/>
      <c r="V41" s="20"/>
      <c r="W41" s="20"/>
      <c r="X41" s="20"/>
      <c r="Y41" s="20"/>
      <c r="Z41" s="20"/>
    </row>
    <row r="42" spans="1:14" ht="12.75">
      <c r="A42" s="128" t="s">
        <v>77</v>
      </c>
      <c r="B42" s="137">
        <f>B28</f>
        <v>-22.248983506565885</v>
      </c>
      <c r="C42" s="75">
        <f>C38</f>
        <v>2.138309715036914</v>
      </c>
      <c r="D42" s="129">
        <f t="shared" si="0"/>
        <v>-24.3872932216028</v>
      </c>
      <c r="E42" s="121">
        <v>2</v>
      </c>
      <c r="F42" s="138">
        <v>1</v>
      </c>
      <c r="G42" s="131">
        <f>(1/511)*(NORMSINV(0.9/$C$49)-NORMSINV(0.1*$C$49))^2/(F42*(10^(D42/10)))</f>
        <v>4.615010754411487</v>
      </c>
      <c r="H42" s="132">
        <f>G42*(511/$I$67)/1000</f>
        <v>0.21912454896498415</v>
      </c>
      <c r="I42" s="144">
        <f>(G42+1)*(313*832/$I$67)/1000</f>
        <v>135.8675280109016</v>
      </c>
      <c r="J42" s="75" t="s">
        <v>74</v>
      </c>
      <c r="K42" s="134">
        <v>52</v>
      </c>
      <c r="L42" s="145" t="s">
        <v>74</v>
      </c>
      <c r="M42" s="136">
        <v>3</v>
      </c>
      <c r="N42" s="14"/>
    </row>
    <row r="43" spans="1:14" ht="12.75">
      <c r="A43" s="146" t="s">
        <v>78</v>
      </c>
      <c r="B43" s="147">
        <f>B28</f>
        <v>-22.248983506565885</v>
      </c>
      <c r="C43" s="148">
        <f>C38</f>
        <v>2.138309715036914</v>
      </c>
      <c r="D43" s="147">
        <f t="shared" si="0"/>
        <v>-24.3872932216028</v>
      </c>
      <c r="E43" s="149">
        <v>2</v>
      </c>
      <c r="F43" s="150">
        <v>1</v>
      </c>
      <c r="G43" s="151">
        <f>(1/(3*63))*(NORMSINV(0.9/$C$49)-NORMSINV(0.1*$C$49))^2/(F43*(10^(D43/10)))</f>
        <v>12.47762166933476</v>
      </c>
      <c r="H43" s="152">
        <f>G43*(3*63/$I$67)/1000</f>
        <v>0.21912454896498412</v>
      </c>
      <c r="I43" s="153">
        <f>(G43+1)*(313*832/$I$67)/1000</f>
        <v>326.12068253653786</v>
      </c>
      <c r="J43" s="133" t="s">
        <v>74</v>
      </c>
      <c r="K43" s="154">
        <v>425.6</v>
      </c>
      <c r="L43" s="135" t="s">
        <v>74</v>
      </c>
      <c r="M43" s="136">
        <v>17</v>
      </c>
      <c r="N43" s="14"/>
    </row>
    <row r="44" spans="1:14" ht="13.5" customHeight="1">
      <c r="A44" s="128" t="s">
        <v>79</v>
      </c>
      <c r="B44" s="137">
        <f>C$28+10*LOG10(30%)+10*LOG10(B6/0.02)</f>
        <v>19.293441587827367</v>
      </c>
      <c r="C44" s="155">
        <f>4*NORMSINV($C$49)</f>
        <v>6.57941450780589</v>
      </c>
      <c r="D44" s="129">
        <f t="shared" si="0"/>
        <v>12.714027080021477</v>
      </c>
      <c r="E44" s="121">
        <v>1</v>
      </c>
      <c r="F44" s="130"/>
      <c r="G44" s="156">
        <f>2*(NORMSINV(0.1*$C$49)-NORMSINV(0.9/$C$49))^2/10^(D44/5)</f>
        <v>0.04921402381065</v>
      </c>
      <c r="H44" s="157">
        <f>G44/(0.02*1000)</f>
        <v>0.0024607011905325</v>
      </c>
      <c r="K44" s="125" t="s">
        <v>80</v>
      </c>
      <c r="L44" s="145"/>
      <c r="M44" s="136" t="s">
        <v>80</v>
      </c>
      <c r="N44" s="14"/>
    </row>
    <row r="45" spans="1:14" ht="12.75" customHeight="1">
      <c r="A45" s="146" t="s">
        <v>81</v>
      </c>
      <c r="B45" s="158">
        <f>C$28+10*LOG10(10%)+10*LOG10(B6/0.02)</f>
        <v>14.52222904063074</v>
      </c>
      <c r="C45" s="133">
        <f>4*NORMSINV($C$49)</f>
        <v>6.57941450780589</v>
      </c>
      <c r="D45" s="129">
        <f t="shared" si="0"/>
        <v>7.942814532824851</v>
      </c>
      <c r="E45" s="121">
        <v>1</v>
      </c>
      <c r="F45" s="130"/>
      <c r="G45" s="156">
        <f>2*(NORMSINV(0.1*$C$49)-NORMSINV(0.9/$C$49))^2/10^(D45/5)</f>
        <v>0.4429262142958502</v>
      </c>
      <c r="H45" s="157">
        <f>G45/(0.2*1000)</f>
        <v>0.0022146310714792512</v>
      </c>
      <c r="K45" s="154" t="s">
        <v>80</v>
      </c>
      <c r="L45" s="159"/>
      <c r="M45" s="142" t="s">
        <v>80</v>
      </c>
      <c r="N45" s="14"/>
    </row>
    <row r="46" spans="1:14" ht="12.75">
      <c r="A46" s="146" t="s">
        <v>82</v>
      </c>
      <c r="B46" s="158">
        <f>D28</f>
        <v>1.5222290406307408</v>
      </c>
      <c r="C46" s="133">
        <f>2.5*NORMSINV($C$49)</f>
        <v>4.1121340673786815</v>
      </c>
      <c r="D46" s="160">
        <f t="shared" si="0"/>
        <v>-2.5899050267479407</v>
      </c>
      <c r="E46" s="161">
        <v>1</v>
      </c>
      <c r="F46" s="162"/>
      <c r="G46" s="163">
        <f>2*(NORMSINV(0.1*$C$49)-NORMSINV(0.9/$C$49))^2/10^(D46/5)</f>
        <v>56.607672205155836</v>
      </c>
      <c r="H46" s="164">
        <f>G46/($D$6*1000)</f>
        <v>0.2830383610257792</v>
      </c>
      <c r="K46" s="165">
        <v>32</v>
      </c>
      <c r="L46" s="166" t="s">
        <v>83</v>
      </c>
      <c r="M46" s="136">
        <v>7</v>
      </c>
      <c r="N46" s="14"/>
    </row>
    <row r="47" spans="1:14" ht="12.75">
      <c r="A47" s="128" t="s">
        <v>84</v>
      </c>
      <c r="B47" s="137">
        <f>E28</f>
        <v>1.5325289972705534</v>
      </c>
      <c r="C47" s="75">
        <f>4.5*NORMSINV($C$49)</f>
        <v>7.401841321281626</v>
      </c>
      <c r="D47" s="129">
        <f t="shared" si="0"/>
        <v>-5.869312324011073</v>
      </c>
      <c r="E47" s="167">
        <v>1</v>
      </c>
      <c r="F47" s="130"/>
      <c r="G47" s="168">
        <f>2*(NORMSINV(0.1*$C$49)-NORMSINV(0.9/$C$49))^2/10^(D47/5)</f>
        <v>256.3048095883125</v>
      </c>
      <c r="H47" s="132">
        <f>G47/($E$6*1000)</f>
        <v>25.63048095883125</v>
      </c>
      <c r="K47" s="125">
        <v>658</v>
      </c>
      <c r="L47" s="145" t="s">
        <v>83</v>
      </c>
      <c r="M47" s="136">
        <v>7</v>
      </c>
      <c r="N47" s="14"/>
    </row>
    <row r="48" spans="1:16" ht="13.5" thickBot="1">
      <c r="A48" s="169" t="s">
        <v>85</v>
      </c>
      <c r="B48" s="170">
        <f>E28</f>
        <v>1.5325289972705534</v>
      </c>
      <c r="C48" s="171">
        <f>4.5*NORMSINV($C$49)</f>
        <v>7.401841321281626</v>
      </c>
      <c r="D48" s="172">
        <f t="shared" si="0"/>
        <v>-5.869312324011073</v>
      </c>
      <c r="E48" s="173">
        <v>2</v>
      </c>
      <c r="F48" s="174">
        <v>1</v>
      </c>
      <c r="G48" s="175">
        <f>2*(NORMSINV(0.9/$C$49)-NORMSINV(0.1/$C$49))^2/(F48*10^(D48/10))</f>
        <v>63.72689724124148</v>
      </c>
      <c r="H48" s="176">
        <f>G48/($E$6*1000)</f>
        <v>6.3726897241241485</v>
      </c>
      <c r="K48" s="154">
        <v>465</v>
      </c>
      <c r="L48" s="135" t="s">
        <v>83</v>
      </c>
      <c r="M48" s="177">
        <v>5</v>
      </c>
      <c r="N48" s="14"/>
      <c r="P48" s="15"/>
    </row>
    <row r="49" spans="1:8" ht="12.75">
      <c r="A49" s="178"/>
      <c r="B49" s="179" t="s">
        <v>86</v>
      </c>
      <c r="C49" s="180">
        <v>0.95</v>
      </c>
      <c r="D49" s="181"/>
      <c r="E49" s="21"/>
      <c r="F49" s="182"/>
      <c r="G49" s="183"/>
      <c r="H49" s="101"/>
    </row>
    <row r="50" spans="1:8" ht="12.75">
      <c r="A50" s="178"/>
      <c r="B50" s="179"/>
      <c r="C50" s="107"/>
      <c r="D50" s="181"/>
      <c r="E50" s="21"/>
      <c r="F50" s="182"/>
      <c r="G50" s="183"/>
      <c r="H50" s="101"/>
    </row>
    <row r="51" spans="1:26" ht="13.5" customHeight="1">
      <c r="A51" s="24"/>
      <c r="B51" s="75"/>
      <c r="C51" s="75"/>
      <c r="D51" s="75"/>
      <c r="E51" s="75"/>
      <c r="F51" s="75"/>
      <c r="G51" s="75"/>
      <c r="H51" s="75"/>
      <c r="I51" s="75"/>
      <c r="J51" s="94"/>
      <c r="K51" s="77"/>
      <c r="Q51" s="184"/>
      <c r="R51" s="20"/>
      <c r="S51" s="20"/>
      <c r="T51" s="20"/>
      <c r="U51" s="20"/>
      <c r="V51" s="109"/>
      <c r="W51" s="20"/>
      <c r="X51" s="20"/>
      <c r="Y51" s="20"/>
      <c r="Z51" s="20"/>
    </row>
    <row r="52" spans="1:26" ht="15.75" customHeight="1">
      <c r="A52" s="275" t="s">
        <v>87</v>
      </c>
      <c r="B52" s="275"/>
      <c r="C52" s="275"/>
      <c r="D52" s="275"/>
      <c r="E52" s="275"/>
      <c r="F52" s="185"/>
      <c r="G52" s="75"/>
      <c r="H52" s="75"/>
      <c r="I52" s="75"/>
      <c r="J52" s="20"/>
      <c r="K52" s="20"/>
      <c r="U52" s="184"/>
      <c r="V52" s="109"/>
      <c r="W52" s="20"/>
      <c r="X52" s="20"/>
      <c r="Y52" s="20"/>
      <c r="Z52" s="20"/>
    </row>
    <row r="53" spans="1:26" ht="27.75" customHeight="1" thickBot="1">
      <c r="A53" s="186" t="s">
        <v>88</v>
      </c>
      <c r="B53" s="111" t="s">
        <v>89</v>
      </c>
      <c r="C53" s="111" t="s">
        <v>90</v>
      </c>
      <c r="D53" s="111" t="s">
        <v>91</v>
      </c>
      <c r="E53" s="111"/>
      <c r="F53" s="75"/>
      <c r="H53" s="75"/>
      <c r="I53" s="75"/>
      <c r="J53" s="20"/>
      <c r="K53" s="187"/>
      <c r="U53" s="20"/>
      <c r="V53" s="20"/>
      <c r="W53" s="20"/>
      <c r="X53" s="20"/>
      <c r="Y53" s="20"/>
      <c r="Z53" s="20"/>
    </row>
    <row r="54" spans="1:26" ht="12.75" customHeight="1">
      <c r="A54" s="118" t="s">
        <v>73</v>
      </c>
      <c r="B54" s="188">
        <f>$B$33*$C$49</f>
        <v>0.095</v>
      </c>
      <c r="C54" s="254">
        <f>$B$32/$C$49</f>
        <v>0.9473684210526316</v>
      </c>
      <c r="D54" s="189">
        <v>13.5</v>
      </c>
      <c r="G54" s="190"/>
      <c r="H54" s="190"/>
      <c r="I54" s="190"/>
      <c r="J54" s="20"/>
      <c r="K54" s="20"/>
      <c r="U54" s="20"/>
      <c r="V54" s="20"/>
      <c r="W54" s="20"/>
      <c r="X54" s="20"/>
      <c r="Y54" s="20"/>
      <c r="Z54" s="20"/>
    </row>
    <row r="55" spans="1:26" ht="12.75" customHeight="1">
      <c r="A55" s="239" t="s">
        <v>75</v>
      </c>
      <c r="B55" s="245">
        <f>$B$33*$C$49</f>
        <v>0.095</v>
      </c>
      <c r="C55" s="245">
        <f>$B$32/$C$49</f>
        <v>0.9473684210526316</v>
      </c>
      <c r="D55" s="246">
        <f>B$28-11.2+10*LOG10(B6/0.01)</f>
        <v>-5.667471002729446</v>
      </c>
      <c r="E55" s="75"/>
      <c r="G55" s="143"/>
      <c r="H55" s="143"/>
      <c r="I55" s="143"/>
      <c r="J55" s="187"/>
      <c r="K55" s="193"/>
      <c r="U55" s="143"/>
      <c r="V55" s="20"/>
      <c r="W55" s="20"/>
      <c r="X55" s="20"/>
      <c r="Y55" s="20"/>
      <c r="Z55" s="20"/>
    </row>
    <row r="56" spans="1:26" ht="12.75" customHeight="1">
      <c r="A56" s="239" t="s">
        <v>98</v>
      </c>
      <c r="B56" s="245">
        <f>$B$33*$C$49</f>
        <v>0.095</v>
      </c>
      <c r="C56" s="245">
        <f>$B$32/$C$49</f>
        <v>0.9473684210526316</v>
      </c>
      <c r="D56" s="256">
        <v>-8</v>
      </c>
      <c r="E56" s="75"/>
      <c r="G56" s="143"/>
      <c r="H56" s="143"/>
      <c r="I56" s="143"/>
      <c r="J56" s="187"/>
      <c r="K56" s="193"/>
      <c r="U56" s="143"/>
      <c r="V56" s="20"/>
      <c r="W56" s="20"/>
      <c r="X56" s="20"/>
      <c r="Y56" s="20"/>
      <c r="Z56" s="20"/>
    </row>
    <row r="57" spans="1:26" ht="12.75" customHeight="1">
      <c r="A57" s="128" t="s">
        <v>76</v>
      </c>
      <c r="B57" s="197">
        <f aca="true" t="shared" si="1" ref="B57:B64">$C$33*$C$49</f>
        <v>0.095</v>
      </c>
      <c r="C57" s="247">
        <f aca="true" t="shared" si="2" ref="C57:C64">$C$32/$C$49</f>
        <v>0.9473684210526316</v>
      </c>
      <c r="D57" s="194">
        <v>-13</v>
      </c>
      <c r="E57" s="75"/>
      <c r="G57" s="143"/>
      <c r="H57" s="143"/>
      <c r="I57" s="143"/>
      <c r="J57" s="187"/>
      <c r="K57" s="193"/>
      <c r="U57" s="143"/>
      <c r="V57" s="20"/>
      <c r="W57" s="20"/>
      <c r="X57" s="20"/>
      <c r="Y57" s="20"/>
      <c r="Z57" s="20"/>
    </row>
    <row r="58" spans="1:26" ht="12.75" customHeight="1">
      <c r="A58" s="128" t="s">
        <v>77</v>
      </c>
      <c r="B58" s="197">
        <f t="shared" si="1"/>
        <v>0.095</v>
      </c>
      <c r="C58" s="247">
        <f t="shared" si="2"/>
        <v>0.9473684210526316</v>
      </c>
      <c r="D58" s="194">
        <v>-18</v>
      </c>
      <c r="E58" s="75"/>
      <c r="G58" s="24"/>
      <c r="H58" s="24"/>
      <c r="I58" s="24"/>
      <c r="J58" s="195"/>
      <c r="K58" s="21"/>
      <c r="U58" s="143"/>
      <c r="V58" s="20"/>
      <c r="W58" s="20"/>
      <c r="X58" s="20"/>
      <c r="Y58" s="20"/>
      <c r="Z58" s="20"/>
    </row>
    <row r="59" spans="1:26" ht="12.75" customHeight="1">
      <c r="A59" s="146" t="s">
        <v>78</v>
      </c>
      <c r="B59" s="197">
        <f t="shared" si="1"/>
        <v>0.095</v>
      </c>
      <c r="C59" s="247">
        <f t="shared" si="2"/>
        <v>0.9473684210526316</v>
      </c>
      <c r="D59" s="196">
        <v>-15</v>
      </c>
      <c r="E59" s="181"/>
      <c r="G59" s="190"/>
      <c r="H59" s="190"/>
      <c r="I59" s="190"/>
      <c r="J59" s="20"/>
      <c r="K59" s="190"/>
      <c r="U59" s="143"/>
      <c r="V59" s="20"/>
      <c r="W59" s="20"/>
      <c r="X59" s="20"/>
      <c r="Y59" s="20"/>
      <c r="Z59" s="20"/>
    </row>
    <row r="60" spans="1:26" ht="12.75" customHeight="1">
      <c r="A60" s="128" t="s">
        <v>79</v>
      </c>
      <c r="B60" s="197">
        <f t="shared" si="1"/>
        <v>0.095</v>
      </c>
      <c r="C60" s="247">
        <f t="shared" si="2"/>
        <v>0.9473684210526316</v>
      </c>
      <c r="D60" s="199">
        <v>5</v>
      </c>
      <c r="E60" s="75"/>
      <c r="G60" s="24"/>
      <c r="H60" s="24"/>
      <c r="I60" s="24"/>
      <c r="J60" s="20"/>
      <c r="K60" s="24"/>
      <c r="U60" s="143"/>
      <c r="V60" s="20"/>
      <c r="W60" s="20"/>
      <c r="X60" s="20"/>
      <c r="Y60" s="20"/>
      <c r="Z60" s="20"/>
    </row>
    <row r="61" spans="1:26" ht="12.75" customHeight="1">
      <c r="A61" s="146" t="s">
        <v>81</v>
      </c>
      <c r="B61" s="191">
        <f t="shared" si="1"/>
        <v>0.095</v>
      </c>
      <c r="C61" s="192">
        <f t="shared" si="2"/>
        <v>0.9473684210526316</v>
      </c>
      <c r="D61" s="200">
        <v>15</v>
      </c>
      <c r="E61" s="75"/>
      <c r="G61" s="75"/>
      <c r="H61" s="75"/>
      <c r="I61" s="75"/>
      <c r="J61" s="20"/>
      <c r="K61" s="24"/>
      <c r="U61" s="143"/>
      <c r="V61" s="20"/>
      <c r="W61" s="20"/>
      <c r="X61" s="20"/>
      <c r="Y61" s="20"/>
      <c r="Z61" s="20"/>
    </row>
    <row r="62" spans="1:26" ht="12.75" customHeight="1">
      <c r="A62" s="146" t="s">
        <v>82</v>
      </c>
      <c r="B62" s="197">
        <f t="shared" si="1"/>
        <v>0.095</v>
      </c>
      <c r="C62" s="198">
        <f t="shared" si="2"/>
        <v>0.9473684210526316</v>
      </c>
      <c r="D62" s="194">
        <v>20</v>
      </c>
      <c r="E62" s="201"/>
      <c r="G62" s="75"/>
      <c r="H62" s="75"/>
      <c r="I62" s="75"/>
      <c r="J62" s="202"/>
      <c r="K62" s="24"/>
      <c r="U62" s="143"/>
      <c r="V62" s="20"/>
      <c r="W62" s="20"/>
      <c r="X62" s="20"/>
      <c r="Y62" s="20"/>
      <c r="Z62" s="20"/>
    </row>
    <row r="63" spans="1:26" ht="12.75">
      <c r="A63" s="128" t="s">
        <v>84</v>
      </c>
      <c r="B63" s="197">
        <f t="shared" si="1"/>
        <v>0.095</v>
      </c>
      <c r="C63" s="198">
        <f t="shared" si="2"/>
        <v>0.9473684210526316</v>
      </c>
      <c r="D63" s="199">
        <f>D62-10*LOG10(D6/0.001)</f>
        <v>-3.0102999566398125</v>
      </c>
      <c r="E63" s="117"/>
      <c r="G63" s="75"/>
      <c r="H63" s="75"/>
      <c r="I63" s="75"/>
      <c r="J63" s="20"/>
      <c r="K63" s="24"/>
      <c r="U63" s="20"/>
      <c r="V63" s="20"/>
      <c r="W63" s="20"/>
      <c r="X63" s="20"/>
      <c r="Y63" s="20"/>
      <c r="Z63" s="20"/>
    </row>
    <row r="64" spans="1:26" ht="14.25" customHeight="1" thickBot="1">
      <c r="A64" s="169" t="s">
        <v>85</v>
      </c>
      <c r="B64" s="203">
        <f t="shared" si="1"/>
        <v>0.095</v>
      </c>
      <c r="C64" s="248">
        <f t="shared" si="2"/>
        <v>0.9473684210526316</v>
      </c>
      <c r="D64" s="204">
        <v>5</v>
      </c>
      <c r="E64" s="117"/>
      <c r="G64" s="75"/>
      <c r="H64" s="75"/>
      <c r="I64" s="75"/>
      <c r="J64" s="20"/>
      <c r="K64" s="24"/>
      <c r="U64" s="20"/>
      <c r="V64" s="20"/>
      <c r="W64" s="20"/>
      <c r="X64" s="20"/>
      <c r="Y64" s="20"/>
      <c r="Z64" s="20"/>
    </row>
    <row r="65" spans="1:26" ht="13.5" customHeight="1">
      <c r="A65" s="24"/>
      <c r="B65" s="75"/>
      <c r="C65" s="75"/>
      <c r="D65" s="75"/>
      <c r="E65" s="75"/>
      <c r="F65" s="75"/>
      <c r="G65" s="75"/>
      <c r="H65" s="75"/>
      <c r="I65" s="75"/>
      <c r="J65" s="20"/>
      <c r="K65" s="24"/>
      <c r="L65" s="75"/>
      <c r="M65" s="75"/>
      <c r="N65" s="101"/>
      <c r="O65" s="20"/>
      <c r="P65" s="20"/>
      <c r="Q65" s="20"/>
      <c r="R65" s="20"/>
      <c r="S65" s="20"/>
      <c r="T65" s="20"/>
      <c r="U65" s="20"/>
      <c r="V65" s="20"/>
      <c r="W65" s="20"/>
      <c r="X65" s="20"/>
      <c r="Y65" s="20"/>
      <c r="Z65" s="20"/>
    </row>
    <row r="66" spans="1:26" s="117" customFormat="1" ht="39.75" customHeight="1" thickBot="1">
      <c r="A66" s="110" t="s">
        <v>63</v>
      </c>
      <c r="B66" s="111" t="s">
        <v>64</v>
      </c>
      <c r="C66" s="111" t="s">
        <v>65</v>
      </c>
      <c r="D66" s="111" t="s">
        <v>66</v>
      </c>
      <c r="E66" s="111" t="s">
        <v>91</v>
      </c>
      <c r="F66" s="111" t="s">
        <v>92</v>
      </c>
      <c r="G66" s="259" t="s">
        <v>71</v>
      </c>
      <c r="H66" s="259"/>
      <c r="I66" s="113" t="s">
        <v>93</v>
      </c>
      <c r="M66" s="20"/>
      <c r="N66" s="96"/>
      <c r="O66" s="108"/>
      <c r="P66" s="205"/>
      <c r="Q66" s="184"/>
      <c r="R66" s="20"/>
      <c r="S66" s="20"/>
      <c r="T66" s="20"/>
      <c r="U66" s="20"/>
      <c r="V66" s="20"/>
      <c r="W66" s="20"/>
      <c r="X66" s="20"/>
      <c r="Y66" s="20"/>
      <c r="Z66" s="20"/>
    </row>
    <row r="67" spans="1:17" ht="12.75">
      <c r="A67" s="118" t="s">
        <v>73</v>
      </c>
      <c r="B67" s="120">
        <f>B28</f>
        <v>-22.248983506565885</v>
      </c>
      <c r="C67" s="119">
        <f>1.3*NORMSINV($C$78)</f>
        <v>2.138309715036914</v>
      </c>
      <c r="D67" s="120">
        <f aca="true" t="shared" si="3" ref="D67:D77">B67-C67</f>
        <v>-24.3872932216028</v>
      </c>
      <c r="E67" s="206">
        <f aca="true" t="shared" si="4" ref="E67:E77">D54</f>
        <v>13.5</v>
      </c>
      <c r="F67" s="207">
        <f>10^((E67-D67)/5)/$B$6</f>
        <v>6299519.054948675</v>
      </c>
      <c r="G67" s="117"/>
      <c r="H67" s="117"/>
      <c r="I67" s="208">
        <f>4.5*684/286</f>
        <v>10.762237762237762</v>
      </c>
      <c r="M67" s="209"/>
      <c r="N67" s="209"/>
      <c r="O67" s="20"/>
      <c r="P67" s="20"/>
      <c r="Q67" s="20"/>
    </row>
    <row r="68" spans="1:16" ht="12.75">
      <c r="A68" s="239" t="s">
        <v>75</v>
      </c>
      <c r="B68" s="249">
        <f>B$28-11.2+10*LOG10(B6/0.01)</f>
        <v>-5.667471002729446</v>
      </c>
      <c r="C68" s="240">
        <f>4.5*NORMSINV($C$78)</f>
        <v>7.401841321281626</v>
      </c>
      <c r="D68" s="249">
        <f t="shared" si="3"/>
        <v>-13.069312324011072</v>
      </c>
      <c r="E68" s="250">
        <f t="shared" si="4"/>
        <v>-5.667471002729446</v>
      </c>
      <c r="F68" s="251">
        <f>10^((E68-D68)/5)/$B$6</f>
        <v>5.037522673421565</v>
      </c>
      <c r="G68" s="238"/>
      <c r="H68" s="75"/>
      <c r="I68" s="212" t="s">
        <v>94</v>
      </c>
      <c r="M68" s="183"/>
      <c r="N68" s="101"/>
      <c r="O68" s="213"/>
      <c r="P68" s="213"/>
    </row>
    <row r="69" spans="1:16" ht="12.75">
      <c r="A69" s="239" t="s">
        <v>98</v>
      </c>
      <c r="B69" s="249">
        <f>B28</f>
        <v>-22.248983506565885</v>
      </c>
      <c r="C69" s="240">
        <f>4.5*NORMSINV($C$78)</f>
        <v>7.401841321281626</v>
      </c>
      <c r="D69" s="249">
        <f t="shared" si="3"/>
        <v>-29.65082482784751</v>
      </c>
      <c r="E69" s="250">
        <f t="shared" si="4"/>
        <v>-8</v>
      </c>
      <c r="F69" s="251">
        <f>10^((E69-D69)/10)/$B$6</f>
        <v>24.374248380450382</v>
      </c>
      <c r="G69" s="75"/>
      <c r="H69" s="75"/>
      <c r="I69" s="75"/>
      <c r="M69" s="183"/>
      <c r="N69" s="101"/>
      <c r="O69" s="213"/>
      <c r="P69" s="213"/>
    </row>
    <row r="70" spans="1:26" ht="12.75" customHeight="1">
      <c r="A70" s="128" t="s">
        <v>76</v>
      </c>
      <c r="B70" s="181">
        <f>B28</f>
        <v>-22.248983506565885</v>
      </c>
      <c r="C70" s="137">
        <f>C67</f>
        <v>2.138309715036914</v>
      </c>
      <c r="D70" s="181">
        <f t="shared" si="3"/>
        <v>-24.3872932216028</v>
      </c>
      <c r="E70" s="210">
        <f t="shared" si="4"/>
        <v>-13</v>
      </c>
      <c r="F70" s="211">
        <f>10^((E70-D70)/10)/$B$6</f>
        <v>2.2939189641063336</v>
      </c>
      <c r="G70" s="139">
        <f>(IF(10^((D57-B$28)/10)&gt;1,ROUNDUP(10^((D57-B$28)/10),0)*832/I67,4/I67)+(832/I67))/1000</f>
        <v>0.7730734243014945</v>
      </c>
      <c r="H70" s="214" t="s">
        <v>74</v>
      </c>
      <c r="M70" s="183"/>
      <c r="N70" s="101"/>
      <c r="O70" s="213"/>
      <c r="P70" s="213"/>
      <c r="R70" s="143"/>
      <c r="S70" s="143"/>
      <c r="T70" s="143"/>
      <c r="U70" s="143"/>
      <c r="V70" s="20"/>
      <c r="W70" s="20"/>
      <c r="X70" s="20"/>
      <c r="Y70" s="20"/>
      <c r="Z70" s="20"/>
    </row>
    <row r="71" spans="1:17" ht="12.75">
      <c r="A71" s="128" t="s">
        <v>77</v>
      </c>
      <c r="B71" s="181">
        <f>B28</f>
        <v>-22.248983506565885</v>
      </c>
      <c r="C71" s="137">
        <f>C67</f>
        <v>2.138309715036914</v>
      </c>
      <c r="D71" s="181">
        <f t="shared" si="3"/>
        <v>-24.3872932216028</v>
      </c>
      <c r="E71" s="210">
        <f t="shared" si="4"/>
        <v>-18</v>
      </c>
      <c r="F71" s="211">
        <f>10^((E71-D71)/10)/$B$6</f>
        <v>0.7254008694430047</v>
      </c>
      <c r="G71" s="144">
        <f>(IF(10^((D58-B$28)/10)&gt;1,ROUNDUP(10^((D58-B$28)/10),0)*(313*832/I67),511/I67)+(313*832/I67))/1000</f>
        <v>96.78879272254711</v>
      </c>
      <c r="H71" s="215" t="s">
        <v>74</v>
      </c>
      <c r="M71" s="183"/>
      <c r="N71" s="183"/>
      <c r="O71" s="20"/>
      <c r="P71" s="216"/>
      <c r="Q71" s="20"/>
    </row>
    <row r="72" spans="1:16" ht="12.75">
      <c r="A72" s="146" t="s">
        <v>78</v>
      </c>
      <c r="B72" s="181">
        <f>B28</f>
        <v>-22.248983506565885</v>
      </c>
      <c r="C72" s="147">
        <f>C67</f>
        <v>2.138309715036914</v>
      </c>
      <c r="D72" s="181">
        <f t="shared" si="3"/>
        <v>-24.3872932216028</v>
      </c>
      <c r="E72" s="210">
        <f t="shared" si="4"/>
        <v>-15</v>
      </c>
      <c r="F72" s="211">
        <f>10^((E72-D72)/10)/$B$6</f>
        <v>1.4473650180452875</v>
      </c>
      <c r="G72" s="153">
        <f>(IF((10^((D59-B$28)/10)/3)&gt;1,ROUNDUP(10^((D59-B$28)/10)/3,0)*(313*832/I67),ROUNDUP(10^((D59-B$28)/10),0)*63/I67)+((313*832/I67)-2*63/I67))/1000</f>
        <v>72.57988693957115</v>
      </c>
      <c r="H72" s="217" t="s">
        <v>74</v>
      </c>
      <c r="M72" s="183"/>
      <c r="N72" s="101"/>
      <c r="O72" s="213"/>
      <c r="P72" s="213"/>
    </row>
    <row r="73" spans="1:16" ht="13.5" customHeight="1">
      <c r="A73" s="128" t="s">
        <v>79</v>
      </c>
      <c r="B73" s="218">
        <f>C$28+10*LOG10(30%)+10*LOG10(B6/0.02)</f>
        <v>19.293441587827367</v>
      </c>
      <c r="C73" s="155">
        <f>4*NORMSINV($C$78)</f>
        <v>6.57941450780589</v>
      </c>
      <c r="D73" s="218">
        <f t="shared" si="3"/>
        <v>12.714027080021477</v>
      </c>
      <c r="E73" s="219">
        <f t="shared" si="4"/>
        <v>5</v>
      </c>
      <c r="F73" s="220">
        <f>10^((E73-D73)/5)/$C$6</f>
        <v>0.004775769235854686</v>
      </c>
      <c r="G73" s="75"/>
      <c r="H73" s="75"/>
      <c r="M73" s="183"/>
      <c r="N73" s="101"/>
      <c r="O73" s="213"/>
      <c r="P73" s="213"/>
    </row>
    <row r="74" spans="1:16" ht="12.75" customHeight="1">
      <c r="A74" s="146" t="s">
        <v>81</v>
      </c>
      <c r="B74" s="148">
        <f>C$28+10*LOG10(10%)+10*LOG10(B6/0.02)</f>
        <v>14.52222904063074</v>
      </c>
      <c r="C74" s="158">
        <f>4*NORMSINV($C$78)</f>
        <v>6.57941450780589</v>
      </c>
      <c r="D74" s="148">
        <f t="shared" si="3"/>
        <v>7.942814532824851</v>
      </c>
      <c r="E74" s="221">
        <f t="shared" si="4"/>
        <v>15</v>
      </c>
      <c r="F74" s="222">
        <f>10^((E74-D74)/5)/$C$6</f>
        <v>4.298192312269222</v>
      </c>
      <c r="G74" s="20"/>
      <c r="H74" s="20"/>
      <c r="M74" s="183"/>
      <c r="N74" s="101"/>
      <c r="O74" s="213"/>
      <c r="P74" s="213"/>
    </row>
    <row r="75" spans="1:16" ht="15">
      <c r="A75" s="146" t="s">
        <v>82</v>
      </c>
      <c r="B75" s="181">
        <f>D28</f>
        <v>1.5222290406307408</v>
      </c>
      <c r="C75" s="158">
        <f>2.5*NORMSINV($C$78)</f>
        <v>4.1121340673786815</v>
      </c>
      <c r="D75" s="181">
        <f t="shared" si="3"/>
        <v>-2.5899050267479407</v>
      </c>
      <c r="E75" s="210">
        <f t="shared" si="4"/>
        <v>20</v>
      </c>
      <c r="F75" s="223">
        <f>10^((E75-D75)/5)/D$6</f>
        <v>164797.6482095091</v>
      </c>
      <c r="G75" s="213"/>
      <c r="H75" s="213"/>
      <c r="M75" s="224"/>
      <c r="N75" s="183"/>
      <c r="O75" s="213"/>
      <c r="P75" s="213"/>
    </row>
    <row r="76" spans="1:16" ht="12.75">
      <c r="A76" s="128" t="s">
        <v>84</v>
      </c>
      <c r="B76" s="218">
        <f>E28</f>
        <v>1.5325289972705534</v>
      </c>
      <c r="C76" s="137">
        <f>4.5*NORMSINV($C$78)</f>
        <v>7.401841321281626</v>
      </c>
      <c r="D76" s="218">
        <f t="shared" si="3"/>
        <v>-5.869312324011073</v>
      </c>
      <c r="E76" s="219">
        <f t="shared" si="4"/>
        <v>-3.0102999566398125</v>
      </c>
      <c r="F76" s="225">
        <f>10^((E76-D76)/5)/$E$6</f>
        <v>373.0804341491077</v>
      </c>
      <c r="G76" s="213"/>
      <c r="H76" s="213"/>
      <c r="M76" s="183"/>
      <c r="N76" s="101"/>
      <c r="O76" s="213"/>
      <c r="P76" s="213"/>
    </row>
    <row r="77" spans="1:16" ht="13.5" thickBot="1">
      <c r="A77" s="169" t="s">
        <v>85</v>
      </c>
      <c r="B77" s="226">
        <f>E28</f>
        <v>1.5325289972705534</v>
      </c>
      <c r="C77" s="170">
        <f>4.5*NORMSINV($C$78)</f>
        <v>7.401841321281626</v>
      </c>
      <c r="D77" s="226">
        <f t="shared" si="3"/>
        <v>-5.869312324011073</v>
      </c>
      <c r="E77" s="227">
        <f t="shared" si="4"/>
        <v>5</v>
      </c>
      <c r="F77" s="228">
        <f>10^((E77-D77)/10)/$E$6</f>
        <v>1221.606211754194</v>
      </c>
      <c r="G77" s="213"/>
      <c r="H77" s="213"/>
      <c r="M77" s="183"/>
      <c r="N77" s="101"/>
      <c r="O77" s="213"/>
      <c r="P77" s="213"/>
    </row>
    <row r="78" spans="1:16" ht="12.75">
      <c r="A78" s="213"/>
      <c r="B78" s="179" t="s">
        <v>86</v>
      </c>
      <c r="C78" s="229">
        <f>C49</f>
        <v>0.95</v>
      </c>
      <c r="D78" s="213"/>
      <c r="E78" s="213"/>
      <c r="F78" s="213"/>
      <c r="G78" s="213"/>
      <c r="H78" s="213"/>
      <c r="I78" s="213"/>
      <c r="J78" s="24"/>
      <c r="K78" s="21"/>
      <c r="L78" s="182"/>
      <c r="M78" s="183"/>
      <c r="N78" s="101"/>
      <c r="O78" s="213"/>
      <c r="P78" s="213"/>
    </row>
    <row r="79" spans="8:17" ht="12.75">
      <c r="H79" s="253"/>
      <c r="J79" s="213"/>
      <c r="K79" s="213"/>
      <c r="L79" s="213"/>
      <c r="M79" s="213"/>
      <c r="N79" s="230"/>
      <c r="O79" s="213"/>
      <c r="P79" s="213"/>
      <c r="Q79" s="213"/>
    </row>
    <row r="80" spans="8:17" ht="12.75">
      <c r="H80" s="253"/>
      <c r="J80" s="213"/>
      <c r="K80" s="213"/>
      <c r="L80" s="213"/>
      <c r="M80" s="213"/>
      <c r="N80" s="230"/>
      <c r="O80" s="213"/>
      <c r="P80" s="213"/>
      <c r="Q80" s="213"/>
    </row>
    <row r="81" spans="10:17" ht="12.75">
      <c r="J81" s="213"/>
      <c r="K81" s="213"/>
      <c r="L81" s="213"/>
      <c r="M81" s="213"/>
      <c r="N81" s="230"/>
      <c r="O81" s="213"/>
      <c r="P81" s="213"/>
      <c r="Q81" s="213"/>
    </row>
    <row r="83" ht="12.75"/>
    <row r="84" ht="12.75"/>
    <row r="85" ht="12.75"/>
    <row r="86" ht="12.75"/>
    <row r="88" ht="12.75"/>
    <row r="90" ht="12.75"/>
    <row r="91" ht="12.75"/>
  </sheetData>
  <mergeCells count="16">
    <mergeCell ref="A52:E52"/>
    <mergeCell ref="A36:E36"/>
    <mergeCell ref="G66:H66"/>
    <mergeCell ref="B18:E18"/>
    <mergeCell ref="B20:E20"/>
    <mergeCell ref="B21:E21"/>
    <mergeCell ref="I37:J37"/>
    <mergeCell ref="B17:E17"/>
    <mergeCell ref="A1:H1"/>
    <mergeCell ref="B19:E19"/>
    <mergeCell ref="B27:E27"/>
    <mergeCell ref="B26:E26"/>
    <mergeCell ref="B25:E25"/>
    <mergeCell ref="B24:E24"/>
    <mergeCell ref="B23:E23"/>
    <mergeCell ref="B22:E22"/>
  </mergeCells>
  <printOptions/>
  <pageMargins left="0.75" right="0.75" top="1" bottom="1" header="0.5" footer="0.5"/>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sheetPr codeName="Sheet51"/>
  <dimension ref="A1:O24"/>
  <sheetViews>
    <sheetView workbookViewId="0" topLeftCell="A1">
      <selection activeCell="C1" sqref="C1"/>
    </sheetView>
  </sheetViews>
  <sheetFormatPr defaultColWidth="9.140625" defaultRowHeight="12.75"/>
  <cols>
    <col min="1" max="1" width="9.140625" style="232" customWidth="1"/>
    <col min="2" max="2" width="5.57421875" style="232" customWidth="1"/>
    <col min="3" max="16384" width="9.140625" style="232" customWidth="1"/>
  </cols>
  <sheetData>
    <row r="1" ht="15.75">
      <c r="A1" s="231" t="s">
        <v>95</v>
      </c>
    </row>
    <row r="2" spans="1:15" ht="30" customHeight="1">
      <c r="A2" s="233"/>
      <c r="B2" s="234">
        <v>1</v>
      </c>
      <c r="C2" s="286" t="s">
        <v>96</v>
      </c>
      <c r="D2" s="286"/>
      <c r="E2" s="286"/>
      <c r="F2" s="286"/>
      <c r="G2" s="286"/>
      <c r="H2" s="286"/>
      <c r="I2" s="286"/>
      <c r="J2" s="286"/>
      <c r="K2" s="286"/>
      <c r="L2" s="286"/>
      <c r="M2" s="286"/>
      <c r="N2" s="286"/>
      <c r="O2" s="286"/>
    </row>
    <row r="3" spans="1:15" ht="30" customHeight="1">
      <c r="A3" s="233"/>
      <c r="B3" s="234">
        <v>2</v>
      </c>
      <c r="C3" s="286" t="s">
        <v>97</v>
      </c>
      <c r="D3" s="287"/>
      <c r="E3" s="287"/>
      <c r="F3" s="287"/>
      <c r="G3" s="287"/>
      <c r="H3" s="287"/>
      <c r="I3" s="287"/>
      <c r="J3" s="287"/>
      <c r="K3" s="287"/>
      <c r="L3" s="287"/>
      <c r="M3" s="287"/>
      <c r="N3" s="287"/>
      <c r="O3" s="287"/>
    </row>
    <row r="4" spans="1:3" ht="12.75">
      <c r="A4" s="233"/>
      <c r="C4" s="235"/>
    </row>
    <row r="5" ht="12.75">
      <c r="A5" s="233"/>
    </row>
    <row r="6" ht="12.75">
      <c r="A6" s="233"/>
    </row>
    <row r="7" ht="12.75">
      <c r="A7" s="233"/>
    </row>
    <row r="8" ht="12.75">
      <c r="A8" s="233"/>
    </row>
    <row r="9" ht="12.75">
      <c r="A9" s="233"/>
    </row>
    <row r="10" ht="12.75">
      <c r="A10" s="233"/>
    </row>
    <row r="11" ht="12.75">
      <c r="A11" s="233"/>
    </row>
    <row r="12" ht="12.75">
      <c r="A12" s="233"/>
    </row>
    <row r="13" ht="12.75">
      <c r="A13" s="233"/>
    </row>
    <row r="14" ht="12.75">
      <c r="A14" s="233"/>
    </row>
    <row r="15" ht="12.75">
      <c r="A15" s="233"/>
    </row>
    <row r="16" ht="12.75">
      <c r="A16" s="233"/>
    </row>
    <row r="17" ht="12.75">
      <c r="A17" s="233"/>
    </row>
    <row r="18" ht="12.75">
      <c r="A18" s="233"/>
    </row>
    <row r="19" ht="12.75">
      <c r="A19" s="233"/>
    </row>
    <row r="20" ht="12.75">
      <c r="A20" s="233"/>
    </row>
    <row r="21" ht="12.75">
      <c r="A21" s="233"/>
    </row>
    <row r="22" ht="12.75">
      <c r="A22" s="233"/>
    </row>
    <row r="23" ht="12.75">
      <c r="A23" s="233"/>
    </row>
    <row r="24" ht="12.75">
      <c r="A24" s="233"/>
    </row>
  </sheetData>
  <mergeCells count="2">
    <mergeCell ref="C3:O3"/>
    <mergeCell ref="C2:O2"/>
  </mergeCells>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 Chouinard-Channel</dc:creator>
  <cp:keywords/>
  <dc:description/>
  <cp:lastModifiedBy>Carl R. Stevenson</cp:lastModifiedBy>
  <dcterms:created xsi:type="dcterms:W3CDTF">2005-07-17T01:24:31Z</dcterms:created>
  <dcterms:modified xsi:type="dcterms:W3CDTF">2006-04-10T14:53:42Z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