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640" activeTab="0"/>
  </bookViews>
  <sheets>
    <sheet name="Title" sheetId="1" r:id="rId1"/>
    <sheet name="Sensing time" sheetId="2" r:id="rId2"/>
    <sheet name="References" sheetId="3" r:id="rId3"/>
  </sheets>
  <definedNames>
    <definedName name="Doc_title" localSheetId="2">'References'!$C$3</definedName>
    <definedName name="_xlnm.Print_Area" localSheetId="2">'References'!$A$1:$B$1</definedName>
    <definedName name="_xlnm.Print_Area" localSheetId="1">'Sensing time'!$A$5:$E$10</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G86" authorId="0">
      <text>
        <r>
          <rPr>
            <sz val="8"/>
            <rFont val="Tahoma"/>
            <family val="0"/>
          </rPr>
          <t>This represents the total integration time during the PN511 periods rounded up to the nearest number of PN511 periods that are needed to achieve the sensing performance at the given signal level.</t>
        </r>
      </text>
    </comment>
    <comment ref="G87" authorId="0">
      <text>
        <r>
          <rPr>
            <sz val="8"/>
            <rFont val="Tahoma"/>
            <family val="0"/>
          </rPr>
          <t>This represents the total integration time during the PN63 periods rounded up to the nearest number of PN63 periods that are needed to achieve the sensing performance at the given signal level.</t>
        </r>
      </text>
    </comment>
    <comment ref="G85" authorId="0">
      <text>
        <r>
          <rPr>
            <sz val="8"/>
            <rFont val="Tahoma"/>
            <family val="0"/>
          </rPr>
          <t>This represents the total integration time during the horizontal sync periods rounded up to the nearest number of horizontal sync intervals that are needed to achieve the sensing performance at the given signal level.</t>
        </r>
      </text>
    </comment>
    <comment ref="D69" authorId="0">
      <text>
        <r>
          <rPr>
            <sz val="8"/>
            <rFont val="Tahoma"/>
            <family val="0"/>
          </rPr>
          <t>C/N required to meet the detection performance with only one horizontal sync interval.</t>
        </r>
      </text>
    </comment>
    <comment ref="D70" authorId="0">
      <text>
        <r>
          <rPr>
            <sz val="8"/>
            <rFont val="Tahoma"/>
            <family val="0"/>
          </rPr>
          <t>C/N required to meet the detection performance with only one PN511 sequence.</t>
        </r>
      </text>
    </comment>
    <comment ref="D71" authorId="0">
      <text>
        <r>
          <rPr>
            <sz val="8"/>
            <rFont val="Tahoma"/>
            <family val="0"/>
          </rPr>
          <t>C/N required to meet the detection performance with three PN63 sequences.</t>
        </r>
      </text>
    </comment>
    <comment ref="D77" authorId="0">
      <text>
        <r>
          <rPr>
            <sz val="8"/>
            <rFont val="Tahoma"/>
            <family val="0"/>
          </rPr>
          <t>In 200 kHz bandwidth and integrated over 5 usec.</t>
        </r>
      </text>
    </comment>
    <comment ref="D78" authorId="0">
      <text>
        <r>
          <rPr>
            <sz val="8"/>
            <rFont val="Tahoma"/>
            <family val="0"/>
          </rPr>
          <t>In 10 kHz bandwidth and integrated over 100 usec.</t>
        </r>
      </text>
    </comment>
    <comment ref="D79" authorId="0">
      <text>
        <r>
          <rPr>
            <sz val="8"/>
            <rFont val="Tahoma"/>
            <family val="0"/>
          </rPr>
          <t>In 10 kHz bandwidth and integrated over 100 usec.</t>
        </r>
      </text>
    </comment>
    <comment ref="D67" authorId="0">
      <text>
        <r>
          <rPr>
            <sz val="8"/>
            <rFont val="Tahoma"/>
            <family val="0"/>
          </rPr>
          <t>In 10 kHz bandwidth and integrated over 100 usec.</t>
        </r>
      </text>
    </comment>
    <comment ref="D66" authorId="0">
      <text>
        <r>
          <rPr>
            <sz val="8"/>
            <rFont val="Tahoma"/>
            <family val="0"/>
          </rPr>
          <t>In 6 MHz bandwidth and integrated over 0.1667 usec.</t>
        </r>
      </text>
    </comment>
    <comment ref="D75" authorId="0">
      <text>
        <r>
          <rPr>
            <sz val="8"/>
            <rFont val="Tahoma"/>
            <family val="0"/>
          </rPr>
          <t>In 20 kHz bandwidth and integrated over 50 usec.</t>
        </r>
      </text>
    </comment>
    <comment ref="D76"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J82" authorId="0">
      <text>
        <r>
          <rPr>
            <sz val="8"/>
            <rFont val="Tahoma"/>
            <family val="0"/>
          </rPr>
          <t>ATSC-DTV symbol frequency, tolerance is +/- 30 Hz.</t>
        </r>
      </text>
    </comment>
    <comment ref="F35" authorId="1">
      <text>
        <r>
          <rPr>
            <b/>
            <sz val="8"/>
            <rFont val="Tahoma"/>
            <family val="0"/>
          </rPr>
          <t>danijela:</t>
        </r>
        <r>
          <rPr>
            <sz val="8"/>
            <rFont val="Tahoma"/>
            <family val="0"/>
          </rPr>
          <t xml:space="preserve">
</t>
        </r>
        <r>
          <rPr>
            <b/>
            <sz val="8"/>
            <rFont val="Tahoma"/>
            <family val="2"/>
          </rPr>
          <t>Formula for energy detection (1)</t>
        </r>
      </text>
    </comment>
    <comment ref="F41"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3" authorId="0">
      <text>
        <r>
          <rPr>
            <sz val="8"/>
            <rFont val="Tahoma"/>
            <family val="0"/>
          </rPr>
          <t>Table 15.1.2 of the FRD.</t>
        </r>
      </text>
    </comment>
    <comment ref="A34" authorId="0">
      <text>
        <r>
          <rPr>
            <sz val="8"/>
            <rFont val="Tahoma"/>
            <family val="0"/>
          </rPr>
          <t>Table 15.1.2 of the FRD.</t>
        </r>
      </text>
    </comment>
    <comment ref="C46" authorId="0">
      <text>
        <r>
          <rPr>
            <sz val="8"/>
            <rFont val="Tahoma"/>
            <family val="0"/>
          </rPr>
          <t>This variability is related to the bandwidth of the signal.  Larger the bandwidth is, smaller will be the depth of a fade over the entire channel bandwidth caused by multipath frequency selective fading.
Level to be maintained for 95% of the time is suggested at this time.</t>
        </r>
      </text>
    </comment>
    <comment ref="C48" authorId="0">
      <text>
        <r>
          <rPr>
            <sz val="8"/>
            <rFont val="Tahoma"/>
            <family val="0"/>
          </rPr>
          <t>The standard deviation of the signal in 10 kHz bandwidth caused by multipath in rural environment as used in the formula is extrapolated from Table X.2 of the ITU-R DSB Handbook, 2002.</t>
        </r>
      </text>
    </comment>
    <comment ref="C81"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48" authorId="0">
      <text>
        <r>
          <rPr>
            <sz val="8"/>
            <rFont val="Tahoma"/>
            <family val="0"/>
          </rPr>
          <t>The ATSC pilot is assumed to be 11.2 dB below the power of the total DTV signal and it is measured over a bandwidth of 10 kHz rather than the full 6 MHz.</t>
        </r>
      </text>
    </comment>
    <comment ref="D65"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41 and 42.  The integration time for the detection is initially set to the inverse of the measurement bandwidth but could be set at any appropriate value as long as the proper re-scaling is done in the next table.  </t>
        </r>
      </text>
    </comment>
    <comment ref="B83" authorId="0">
      <text>
        <r>
          <rPr>
            <sz val="8"/>
            <rFont val="Tahoma"/>
            <family val="0"/>
          </rPr>
          <t>The ATSC pilot is assumed to be 11.2 dB below the power of the total DTV signal and it is measured over a bandwidth of 10 kHz rather than the full 6 MHz.</t>
        </r>
      </text>
    </comment>
    <comment ref="G81" authorId="0">
      <text>
        <r>
          <rPr>
            <sz val="8"/>
            <rFont val="Tahoma"/>
            <family val="0"/>
          </rPr>
          <t>The assumption is that the integration time for sensing with needed probabilities (rows 41 and 42) can be scaled according to the available SNR.  As an example, if the actual SNR avaiable from the sensor RF front-end is 3 dB less than the needed SNR indicated in the previous table, the integration time will need to be quadrupled in the case of energy sensing and doubled in the case of correlated detection.   &lt;&lt;&lt;Still needs to be validated!&gt;&gt;&gt;</t>
        </r>
      </text>
    </comment>
    <comment ref="C58" authorId="0">
      <text>
        <r>
          <rPr>
            <sz val="8"/>
            <rFont val="Tahoma"/>
            <family val="0"/>
          </rPr>
          <t>The standard deviation of the signal in 200 kHz bandwidth caused by multipath in rural environment as used in the formula is extrapolated from Table X.2 of the ITU-R DSB Handbook, 2002.</t>
        </r>
      </text>
    </comment>
    <comment ref="C59"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56" authorId="0">
      <text>
        <r>
          <rPr>
            <sz val="8"/>
            <rFont val="Tahoma"/>
            <family val="0"/>
          </rPr>
          <t>The power of the NTSC visual carrier represents about 30% of the total NTSC power.</t>
        </r>
      </text>
    </comment>
    <comment ref="B57" authorId="0">
      <text>
        <r>
          <rPr>
            <sz val="8"/>
            <rFont val="Tahoma"/>
            <family val="0"/>
          </rPr>
          <t>The power of the NTSC sound carrier represents about 10% of the total NTSC power.</t>
        </r>
      </text>
    </comment>
    <comment ref="E46" authorId="0">
      <text>
        <r>
          <rPr>
            <sz val="8"/>
            <rFont val="Tahoma"/>
            <family val="0"/>
          </rPr>
          <t>Ratio between the beacon signal power and the total signal power.</t>
        </r>
      </text>
    </comment>
    <comment ref="H50"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51"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52"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29"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91" authorId="0">
      <text>
        <r>
          <rPr>
            <sz val="8"/>
            <rFont val="Tahoma"/>
            <family val="0"/>
          </rPr>
          <t>The power of the NTSC visual carrier represents about 30% of the total NTSC power.</t>
        </r>
      </text>
    </comment>
    <comment ref="B92" authorId="0">
      <text>
        <r>
          <rPr>
            <sz val="8"/>
            <rFont val="Tahoma"/>
            <family val="0"/>
          </rPr>
          <t>The power of the NTSC sound carrier represents about 10% of the total NTSC power.</t>
        </r>
      </text>
    </comment>
    <comment ref="C56" authorId="0">
      <text>
        <r>
          <rPr>
            <sz val="8"/>
            <rFont val="Tahoma"/>
            <family val="0"/>
          </rPr>
          <t>The standard deviation of the signal in 20 kHz bandwidth caused by multipath in rural environment as used in the formula is extrapolated from Table X.2 of the ITU-R DSB Handbook, 2002.</t>
        </r>
      </text>
    </comment>
    <comment ref="C57" authorId="0">
      <text>
        <r>
          <rPr>
            <sz val="8"/>
            <rFont val="Tahoma"/>
            <family val="0"/>
          </rPr>
          <t>The standard deviation of the signal in 20 kHz bandwidth caused by multipath in rural environment as used in the formula is extrapolated from Table X.2 of the ITU-R DSB Handbook, 2002.</t>
        </r>
      </text>
    </comment>
    <comment ref="B61"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96"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50" authorId="0">
      <text>
        <r>
          <rPr>
            <sz val="8"/>
            <rFont val="Tahoma"/>
            <family val="0"/>
          </rPr>
          <t xml:space="preserve">In case of a TDM, the total signal power carried in the channel is used for the correlated sensing detection during the sync period.  Theta is therefore equal to 100%. </t>
        </r>
      </text>
    </comment>
    <comment ref="E5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5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50" authorId="0">
      <text>
        <r>
          <rPr>
            <sz val="8"/>
            <rFont val="Tahoma"/>
            <family val="0"/>
          </rPr>
          <t>Number of sync periods needed, that is 1/4 the number of channel samples needed.</t>
        </r>
      </text>
    </comment>
    <comment ref="F51" authorId="0">
      <text>
        <r>
          <rPr>
            <sz val="8"/>
            <rFont val="Tahoma"/>
            <family val="0"/>
          </rPr>
          <t>Number of PN511 periods needed, that is 1/511 the number of channel samples needed.</t>
        </r>
      </text>
    </comment>
    <comment ref="F52" authorId="0">
      <text>
        <r>
          <rPr>
            <sz val="8"/>
            <rFont val="Tahoma"/>
            <family val="2"/>
          </rPr>
          <t>Number of 3*PN63 periods needed, that is 1/(3*63) the number of channel samples needed.</t>
        </r>
      </text>
    </comment>
    <comment ref="C49" authorId="0">
      <text>
        <r>
          <rPr>
            <sz val="8"/>
            <rFont val="Tahoma"/>
            <family val="0"/>
          </rPr>
          <t>The standard deviation of the signal in 10 kHz bandwidth caused by multipath in rural environment as used in the formula is extrapolated from Table X.2 of the ITU-R DSB Handbook, 2002.</t>
        </r>
      </text>
    </comment>
    <comment ref="E49" authorId="0">
      <text>
        <r>
          <rPr>
            <sz val="8"/>
            <rFont val="Tahoma"/>
            <family val="0"/>
          </rPr>
          <t>The ATSC pilot is assumed to be 11.2 dB below the power of the total DTV signal.</t>
        </r>
      </text>
    </comment>
    <comment ref="C47" authorId="0">
      <text>
        <r>
          <rPr>
            <sz val="8"/>
            <rFont val="Tahoma"/>
            <family val="0"/>
          </rPr>
          <t>The standard deviation of the signal in 6 MHz bandwidth caused by multipath in rural environment is taken from Table X.2 of the ITU-R DSB Handbook, 2002.</t>
        </r>
      </text>
    </comment>
    <comment ref="C60"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82" authorId="0">
      <text>
        <r>
          <rPr>
            <sz val="8"/>
            <rFont val="Tahoma"/>
            <family val="0"/>
          </rPr>
          <t>The standard deviation of the signal in 6 MHz bandwidth caused by multipath in rural environment is taken from Table X.2 of the ITU-R DSB Handbook, 2002.</t>
        </r>
      </text>
    </comment>
    <comment ref="C83" authorId="0">
      <text>
        <r>
          <rPr>
            <sz val="8"/>
            <rFont val="Tahoma"/>
            <family val="0"/>
          </rPr>
          <t>The standard deviation of the signal in 10 kHz bandwidth caused by multipath in rural environment as used in the formula is extrapolated from Table X.2 of the ITU-R DSB Handbook, 2002.</t>
        </r>
      </text>
    </comment>
    <comment ref="C84" authorId="0">
      <text>
        <r>
          <rPr>
            <sz val="8"/>
            <rFont val="Tahoma"/>
            <family val="0"/>
          </rPr>
          <t>The standard deviation of the signal in 10 kHz bandwidth caused by multipath in rural environment as used in the formula is extrapolated from Table X.2 of the ITU-R DSB Handbook, 2002.</t>
        </r>
      </text>
    </comment>
    <comment ref="C91" authorId="0">
      <text>
        <r>
          <rPr>
            <sz val="8"/>
            <rFont val="Tahoma"/>
            <family val="0"/>
          </rPr>
          <t>The standard deviation of the signal in 20 kHz bandwidth caused by multipath in rural environment as used in the formula is extrapolated from Table X.2 of the ITU-R DSB Handbook, 2002.</t>
        </r>
      </text>
    </comment>
    <comment ref="C92" authorId="0">
      <text>
        <r>
          <rPr>
            <sz val="8"/>
            <rFont val="Tahoma"/>
            <family val="0"/>
          </rPr>
          <t>The standard deviation of the signal in 20 kHz bandwidth caused by multipath in rural environment as used in the formula is extrapolated from Table X.2 of the ITU-R DSB Handbook, 2002.</t>
        </r>
      </text>
    </comment>
    <comment ref="C93" authorId="0">
      <text>
        <r>
          <rPr>
            <sz val="8"/>
            <rFont val="Tahoma"/>
            <family val="0"/>
          </rPr>
          <t>The standard deviation of the signal in 200 kHz bandwidth caused by multipath in rural environment as used in the formula is extrapolated from Table X.2 of the ITU-R DSB Handbook, 2002.</t>
        </r>
      </text>
    </comment>
    <comment ref="C94"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95"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A41" authorId="0">
      <text>
        <r>
          <rPr>
            <sz val="8"/>
            <rFont val="Tahoma"/>
            <family val="0"/>
          </rPr>
          <t>Table 15.1.2 of the FRD.</t>
        </r>
      </text>
    </comment>
    <comment ref="A42" authorId="0">
      <text>
        <r>
          <rPr>
            <sz val="8"/>
            <rFont val="Tahoma"/>
            <family val="0"/>
          </rPr>
          <t>Table 15.1.2 of the FRD.</t>
        </r>
      </text>
    </comment>
    <comment ref="A37" authorId="0">
      <text>
        <r>
          <rPr>
            <sz val="8"/>
            <rFont val="Tahoma"/>
            <family val="0"/>
          </rPr>
          <t>Table 15.1.2 of the FRD.</t>
        </r>
      </text>
    </comment>
    <comment ref="A38" authorId="0">
      <text>
        <r>
          <rPr>
            <sz val="8"/>
            <rFont val="Tahoma"/>
            <family val="0"/>
          </rPr>
          <t>Table 15.1.2 of the FRD.</t>
        </r>
      </text>
    </comment>
    <comment ref="B36" authorId="0">
      <text>
        <r>
          <rPr>
            <sz val="8"/>
            <rFont val="Tahoma"/>
            <family val="0"/>
          </rPr>
          <t>Number of WRAN systems expected to use the same channel in the area immediate to DTV receivers.</t>
        </r>
      </text>
    </comment>
    <comment ref="B40" authorId="0">
      <text>
        <r>
          <rPr>
            <sz val="8"/>
            <rFont val="Tahoma"/>
            <family val="0"/>
          </rPr>
          <t>Number of CPEs for each WRAN system located in the immediate area of potential interference that would be relied upon to sense the presence of incumbent operation.</t>
        </r>
      </text>
    </comment>
    <comment ref="D68" authorId="0">
      <text>
        <r>
          <rPr>
            <sz val="8"/>
            <rFont val="Tahoma"/>
            <family val="0"/>
          </rPr>
          <t>Measurement is done over the full 6 MHz bandwidth but integrated over 100 usec.</t>
        </r>
      </text>
    </comment>
    <comment ref="E75" authorId="0">
      <text>
        <r>
          <rPr>
            <sz val="8"/>
            <rFont val="Tahoma"/>
            <family val="0"/>
          </rPr>
          <t>The power of the NTSC visual carrier represents about 30% of the total NTSC power.</t>
        </r>
      </text>
    </comment>
    <comment ref="E76" authorId="0">
      <text>
        <r>
          <rPr>
            <sz val="8"/>
            <rFont val="Tahoma"/>
            <family val="0"/>
          </rPr>
          <t>The power of the NTSC sound carrier represents about 10% of the total NTSC power.</t>
        </r>
      </text>
    </comment>
    <comment ref="E67" authorId="0">
      <text>
        <r>
          <rPr>
            <sz val="8"/>
            <rFont val="Tahoma"/>
            <family val="0"/>
          </rPr>
          <t>The ATSC pilot is assumed to be 11.2 dB below the power of the total DTV signal.</t>
        </r>
      </text>
    </comment>
    <comment ref="E68" authorId="0">
      <text>
        <r>
          <rPr>
            <sz val="8"/>
            <rFont val="Tahoma"/>
            <family val="0"/>
          </rPr>
          <t>The ATSC pilot is assumed to be 11.2 dB below the power of the total DTV signal.</t>
        </r>
      </text>
    </comment>
    <comment ref="H85"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6"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7"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F46"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48" authorId="0">
      <text>
        <r>
          <rPr>
            <sz val="8"/>
            <rFont val="Tahoma"/>
            <family val="0"/>
          </rPr>
          <t>A 10 kHz analog filter is assumed around the pilot.</t>
        </r>
      </text>
    </comment>
  </commentList>
</comments>
</file>

<file path=xl/sharedStrings.xml><?xml version="1.0" encoding="utf-8"?>
<sst xmlns="http://schemas.openxmlformats.org/spreadsheetml/2006/main" count="174" uniqueCount="110">
  <si>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</si>
  <si>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</si>
  <si>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</si>
  <si>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</si>
  <si>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</si>
  <si>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</si>
  <si>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</si>
  <si>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</si>
  <si>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</si>
  <si>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</si>
  <si>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</si>
  <si>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</si>
  <si>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</si>
  <si>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</si>
  <si>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</si>
  <si>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</si>
  <si>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</si>
  <si>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</si>
  <si>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</si>
  <si>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</si>
  <si>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</si>
  <si>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</si>
  <si>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Sensing Thresholds</t>
  </si>
  <si>
    <t>Danijela Cabric</t>
  </si>
  <si>
    <t>Communications Research Center</t>
  </si>
  <si>
    <t>UC Berkeley</t>
  </si>
  <si>
    <t>Danijela Cabric &lt;danijela@EECS.Berkeley.EDU&gt;</t>
  </si>
  <si>
    <t>802.22 WRAN Incumbent Sensing</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</si>
  <si>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</si>
  <si>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</si>
  <si>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</si>
  <si>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</si>
  <si>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</si>
  <si>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</si>
  <si>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</si>
  <si>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</si>
  <si>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</si>
  <si>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</si>
  <si>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</si>
  <si>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</si>
  <si>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</si>
  <si>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</si>
  <si>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</si>
  <si>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</si>
  <si>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</si>
  <si>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</si>
  <si>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</si>
  <si>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</si>
  <si>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</si>
  <si>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</si>
  <si>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Coupling loss (dB)</t>
  </si>
  <si>
    <t>Downlead loss (dB)</t>
  </si>
  <si>
    <t>Pre-selection filter loss (dB)</t>
  </si>
  <si>
    <t>LNA Noise Figure (dB)</t>
  </si>
  <si>
    <t>RF front-end Figure of Merit: G/T (dBK^1)</t>
  </si>
  <si>
    <t>Sensing Signal-to-Noise ratio (SNR)</t>
  </si>
  <si>
    <t>Probability of detection (true-positive)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</si>
  <si>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</si>
  <si>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</si>
  <si>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</si>
  <si>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</si>
  <si>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</si>
  <si>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</si>
  <si>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</si>
  <si>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</si>
  <si>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</si>
  <si>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</si>
  <si>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DTV energy detection (6 MHz)</t>
  </si>
  <si>
    <t>ms</t>
  </si>
  <si>
    <t>DTV pilot tone energy detection (10 kHz)</t>
  </si>
  <si>
    <t>DTV PN511 cyclostationary detection</t>
  </si>
  <si>
    <t>DTV PN63 cyclostationary detection</t>
  </si>
  <si>
    <t>NTSC visual carrier detection (in 20 kHz)</t>
  </si>
  <si>
    <t>NTSC sound carrier detection (in 20 kHz)</t>
  </si>
  <si>
    <t>Part 74 Wireless micro energy detection (200 kHz)</t>
  </si>
  <si>
    <t>Part 74 Beacon energy detection (10 kHz)</t>
  </si>
  <si>
    <t>Part 74 Beacon decoding (10 kHz)</t>
  </si>
  <si>
    <t>Signal availability:</t>
  </si>
  <si>
    <t>Empirical model based on sensing scheme measurement results</t>
  </si>
  <si>
    <t>Pfa</t>
  </si>
  <si>
    <t>Pd</t>
  </si>
  <si>
    <t>Measured SNR (dB)</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</si>
  <si>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</si>
  <si>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</si>
  <si>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</si>
  <si>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</si>
  <si>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</si>
  <si>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</si>
  <si>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Equivalent Noise Figure (dB)</t>
  </si>
  <si>
    <t>doc.: IEEE 802.22-06/0051r2</t>
  </si>
  <si>
    <t>System detection performance</t>
  </si>
  <si>
    <t>CPE detection performance</t>
  </si>
  <si>
    <t>Overall detection performance</t>
  </si>
  <si>
    <t>Number of systems in the area:</t>
  </si>
  <si>
    <t>Number of sensing CPEs:</t>
  </si>
  <si>
    <t>Antenna height (m)</t>
  </si>
  <si>
    <t>Probability of false alarm (false-positive)</t>
  </si>
  <si>
    <t>C/N requirements for the specified detection performance per Nyquist sample (BW*Time=1)</t>
  </si>
  <si>
    <r>
      <t xml:space="preserve">Measured SNR (dB)
</t>
    </r>
    <r>
      <rPr>
        <sz val="10"/>
        <rFont val="Arial"/>
        <family val="2"/>
      </rPr>
      <t>Meas. BW   TV: 6 MHz</t>
    </r>
  </si>
  <si>
    <t>Functional Requirements for the 802.22 WRAN Standard: 22-05-0007-46-0000_RAN_Requirements.doc</t>
  </si>
  <si>
    <t>DTV PN511 correlated detection</t>
  </si>
  <si>
    <t>DTV PN63 correlated detection</t>
  </si>
  <si>
    <t>DTV horizontal sync correlated detection</t>
  </si>
  <si>
    <t>DTV horizontal sync cyclostationary detection</t>
  </si>
  <si>
    <t>May 2006</t>
  </si>
  <si>
    <t>2006-05-03</t>
  </si>
  <si>
    <t>Philips Research</t>
  </si>
  <si>
    <t>Monisha Gosh</t>
  </si>
  <si>
    <t>Briarclif Manor, NY, USA</t>
  </si>
  <si>
    <t>monisha.ghosh@philips.com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</si>
</sst>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s>
  <fonts count="22">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8"/>
      <name val="Tahoma"/>
      <family val="0"/>
    </font>
    <font>
      <b/>
      <sz val="8"/>
      <name val="Tahoma"/>
      <family val="0"/>
    </font>
    <font>
      <b/>
      <sz val="8"/>
      <name val="Arial"/>
      <family val="2"/>
    </font>
  </fonts>
  <fills count="8">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s>
  <borders count="49">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style="thin"/>
      <top>
        <color indexed="63"/>
      </top>
      <bottom>
        <color indexed="63"/>
      </bottom>
    </border>
    <border>
      <left style="medium"/>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29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9" fillId="0" borderId="0" xfId="0" applyFont="1" applyBorder="1" applyAlignment="1">
      <alignment/>
    </xf>
    <xf numFmtId="0" fontId="6" fillId="2" borderId="0" xfId="23" applyFont="1" applyFill="1" applyAlignment="1">
      <alignment horizontal="center" vertical="center"/>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3"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lignment/>
    </xf>
    <xf numFmtId="0" fontId="0" fillId="0" borderId="3" xfId="23" applyFont="1" applyBorder="1" applyAlignment="1">
      <alignment horizontal="center"/>
    </xf>
    <xf numFmtId="0" fontId="0" fillId="0" borderId="4" xfId="23" applyBorder="1" applyAlignment="1">
      <alignment horizontal="center"/>
    </xf>
    <xf numFmtId="0" fontId="0" fillId="0" borderId="5" xfId="23" applyBorder="1" applyAlignment="1">
      <alignment horizontal="center"/>
    </xf>
    <xf numFmtId="0" fontId="0" fillId="0" borderId="6" xfId="23" applyFill="1" applyBorder="1" applyAlignment="1">
      <alignment horizontal="center"/>
    </xf>
    <xf numFmtId="0" fontId="5" fillId="0" borderId="7" xfId="23" applyFont="1" applyBorder="1">
      <alignment/>
    </xf>
    <xf numFmtId="0" fontId="0" fillId="0" borderId="8" xfId="23" applyFont="1" applyBorder="1" applyAlignment="1">
      <alignment horizontal="center"/>
    </xf>
    <xf numFmtId="0" fontId="0" fillId="0" borderId="0" xfId="23" applyBorder="1" applyAlignment="1">
      <alignment horizontal="center"/>
    </xf>
    <xf numFmtId="0" fontId="0" fillId="0" borderId="9" xfId="23" applyBorder="1" applyAlignment="1">
      <alignment horizontal="center"/>
    </xf>
    <xf numFmtId="0" fontId="0" fillId="0" borderId="10" xfId="23" applyFill="1" applyBorder="1" applyAlignment="1">
      <alignment horizontal="center"/>
    </xf>
    <xf numFmtId="0" fontId="0" fillId="0" borderId="7" xfId="23" applyBorder="1">
      <alignment/>
    </xf>
    <xf numFmtId="2" fontId="12" fillId="0" borderId="8" xfId="23" applyNumberFormat="1" applyFont="1" applyBorder="1" applyAlignment="1">
      <alignment horizontal="center"/>
    </xf>
    <xf numFmtId="2" fontId="12" fillId="0" borderId="0" xfId="23" applyNumberFormat="1" applyFont="1" applyBorder="1" applyAlignment="1">
      <alignment horizontal="center"/>
    </xf>
    <xf numFmtId="2" fontId="12" fillId="0" borderId="9" xfId="23" applyNumberFormat="1" applyFont="1" applyBorder="1" applyAlignment="1">
      <alignment horizontal="center"/>
    </xf>
    <xf numFmtId="2" fontId="12" fillId="0" borderId="10" xfId="23" applyNumberFormat="1" applyFont="1" applyBorder="1" applyAlignment="1">
      <alignment horizontal="center"/>
    </xf>
    <xf numFmtId="0" fontId="0" fillId="0" borderId="7" xfId="23" applyFont="1" applyFill="1" applyBorder="1">
      <alignment/>
    </xf>
    <xf numFmtId="172" fontId="12" fillId="0" borderId="8" xfId="23" applyNumberFormat="1" applyFont="1" applyBorder="1" applyAlignment="1">
      <alignment horizontal="center"/>
    </xf>
    <xf numFmtId="172" fontId="12" fillId="0" borderId="0" xfId="23" applyNumberFormat="1" applyFont="1" applyBorder="1" applyAlignment="1">
      <alignment horizontal="center"/>
    </xf>
    <xf numFmtId="172" fontId="12" fillId="0" borderId="9" xfId="23" applyNumberFormat="1" applyFont="1" applyBorder="1" applyAlignment="1">
      <alignment horizontal="center"/>
    </xf>
    <xf numFmtId="172" fontId="12" fillId="0" borderId="10" xfId="23" applyNumberFormat="1" applyFont="1" applyBorder="1" applyAlignment="1">
      <alignment horizontal="center"/>
    </xf>
    <xf numFmtId="0" fontId="5" fillId="0" borderId="11" xfId="23" applyFont="1" applyBorder="1">
      <alignment/>
    </xf>
    <xf numFmtId="172" fontId="0" fillId="0" borderId="12" xfId="23" applyNumberFormat="1" applyFont="1" applyBorder="1" applyAlignment="1">
      <alignment horizontal="center"/>
    </xf>
    <xf numFmtId="172" fontId="0" fillId="0" borderId="1" xfId="23" applyNumberFormat="1" applyFont="1" applyBorder="1" applyAlignment="1">
      <alignment horizontal="center"/>
    </xf>
    <xf numFmtId="172" fontId="0" fillId="0" borderId="13" xfId="23" applyNumberFormat="1" applyFont="1" applyBorder="1" applyAlignment="1">
      <alignment horizontal="center"/>
    </xf>
    <xf numFmtId="172" fontId="0" fillId="0" borderId="14" xfId="23" applyNumberFormat="1" applyFont="1" applyBorder="1" applyAlignment="1">
      <alignment horizontal="center"/>
    </xf>
    <xf numFmtId="0" fontId="0" fillId="0" borderId="0" xfId="23" applyAlignment="1">
      <alignment horizontal="center"/>
    </xf>
    <xf numFmtId="0" fontId="0" fillId="0" borderId="2" xfId="23" applyFont="1" applyBorder="1">
      <alignment/>
    </xf>
    <xf numFmtId="172" fontId="0" fillId="0" borderId="3" xfId="23" applyNumberFormat="1" applyBorder="1" applyAlignment="1">
      <alignment horizontal="center"/>
    </xf>
    <xf numFmtId="172" fontId="0" fillId="0" borderId="15" xfId="23" applyNumberFormat="1" applyBorder="1" applyAlignment="1">
      <alignment horizontal="center"/>
    </xf>
    <xf numFmtId="0" fontId="0" fillId="0" borderId="16" xfId="23" applyBorder="1" applyAlignment="1">
      <alignment horizontal="center"/>
    </xf>
    <xf numFmtId="0" fontId="0" fillId="0" borderId="17" xfId="23" applyFont="1" applyBorder="1">
      <alignment/>
    </xf>
    <xf numFmtId="172" fontId="0" fillId="0" borderId="18" xfId="23" applyNumberFormat="1" applyFont="1" applyBorder="1" applyAlignment="1">
      <alignment horizontal="center"/>
    </xf>
    <xf numFmtId="172" fontId="0" fillId="0" borderId="19" xfId="23" applyNumberFormat="1" applyBorder="1" applyAlignment="1">
      <alignment horizontal="center"/>
    </xf>
    <xf numFmtId="172" fontId="0" fillId="0" borderId="18" xfId="23" applyNumberFormat="1" applyBorder="1" applyAlignment="1">
      <alignment horizontal="center"/>
    </xf>
    <xf numFmtId="172" fontId="0" fillId="0" borderId="20" xfId="23" applyNumberFormat="1" applyBorder="1" applyAlignment="1">
      <alignment horizontal="center"/>
    </xf>
    <xf numFmtId="0" fontId="0" fillId="0" borderId="21" xfId="23" applyBorder="1" applyAlignment="1">
      <alignment horizontal="center"/>
    </xf>
    <xf numFmtId="0" fontId="5" fillId="0" borderId="11"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7"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2"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7" xfId="23" applyBorder="1" applyAlignment="1">
      <alignment wrapText="1"/>
    </xf>
    <xf numFmtId="0" fontId="0" fillId="0" borderId="7" xfId="23" applyBorder="1" applyAlignment="1">
      <alignment horizontal="left" wrapText="1"/>
    </xf>
    <xf numFmtId="0" fontId="0" fillId="0" borderId="0" xfId="23" applyBorder="1" applyAlignment="1">
      <alignment horizontal="left" wrapText="1"/>
    </xf>
    <xf numFmtId="0" fontId="0" fillId="0" borderId="7" xfId="23" applyFill="1" applyBorder="1">
      <alignment/>
    </xf>
    <xf numFmtId="0" fontId="0" fillId="0" borderId="23" xfId="23" applyFill="1" applyBorder="1" applyAlignment="1">
      <alignment horizontal="left" vertical="top" wrapText="1"/>
    </xf>
    <xf numFmtId="172" fontId="0" fillId="4"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2" xfId="23" applyFont="1" applyFill="1" applyBorder="1" applyAlignment="1">
      <alignment horizontal="left"/>
    </xf>
    <xf numFmtId="9" fontId="0" fillId="5" borderId="3" xfId="23" applyNumberFormat="1" applyFill="1" applyBorder="1" applyAlignment="1">
      <alignment horizontal="center"/>
    </xf>
    <xf numFmtId="9" fontId="0" fillId="5" borderId="4" xfId="23" applyNumberFormat="1" applyFill="1" applyBorder="1" applyAlignment="1">
      <alignment horizontal="center"/>
    </xf>
    <xf numFmtId="9" fontId="0" fillId="5" borderId="15" xfId="23" applyNumberFormat="1" applyFill="1" applyBorder="1" applyAlignment="1">
      <alignment horizontal="center"/>
    </xf>
    <xf numFmtId="1" fontId="0" fillId="0" borderId="0" xfId="23" applyNumberFormat="1" applyFill="1" applyBorder="1" applyAlignment="1">
      <alignment horizontal="center"/>
    </xf>
    <xf numFmtId="0" fontId="14" fillId="0" borderId="11" xfId="23" applyFont="1" applyFill="1" applyBorder="1" applyAlignment="1">
      <alignment horizontal="left"/>
    </xf>
    <xf numFmtId="9" fontId="0" fillId="5" borderId="12" xfId="23" applyNumberFormat="1" applyFill="1" applyBorder="1" applyAlignment="1">
      <alignment horizontal="center"/>
    </xf>
    <xf numFmtId="9" fontId="0" fillId="5" borderId="1" xfId="23" applyNumberFormat="1" applyFill="1" applyBorder="1" applyAlignment="1">
      <alignment horizontal="center"/>
    </xf>
    <xf numFmtId="9" fontId="0" fillId="5"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wrapText="1"/>
    </xf>
    <xf numFmtId="0" fontId="0" fillId="0" borderId="0" xfId="23" applyBorder="1">
      <alignment/>
    </xf>
    <xf numFmtId="0" fontId="0" fillId="0" borderId="2" xfId="23" applyFont="1" applyFill="1" applyBorder="1" applyAlignment="1">
      <alignment horizontal="left" wrapText="1"/>
    </xf>
    <xf numFmtId="172" fontId="0" fillId="0" borderId="3" xfId="23" applyNumberFormat="1" applyFill="1" applyBorder="1" applyAlignment="1">
      <alignment horizontal="center" wrapText="1"/>
    </xf>
    <xf numFmtId="172" fontId="0" fillId="0" borderId="4" xfId="23" applyNumberFormat="1" applyFill="1" applyBorder="1" applyAlignment="1">
      <alignment horizontal="center" wrapText="1"/>
    </xf>
    <xf numFmtId="1" fontId="0" fillId="0" borderId="8" xfId="23" applyNumberFormat="1" applyFont="1" applyFill="1" applyBorder="1" applyAlignment="1">
      <alignment horizontal="center"/>
    </xf>
    <xf numFmtId="183" fontId="0" fillId="0" borderId="4" xfId="23" applyNumberFormat="1" applyBorder="1" applyAlignment="1">
      <alignment horizontal="center"/>
    </xf>
    <xf numFmtId="2" fontId="0" fillId="0" borderId="15" xfId="23" applyNumberFormat="1" applyBorder="1" applyAlignment="1">
      <alignment horizontal="center"/>
    </xf>
    <xf numFmtId="0" fontId="0" fillId="0" borderId="7" xfId="23" applyFont="1" applyFill="1" applyBorder="1" applyAlignment="1">
      <alignment horizontal="left"/>
    </xf>
    <xf numFmtId="172" fontId="0" fillId="0" borderId="8" xfId="23" applyNumberFormat="1" applyFill="1" applyBorder="1" applyAlignment="1">
      <alignment horizontal="center" wrapText="1"/>
    </xf>
    <xf numFmtId="183" fontId="0" fillId="0" borderId="0" xfId="23" applyNumberFormat="1" applyBorder="1" applyAlignment="1">
      <alignment horizontal="center"/>
    </xf>
    <xf numFmtId="2" fontId="0" fillId="0" borderId="30" xfId="23" applyNumberFormat="1" applyBorder="1" applyAlignment="1">
      <alignment horizontal="center"/>
    </xf>
    <xf numFmtId="172" fontId="0" fillId="0" borderId="31" xfId="23" applyNumberFormat="1" applyFill="1" applyBorder="1" applyAlignment="1">
      <alignment horizontal="center"/>
    </xf>
    <xf numFmtId="172" fontId="0" fillId="0" borderId="8" xfId="23" applyNumberFormat="1" applyFill="1" applyBorder="1" applyAlignment="1">
      <alignment horizontal="center"/>
    </xf>
    <xf numFmtId="9" fontId="0" fillId="0" borderId="0" xfId="23" applyNumberFormat="1" applyBorder="1" applyAlignment="1">
      <alignment horizontal="center"/>
    </xf>
    <xf numFmtId="2" fontId="0" fillId="0" borderId="16" xfId="23" applyNumberFormat="1" applyFill="1" applyBorder="1" applyAlignment="1">
      <alignment horizontal="center"/>
    </xf>
    <xf numFmtId="172" fontId="0" fillId="0" borderId="32" xfId="23" applyNumberFormat="1" applyFill="1" applyBorder="1" applyAlignment="1">
      <alignment horizontal="center"/>
    </xf>
    <xf numFmtId="172" fontId="0" fillId="0" borderId="0" xfId="23" applyNumberFormat="1" applyFill="1" applyBorder="1" applyAlignment="1">
      <alignment/>
    </xf>
    <xf numFmtId="2" fontId="0" fillId="0" borderId="21" xfId="23" applyNumberFormat="1" applyFill="1" applyBorder="1" applyAlignment="1">
      <alignment horizontal="center"/>
    </xf>
    <xf numFmtId="0" fontId="0" fillId="0" borderId="17" xfId="23" applyFont="1" applyFill="1" applyBorder="1" applyAlignment="1">
      <alignment horizontal="left"/>
    </xf>
    <xf numFmtId="172" fontId="0" fillId="0" borderId="18" xfId="23" applyNumberFormat="1" applyFill="1" applyBorder="1" applyAlignment="1">
      <alignment horizontal="center" wrapText="1"/>
    </xf>
    <xf numFmtId="172" fontId="0" fillId="0" borderId="31" xfId="23" applyNumberFormat="1" applyFill="1" applyBorder="1" applyAlignment="1">
      <alignment horizontal="center" wrapText="1"/>
    </xf>
    <xf numFmtId="1" fontId="0" fillId="0" borderId="18" xfId="23" applyNumberFormat="1" applyFont="1" applyFill="1" applyBorder="1" applyAlignment="1">
      <alignment horizontal="center"/>
    </xf>
    <xf numFmtId="9" fontId="0" fillId="0" borderId="31" xfId="23" applyNumberFormat="1" applyBorder="1" applyAlignment="1">
      <alignment horizontal="center"/>
    </xf>
    <xf numFmtId="2" fontId="0" fillId="0" borderId="20" xfId="23" applyNumberFormat="1" applyBorder="1" applyAlignment="1">
      <alignment horizontal="center"/>
    </xf>
    <xf numFmtId="2" fontId="0" fillId="0" borderId="22" xfId="23" applyNumberFormat="1" applyFill="1" applyBorder="1" applyAlignment="1">
      <alignment horizontal="center" wrapText="1"/>
    </xf>
    <xf numFmtId="172" fontId="0" fillId="0" borderId="33" xfId="23" applyNumberFormat="1" applyFill="1" applyBorder="1" applyAlignment="1">
      <alignment horizontal="center"/>
    </xf>
    <xf numFmtId="173" fontId="0" fillId="0" borderId="9" xfId="23" applyNumberFormat="1" applyBorder="1" applyAlignment="1">
      <alignment horizontal="center"/>
    </xf>
    <xf numFmtId="180" fontId="0" fillId="0" borderId="30" xfId="23" applyNumberFormat="1" applyBorder="1" applyAlignment="1">
      <alignment horizontal="center"/>
    </xf>
    <xf numFmtId="172" fontId="0" fillId="0" borderId="18" xfId="23" applyNumberFormat="1" applyFill="1" applyBorder="1" applyAlignment="1">
      <alignment horizontal="center"/>
    </xf>
    <xf numFmtId="172" fontId="0" fillId="0" borderId="34" xfId="23" applyNumberFormat="1" applyFill="1" applyBorder="1" applyAlignment="1">
      <alignment horizontal="center" wrapText="1"/>
    </xf>
    <xf numFmtId="1" fontId="0" fillId="0" borderId="34" xfId="23" applyNumberFormat="1" applyFont="1" applyFill="1" applyBorder="1" applyAlignment="1">
      <alignment horizontal="center"/>
    </xf>
    <xf numFmtId="183" fontId="0" fillId="0" borderId="35" xfId="23" applyNumberFormat="1" applyBorder="1" applyAlignment="1">
      <alignment horizontal="center"/>
    </xf>
    <xf numFmtId="2" fontId="0" fillId="0" borderId="36" xfId="23" applyNumberFormat="1" applyBorder="1" applyAlignment="1">
      <alignment horizontal="center"/>
    </xf>
    <xf numFmtId="1" fontId="0" fillId="0" borderId="33" xfId="23" applyNumberFormat="1" applyFont="1" applyFill="1" applyBorder="1" applyAlignment="1">
      <alignment horizontal="center"/>
    </xf>
    <xf numFmtId="0" fontId="0" fillId="0" borderId="11" xfId="23" applyFont="1" applyFill="1" applyBorder="1" applyAlignment="1">
      <alignment horizontal="left"/>
    </xf>
    <xf numFmtId="172" fontId="0" fillId="0" borderId="12" xfId="23" applyNumberFormat="1" applyFill="1" applyBorder="1" applyAlignment="1">
      <alignment horizontal="center"/>
    </xf>
    <xf numFmtId="172" fontId="0" fillId="0" borderId="1" xfId="23" applyNumberFormat="1" applyFill="1" applyBorder="1" applyAlignment="1">
      <alignment horizontal="center"/>
    </xf>
    <xf numFmtId="172" fontId="0" fillId="0" borderId="12" xfId="23" applyNumberFormat="1" applyFill="1" applyBorder="1" applyAlignment="1">
      <alignment horizontal="center" wrapText="1"/>
    </xf>
    <xf numFmtId="9" fontId="0" fillId="0" borderId="1" xfId="23" applyNumberFormat="1" applyBorder="1" applyAlignment="1">
      <alignment horizontal="center"/>
    </xf>
    <xf numFmtId="2" fontId="0" fillId="0" borderId="29" xfId="23" applyNumberFormat="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8"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0" fontId="0" fillId="0" borderId="0" xfId="23" applyFill="1" applyBorder="1" applyAlignment="1">
      <alignment horizontal="center" wrapText="1"/>
    </xf>
    <xf numFmtId="10" fontId="0" fillId="0" borderId="0" xfId="23" applyNumberFormat="1" applyFill="1" applyBorder="1" applyAlignment="1">
      <alignment horizontal="center"/>
    </xf>
    <xf numFmtId="0" fontId="15" fillId="0" borderId="0" xfId="23" applyFont="1" applyFill="1" applyBorder="1" applyAlignment="1">
      <alignment horizontal="center"/>
    </xf>
    <xf numFmtId="0" fontId="18" fillId="0" borderId="0" xfId="23" applyFont="1" applyFill="1" applyBorder="1" applyAlignment="1">
      <alignment/>
    </xf>
    <xf numFmtId="10" fontId="0" fillId="0" borderId="32" xfId="23" applyNumberFormat="1" applyFill="1" applyBorder="1" applyAlignment="1">
      <alignment horizontal="center"/>
    </xf>
    <xf numFmtId="172" fontId="4" fillId="5" borderId="37"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72" fontId="4" fillId="5" borderId="14"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4" xfId="23" applyNumberFormat="1" applyBorder="1" applyAlignment="1">
      <alignment horizontal="center"/>
    </xf>
    <xf numFmtId="173" fontId="0" fillId="6" borderId="34" xfId="23" applyNumberFormat="1" applyFill="1" applyBorder="1" applyAlignment="1">
      <alignment horizontal="center"/>
    </xf>
    <xf numFmtId="172" fontId="0" fillId="0" borderId="0" xfId="23" applyNumberFormat="1" applyBorder="1" applyAlignment="1">
      <alignment horizontal="center"/>
    </xf>
    <xf numFmtId="4" fontId="0" fillId="0" borderId="30" xfId="23" applyNumberFormat="1" applyFill="1" applyBorder="1" applyAlignment="1">
      <alignment horizontal="center" wrapText="1"/>
    </xf>
    <xf numFmtId="172" fontId="0" fillId="6" borderId="34" xfId="23" applyNumberFormat="1" applyFill="1" applyBorder="1" applyAlignment="1">
      <alignment horizontal="center"/>
    </xf>
    <xf numFmtId="0" fontId="0" fillId="0" borderId="0" xfId="23" applyFill="1" applyBorder="1">
      <alignment/>
    </xf>
    <xf numFmtId="172" fontId="0" fillId="0" borderId="16" xfId="23" applyNumberFormat="1" applyFill="1" applyBorder="1" applyAlignment="1">
      <alignment horizontal="center"/>
    </xf>
    <xf numFmtId="172" fontId="0" fillId="0" borderId="21"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2" xfId="23" applyNumberFormat="1" applyFill="1" applyBorder="1" applyAlignment="1">
      <alignment horizontal="center" wrapText="1"/>
    </xf>
    <xf numFmtId="172" fontId="0" fillId="0" borderId="32" xfId="23" applyNumberFormat="1" applyBorder="1" applyAlignment="1">
      <alignment horizontal="center"/>
    </xf>
    <xf numFmtId="172" fontId="0" fillId="0" borderId="31" xfId="23" applyNumberFormat="1" applyBorder="1" applyAlignment="1">
      <alignment horizontal="center"/>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0" fontId="0" fillId="0" borderId="7" xfId="23" applyBorder="1" applyAlignment="1">
      <alignment vertical="center" wrapText="1"/>
    </xf>
    <xf numFmtId="172" fontId="0" fillId="0" borderId="3" xfId="23" applyNumberFormat="1" applyFont="1" applyBorder="1" applyAlignment="1">
      <alignment horizontal="center"/>
    </xf>
    <xf numFmtId="10" fontId="0" fillId="0" borderId="16" xfId="23" applyNumberFormat="1" applyFill="1" applyBorder="1" applyAlignment="1">
      <alignment horizontal="center"/>
    </xf>
    <xf numFmtId="10" fontId="0" fillId="0" borderId="38" xfId="23" applyNumberFormat="1" applyFill="1" applyBorder="1" applyAlignment="1">
      <alignment horizontal="center"/>
    </xf>
    <xf numFmtId="0" fontId="0" fillId="0" borderId="0" xfId="23" applyFont="1">
      <alignment/>
    </xf>
    <xf numFmtId="10" fontId="0" fillId="0" borderId="39" xfId="23" applyNumberFormat="1" applyFill="1" applyBorder="1" applyAlignment="1">
      <alignment horizontal="center"/>
    </xf>
    <xf numFmtId="0" fontId="0" fillId="0" borderId="7" xfId="23" applyFont="1" applyFill="1" applyBorder="1">
      <alignment/>
    </xf>
    <xf numFmtId="0" fontId="5" fillId="0" borderId="16" xfId="23" applyNumberFormat="1" applyFont="1" applyFill="1" applyBorder="1" applyAlignment="1">
      <alignment horizontal="center"/>
    </xf>
    <xf numFmtId="10" fontId="0" fillId="0" borderId="5" xfId="23" applyNumberFormat="1" applyFill="1" applyBorder="1" applyAlignment="1">
      <alignment horizontal="center"/>
    </xf>
    <xf numFmtId="10" fontId="0" fillId="0" borderId="40" xfId="23" applyNumberFormat="1" applyBorder="1" applyAlignment="1">
      <alignment horizontal="center"/>
    </xf>
    <xf numFmtId="10" fontId="0" fillId="0" borderId="9" xfId="23" applyNumberFormat="1" applyBorder="1" applyAlignment="1">
      <alignment horizontal="center"/>
    </xf>
    <xf numFmtId="10" fontId="0" fillId="0" borderId="13" xfId="23" applyNumberFormat="1" applyBorder="1" applyAlignment="1">
      <alignment horizontal="center"/>
    </xf>
    <xf numFmtId="172" fontId="0" fillId="0" borderId="33" xfId="23" applyNumberFormat="1" applyFill="1" applyBorder="1" applyAlignment="1">
      <alignment horizontal="center" wrapText="1"/>
    </xf>
    <xf numFmtId="181" fontId="0" fillId="0" borderId="0" xfId="23" applyNumberFormat="1" applyFill="1" applyBorder="1" applyAlignment="1">
      <alignment/>
    </xf>
    <xf numFmtId="10" fontId="0" fillId="5" borderId="12" xfId="23" applyNumberFormat="1" applyFill="1" applyBorder="1" applyAlignment="1">
      <alignment horizontal="center"/>
    </xf>
    <xf numFmtId="182" fontId="0" fillId="5" borderId="12" xfId="23" applyNumberFormat="1" applyFill="1" applyBorder="1" applyAlignment="1">
      <alignment horizontal="center"/>
    </xf>
    <xf numFmtId="10" fontId="0" fillId="0" borderId="21" xfId="23" applyNumberFormat="1" applyFill="1" applyBorder="1" applyAlignment="1">
      <alignment horizontal="center"/>
    </xf>
    <xf numFmtId="0" fontId="5" fillId="0" borderId="41" xfId="23" applyFont="1" applyBorder="1" applyAlignment="1">
      <alignment horizontal="center"/>
    </xf>
    <xf numFmtId="0" fontId="5" fillId="0" borderId="42" xfId="23" applyFont="1" applyBorder="1" applyAlignment="1">
      <alignment horizontal="center"/>
    </xf>
    <xf numFmtId="0" fontId="5" fillId="0" borderId="43" xfId="23" applyFont="1" applyFill="1" applyBorder="1" applyAlignment="1">
      <alignment horizontal="center"/>
    </xf>
    <xf numFmtId="0" fontId="0" fillId="0" borderId="7" xfId="23" applyFont="1" applyBorder="1">
      <alignment/>
    </xf>
    <xf numFmtId="9" fontId="5" fillId="0" borderId="18" xfId="23" applyNumberFormat="1" applyFont="1" applyFill="1" applyBorder="1" applyAlignment="1">
      <alignment horizontal="center"/>
    </xf>
    <xf numFmtId="172" fontId="4" fillId="5" borderId="5" xfId="23" applyNumberFormat="1" applyFont="1" applyFill="1" applyBorder="1" applyAlignment="1">
      <alignment horizontal="center" wrapText="1"/>
    </xf>
    <xf numFmtId="172" fontId="4" fillId="5" borderId="9" xfId="23" applyNumberFormat="1" applyFont="1" applyFill="1" applyBorder="1" applyAlignment="1">
      <alignment horizontal="center"/>
    </xf>
    <xf numFmtId="172" fontId="4" fillId="5" borderId="9" xfId="23" applyNumberFormat="1" applyFont="1" applyFill="1" applyBorder="1" applyAlignment="1">
      <alignment horizontal="center" wrapText="1"/>
    </xf>
    <xf numFmtId="172" fontId="4" fillId="5" borderId="40" xfId="23" applyNumberFormat="1" applyFont="1" applyFill="1" applyBorder="1" applyAlignment="1">
      <alignment horizontal="center"/>
    </xf>
    <xf numFmtId="172" fontId="4" fillId="5" borderId="19" xfId="23" applyNumberFormat="1" applyFont="1" applyFill="1" applyBorder="1" applyAlignment="1">
      <alignment horizontal="center"/>
    </xf>
    <xf numFmtId="172" fontId="0" fillId="0" borderId="10" xfId="23" applyNumberFormat="1" applyFill="1" applyBorder="1" applyAlignment="1">
      <alignment horizontal="center"/>
    </xf>
    <xf numFmtId="172" fontId="0" fillId="0" borderId="6" xfId="23" applyNumberFormat="1" applyBorder="1" applyAlignment="1">
      <alignment horizontal="center"/>
    </xf>
    <xf numFmtId="172" fontId="0" fillId="0" borderId="14" xfId="23" applyNumberFormat="1" applyFill="1" applyBorder="1" applyAlignment="1">
      <alignment horizontal="center"/>
    </xf>
    <xf numFmtId="172" fontId="0" fillId="0" borderId="44" xfId="23" applyNumberFormat="1" applyFill="1" applyBorder="1" applyAlignment="1">
      <alignment horizontal="center"/>
    </xf>
    <xf numFmtId="4" fontId="0" fillId="0" borderId="15" xfId="23" applyNumberFormat="1" applyFill="1" applyBorder="1" applyAlignment="1">
      <alignment horizontal="center" wrapText="1"/>
    </xf>
    <xf numFmtId="0" fontId="0" fillId="0" borderId="0" xfId="22" applyAlignment="1">
      <alignment horizontal="center"/>
      <protection/>
    </xf>
    <xf numFmtId="2" fontId="0" fillId="0" borderId="4" xfId="23" applyNumberFormat="1" applyBorder="1" applyAlignment="1">
      <alignment horizontal="center"/>
    </xf>
    <xf numFmtId="2" fontId="0" fillId="0" borderId="0" xfId="23" applyNumberFormat="1" applyBorder="1" applyAlignment="1">
      <alignment horizontal="center"/>
    </xf>
    <xf numFmtId="2" fontId="0" fillId="0" borderId="31" xfId="23" applyNumberFormat="1" applyBorder="1" applyAlignment="1">
      <alignment horizontal="center"/>
    </xf>
    <xf numFmtId="2" fontId="0" fillId="0" borderId="35" xfId="23" applyNumberFormat="1" applyBorder="1" applyAlignment="1">
      <alignment horizontal="center"/>
    </xf>
    <xf numFmtId="2" fontId="0" fillId="0" borderId="1" xfId="23" applyNumberFormat="1" applyBorder="1" applyAlignment="1">
      <alignment horizontal="center"/>
    </xf>
    <xf numFmtId="173" fontId="0" fillId="0" borderId="0" xfId="23" applyNumberFormat="1" applyBorder="1" applyAlignment="1">
      <alignment horizontal="center"/>
    </xf>
    <xf numFmtId="2" fontId="0" fillId="0" borderId="5" xfId="23" applyNumberFormat="1" applyBorder="1" applyAlignment="1">
      <alignment horizontal="center"/>
    </xf>
    <xf numFmtId="2" fontId="0" fillId="0" borderId="9" xfId="23" applyNumberFormat="1" applyBorder="1" applyAlignment="1">
      <alignment horizontal="center"/>
    </xf>
    <xf numFmtId="2" fontId="0" fillId="0" borderId="19" xfId="23" applyNumberFormat="1" applyBorder="1" applyAlignment="1">
      <alignment horizontal="center"/>
    </xf>
    <xf numFmtId="2" fontId="0" fillId="0" borderId="45" xfId="23" applyNumberFormat="1" applyBorder="1" applyAlignment="1">
      <alignment horizontal="center"/>
    </xf>
    <xf numFmtId="2" fontId="0" fillId="0" borderId="40" xfId="23" applyNumberFormat="1" applyBorder="1" applyAlignment="1">
      <alignment horizontal="center"/>
    </xf>
    <xf numFmtId="2" fontId="0" fillId="0" borderId="13" xfId="23" applyNumberFormat="1" applyBorder="1" applyAlignment="1">
      <alignment horizontal="center"/>
    </xf>
    <xf numFmtId="4" fontId="0" fillId="0" borderId="20" xfId="23" applyNumberFormat="1" applyFill="1" applyBorder="1" applyAlignment="1">
      <alignment horizontal="center" wrapText="1"/>
    </xf>
    <xf numFmtId="2" fontId="12" fillId="0" borderId="0" xfId="23" applyNumberFormat="1" applyFont="1" applyFill="1" applyBorder="1" applyAlignment="1">
      <alignment horizontal="center"/>
    </xf>
    <xf numFmtId="2" fontId="12" fillId="0" borderId="30" xfId="23" applyNumberFormat="1" applyFont="1" applyFill="1" applyBorder="1" applyAlignment="1">
      <alignment horizontal="center"/>
    </xf>
    <xf numFmtId="0" fontId="5" fillId="0" borderId="9" xfId="23" applyFont="1" applyBorder="1" applyAlignment="1">
      <alignment horizontal="center"/>
    </xf>
    <xf numFmtId="2" fontId="0" fillId="0" borderId="7" xfId="23" applyNumberFormat="1" applyFill="1" applyBorder="1" applyAlignment="1">
      <alignment horizontal="center"/>
    </xf>
    <xf numFmtId="2" fontId="0" fillId="0" borderId="17" xfId="23" applyNumberFormat="1" applyFill="1" applyBorder="1" applyAlignment="1">
      <alignment horizontal="center"/>
    </xf>
    <xf numFmtId="172" fontId="0" fillId="0" borderId="0" xfId="23" applyNumberFormat="1" applyFill="1" applyBorder="1" applyAlignment="1">
      <alignment horizontal="center" vertical="center" wrapText="1"/>
    </xf>
    <xf numFmtId="1" fontId="5" fillId="0" borderId="0" xfId="23" applyNumberFormat="1" applyFont="1" applyFill="1" applyBorder="1" applyAlignment="1">
      <alignment horizontal="center" vertical="center" wrapText="1"/>
    </xf>
    <xf numFmtId="183" fontId="0" fillId="0" borderId="0" xfId="23" applyNumberFormat="1" applyFill="1" applyBorder="1" applyAlignment="1">
      <alignment horizontal="center"/>
    </xf>
    <xf numFmtId="2" fontId="0" fillId="0" borderId="9" xfId="23" applyNumberFormat="1" applyFill="1" applyBorder="1" applyAlignment="1">
      <alignment horizontal="center"/>
    </xf>
    <xf numFmtId="2" fontId="0" fillId="0" borderId="30" xfId="23" applyNumberFormat="1" applyFill="1" applyBorder="1" applyAlignment="1">
      <alignment horizontal="center"/>
    </xf>
    <xf numFmtId="10" fontId="0" fillId="0" borderId="9" xfId="23" applyNumberFormat="1" applyFill="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172" fontId="5" fillId="0" borderId="0" xfId="23" applyNumberFormat="1" applyFont="1" applyFill="1" applyBorder="1" applyAlignment="1">
      <alignment horizontal="center" wrapText="1"/>
    </xf>
    <xf numFmtId="0" fontId="5" fillId="0" borderId="5" xfId="23" applyFont="1" applyBorder="1" applyAlignment="1">
      <alignment horizontal="center"/>
    </xf>
    <xf numFmtId="0" fontId="5" fillId="0" borderId="4" xfId="23" applyFont="1" applyBorder="1" applyAlignment="1">
      <alignment horizontal="center"/>
    </xf>
    <xf numFmtId="0" fontId="5" fillId="0" borderId="15" xfId="23" applyFont="1" applyBorder="1" applyAlignment="1">
      <alignment horizontal="center"/>
    </xf>
    <xf numFmtId="0" fontId="6" fillId="2" borderId="0" xfId="23" applyFont="1" applyFill="1" applyAlignment="1">
      <alignment horizontal="center" vertical="center"/>
    </xf>
    <xf numFmtId="1" fontId="0" fillId="0" borderId="9" xfId="23" applyNumberFormat="1" applyFont="1" applyBorder="1" applyAlignment="1">
      <alignment horizontal="center"/>
    </xf>
    <xf numFmtId="1" fontId="0" fillId="0" borderId="0" xfId="23" applyNumberFormat="1" applyFont="1" applyBorder="1" applyAlignment="1">
      <alignment horizontal="center"/>
    </xf>
    <xf numFmtId="1" fontId="0" fillId="0" borderId="30" xfId="23" applyNumberFormat="1" applyFont="1" applyBorder="1" applyAlignment="1">
      <alignment horizontal="center"/>
    </xf>
    <xf numFmtId="2" fontId="12" fillId="0" borderId="9" xfId="23" applyNumberFormat="1" applyFont="1" applyFill="1" applyBorder="1" applyAlignment="1">
      <alignment horizontal="center"/>
    </xf>
    <xf numFmtId="0" fontId="5" fillId="0" borderId="0" xfId="23" applyFont="1" applyBorder="1" applyAlignment="1">
      <alignment horizontal="center"/>
    </xf>
    <xf numFmtId="0" fontId="5" fillId="0" borderId="30" xfId="23" applyFont="1" applyBorder="1" applyAlignment="1">
      <alignment horizontal="center"/>
    </xf>
    <xf numFmtId="0" fontId="0" fillId="0" borderId="9" xfId="23" applyFont="1" applyBorder="1" applyAlignment="1">
      <alignment horizontal="center"/>
    </xf>
    <xf numFmtId="0" fontId="0" fillId="0" borderId="0" xfId="23" applyFont="1" applyBorder="1" applyAlignment="1">
      <alignment horizontal="center"/>
    </xf>
    <xf numFmtId="0" fontId="0" fillId="0" borderId="30" xfId="23" applyFont="1" applyBorder="1" applyAlignment="1">
      <alignment horizontal="center"/>
    </xf>
    <xf numFmtId="0" fontId="17" fillId="7" borderId="0" xfId="23" applyFont="1" applyFill="1" applyBorder="1" applyAlignment="1">
      <alignment horizontal="center"/>
    </xf>
    <xf numFmtId="0" fontId="15" fillId="7" borderId="0" xfId="23" applyFont="1" applyFill="1" applyBorder="1" applyAlignment="1">
      <alignment horizontal="center"/>
    </xf>
    <xf numFmtId="2" fontId="12" fillId="0" borderId="9" xfId="23" applyNumberFormat="1" applyFont="1" applyBorder="1" applyAlignment="1">
      <alignment horizontal="center"/>
    </xf>
    <xf numFmtId="2" fontId="12" fillId="0" borderId="0" xfId="23" applyNumberFormat="1" applyFont="1" applyBorder="1" applyAlignment="1">
      <alignment horizontal="center"/>
    </xf>
    <xf numFmtId="2" fontId="12" fillId="0" borderId="30" xfId="23" applyNumberFormat="1" applyFont="1" applyBorder="1" applyAlignment="1">
      <alignment horizontal="center"/>
    </xf>
    <xf numFmtId="0" fontId="5" fillId="0" borderId="9" xfId="23" applyFont="1" applyBorder="1" applyAlignment="1">
      <alignment horizontal="center" vertical="center"/>
    </xf>
    <xf numFmtId="0" fontId="5" fillId="0" borderId="0" xfId="23" applyFont="1" applyBorder="1" applyAlignment="1">
      <alignment horizontal="center" vertical="center"/>
    </xf>
    <xf numFmtId="0" fontId="5" fillId="0" borderId="30" xfId="23" applyFont="1" applyBorder="1" applyAlignment="1">
      <alignment horizontal="center" vertical="center"/>
    </xf>
    <xf numFmtId="1" fontId="0" fillId="0" borderId="9"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0" xfId="23" applyNumberFormat="1" applyFont="1" applyBorder="1" applyAlignment="1">
      <alignment horizontal="center" vertical="center"/>
    </xf>
    <xf numFmtId="2" fontId="12" fillId="0" borderId="13" xfId="23" applyNumberFormat="1" applyFont="1" applyFill="1" applyBorder="1" applyAlignment="1">
      <alignment horizontal="center"/>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9" fontId="5" fillId="0" borderId="46" xfId="23" applyNumberFormat="1" applyFont="1" applyFill="1" applyBorder="1" applyAlignment="1">
      <alignment horizontal="center"/>
    </xf>
    <xf numFmtId="9" fontId="5" fillId="0" borderId="42" xfId="23" applyNumberFormat="1" applyFont="1" applyFill="1" applyBorder="1" applyAlignment="1">
      <alignment horizontal="center"/>
    </xf>
    <xf numFmtId="9" fontId="5" fillId="0" borderId="46" xfId="23" applyNumberFormat="1" applyFont="1" applyFill="1" applyBorder="1" applyAlignment="1">
      <alignment horizontal="left"/>
    </xf>
    <xf numFmtId="9" fontId="5" fillId="0" borderId="42" xfId="23" applyNumberFormat="1" applyFont="1" applyFill="1" applyBorder="1" applyAlignment="1">
      <alignment horizontal="left"/>
    </xf>
    <xf numFmtId="0" fontId="5" fillId="0" borderId="0" xfId="23" applyFont="1" applyBorder="1" applyAlignment="1">
      <alignment horizontal="center" vertical="center" wrapText="1"/>
    </xf>
    <xf numFmtId="0" fontId="3" fillId="0" borderId="0" xfId="22" applyFont="1" applyAlignment="1">
      <alignment horizontal="left" vertical="center" wrapText="1"/>
      <protection/>
    </xf>
    <xf numFmtId="0" fontId="3" fillId="0" borderId="0" xfId="22" applyFont="1" applyAlignment="1">
      <alignment horizontal="left" vertical="center"/>
      <protection/>
    </xf>
    <xf numFmtId="0" fontId="0" fillId="0" borderId="47" xfId="23" applyFont="1" applyFill="1" applyBorder="1" applyAlignment="1">
      <alignment horizontal="left"/>
    </xf>
    <xf numFmtId="0" fontId="0" fillId="0" borderId="48" xfId="23" applyFont="1" applyFill="1" applyBorder="1" applyAlignment="1">
      <alignment horizontal="left"/>
    </xf>
    <xf numFmtId="2" fontId="0" fillId="0" borderId="0" xfId="23" applyNumberFormat="1" applyFill="1" applyBorder="1" applyAlignment="1">
      <alignment horizontal="center" wrapText="1"/>
    </xf>
    <xf numFmtId="172" fontId="0" fillId="0" borderId="8" xfId="23" applyNumberFormat="1" applyFont="1" applyFill="1" applyBorder="1" applyAlignment="1">
      <alignment horizontal="center" wrapText="1"/>
    </xf>
    <xf numFmtId="2" fontId="0" fillId="0" borderId="21" xfId="23" applyNumberFormat="1" applyFill="1" applyBorder="1" applyAlignment="1">
      <alignment horizontal="center" wrapText="1"/>
    </xf>
    <xf numFmtId="2" fontId="0" fillId="0" borderId="47" xfId="23" applyNumberFormat="1" applyFill="1" applyBorder="1" applyAlignment="1">
      <alignment horizontal="center" wrapText="1"/>
    </xf>
    <xf numFmtId="2" fontId="0" fillId="0" borderId="48" xfId="23" applyNumberFormat="1" applyFill="1" applyBorder="1" applyAlignment="1">
      <alignment horizontal="center" wrapText="1"/>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571500</xdr:colOff>
      <xdr:row>35</xdr:row>
      <xdr:rowOff>57150</xdr:rowOff>
    </xdr:to>
    <xdr:sp>
      <xdr:nvSpPr>
        <xdr:cNvPr id="1" name="TextBox 1"/>
        <xdr:cNvSpPr txBox="1">
          <a:spLocks noChangeArrowheads="1"/>
        </xdr:cNvSpPr>
      </xdr:nvSpPr>
      <xdr:spPr>
        <a:xfrm>
          <a:off x="876300" y="541972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36</xdr:row>
      <xdr:rowOff>19050</xdr:rowOff>
    </xdr:from>
    <xdr:to>
      <xdr:col>8</xdr:col>
      <xdr:colOff>571500</xdr:colOff>
      <xdr:row>70</xdr:row>
      <xdr:rowOff>19050</xdr:rowOff>
    </xdr:to>
    <xdr:sp>
      <xdr:nvSpPr>
        <xdr:cNvPr id="2" name="TextBox 2"/>
        <xdr:cNvSpPr txBox="1">
          <a:spLocks noChangeArrowheads="1"/>
        </xdr:cNvSpPr>
      </xdr:nvSpPr>
      <xdr:spPr>
        <a:xfrm>
          <a:off x="876300" y="711517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36</xdr:row>
      <xdr:rowOff>0</xdr:rowOff>
    </xdr:from>
    <xdr:to>
      <xdr:col>9</xdr:col>
      <xdr:colOff>200025</xdr:colOff>
      <xdr:row>38</xdr:row>
      <xdr:rowOff>0</xdr:rowOff>
    </xdr:to>
    <xdr:pic>
      <xdr:nvPicPr>
        <xdr:cNvPr id="1" name="Picture 22"/>
        <xdr:cNvPicPr preferRelativeResize="1">
          <a:picLocks noChangeAspect="1"/>
        </xdr:cNvPicPr>
      </xdr:nvPicPr>
      <xdr:blipFill>
        <a:blip r:embed="rId1"/>
        <a:srcRect r="7044"/>
        <a:stretch>
          <a:fillRect/>
        </a:stretch>
      </xdr:blipFill>
      <xdr:spPr>
        <a:xfrm>
          <a:off x="6048375" y="6638925"/>
          <a:ext cx="2266950" cy="323850"/>
        </a:xfrm>
        <a:prstGeom prst="rect">
          <a:avLst/>
        </a:prstGeom>
        <a:noFill/>
        <a:ln w="9525" cmpd="sng">
          <a:solidFill>
            <a:srgbClr val="FF0000"/>
          </a:solidFill>
          <a:headEnd type="none"/>
          <a:tailEnd type="none"/>
        </a:ln>
      </xdr:spPr>
    </xdr:pic>
    <xdr:clientData/>
  </xdr:twoCellAnchor>
  <xdr:twoCellAnchor>
    <xdr:from>
      <xdr:col>9</xdr:col>
      <xdr:colOff>209550</xdr:colOff>
      <xdr:row>34</xdr:row>
      <xdr:rowOff>152400</xdr:rowOff>
    </xdr:from>
    <xdr:to>
      <xdr:col>9</xdr:col>
      <xdr:colOff>476250</xdr:colOff>
      <xdr:row>45</xdr:row>
      <xdr:rowOff>9525</xdr:rowOff>
    </xdr:to>
    <xdr:sp>
      <xdr:nvSpPr>
        <xdr:cNvPr id="2" name="Line 25"/>
        <xdr:cNvSpPr>
          <a:spLocks/>
        </xdr:cNvSpPr>
      </xdr:nvSpPr>
      <xdr:spPr>
        <a:xfrm flipH="1" flipV="1">
          <a:off x="8324850" y="6467475"/>
          <a:ext cx="266700" cy="1685925"/>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447675</xdr:colOff>
      <xdr:row>42</xdr:row>
      <xdr:rowOff>66675</xdr:rowOff>
    </xdr:from>
    <xdr:to>
      <xdr:col>9</xdr:col>
      <xdr:colOff>219075</xdr:colOff>
      <xdr:row>44</xdr:row>
      <xdr:rowOff>57150</xdr:rowOff>
    </xdr:to>
    <xdr:pic>
      <xdr:nvPicPr>
        <xdr:cNvPr id="3" name="Picture 28"/>
        <xdr:cNvPicPr preferRelativeResize="1">
          <a:picLocks noChangeAspect="1"/>
        </xdr:cNvPicPr>
      </xdr:nvPicPr>
      <xdr:blipFill>
        <a:blip r:embed="rId2"/>
        <a:stretch>
          <a:fillRect/>
        </a:stretch>
      </xdr:blipFill>
      <xdr:spPr>
        <a:xfrm>
          <a:off x="6057900" y="7677150"/>
          <a:ext cx="2276475" cy="323850"/>
        </a:xfrm>
        <a:prstGeom prst="rect">
          <a:avLst/>
        </a:prstGeom>
        <a:noFill/>
        <a:ln w="9525" cmpd="sng">
          <a:solidFill>
            <a:srgbClr val="FF0000"/>
          </a:solidFill>
          <a:headEnd type="none"/>
          <a:tailEnd type="none"/>
        </a:ln>
      </xdr:spPr>
    </xdr:pic>
    <xdr:clientData/>
  </xdr:twoCellAnchor>
  <xdr:twoCellAnchor>
    <xdr:from>
      <xdr:col>9</xdr:col>
      <xdr:colOff>219075</xdr:colOff>
      <xdr:row>41</xdr:row>
      <xdr:rowOff>57150</xdr:rowOff>
    </xdr:from>
    <xdr:to>
      <xdr:col>9</xdr:col>
      <xdr:colOff>476250</xdr:colOff>
      <xdr:row>45</xdr:row>
      <xdr:rowOff>0</xdr:rowOff>
    </xdr:to>
    <xdr:sp>
      <xdr:nvSpPr>
        <xdr:cNvPr id="4" name="Line 36"/>
        <xdr:cNvSpPr>
          <a:spLocks/>
        </xdr:cNvSpPr>
      </xdr:nvSpPr>
      <xdr:spPr>
        <a:xfrm flipH="1" flipV="1">
          <a:off x="8334375" y="7505700"/>
          <a:ext cx="257175" cy="63817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42"/>
  <sheetViews>
    <sheetView tabSelected="1"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89</v>
      </c>
    </row>
    <row r="4" spans="1:6" ht="18.75">
      <c r="A4" s="1" t="s">
        <v>3</v>
      </c>
      <c r="B4" s="3" t="s">
        <v>104</v>
      </c>
      <c r="F4" s="4"/>
    </row>
    <row r="5" spans="1:2" ht="15.75">
      <c r="A5" s="1" t="s">
        <v>4</v>
      </c>
      <c r="B5" s="5" t="s">
        <v>21</v>
      </c>
    </row>
    <row r="6" s="6" customFormat="1" ht="16.5" thickBot="1"/>
    <row r="7" spans="1:2" s="7" customFormat="1" ht="18.75">
      <c r="A7" s="7" t="s">
        <v>5</v>
      </c>
      <c r="B7" s="8" t="s">
        <v>22</v>
      </c>
    </row>
    <row r="8" spans="1:2" ht="15.75">
      <c r="A8" s="1" t="s">
        <v>6</v>
      </c>
      <c r="B8" s="5" t="s">
        <v>105</v>
      </c>
    </row>
    <row r="9" spans="1:9" ht="15.75">
      <c r="A9" s="1" t="s">
        <v>7</v>
      </c>
      <c r="B9" s="5" t="s">
        <v>8</v>
      </c>
      <c r="C9" s="5" t="s">
        <v>9</v>
      </c>
      <c r="D9" s="5"/>
      <c r="E9" s="5"/>
      <c r="F9" s="5"/>
      <c r="G9" s="5"/>
      <c r="H9" s="5"/>
      <c r="I9" s="5"/>
    </row>
    <row r="10" spans="2:9" ht="15.75">
      <c r="B10" s="5" t="s">
        <v>10</v>
      </c>
      <c r="C10" s="5" t="s">
        <v>24</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5" t="s">
        <v>18</v>
      </c>
      <c r="D14" s="5"/>
      <c r="E14" s="5"/>
      <c r="F14" s="5"/>
      <c r="G14" s="5"/>
      <c r="H14" s="5"/>
      <c r="I14" s="5"/>
    </row>
    <row r="15" spans="2:9" ht="15.75">
      <c r="B15" s="5" t="s">
        <v>8</v>
      </c>
      <c r="C15" s="5" t="s">
        <v>23</v>
      </c>
      <c r="D15" s="5"/>
      <c r="E15" s="5"/>
      <c r="F15" s="5"/>
      <c r="G15" s="5"/>
      <c r="H15" s="5"/>
      <c r="I15" s="5"/>
    </row>
    <row r="16" spans="2:9" ht="15.75">
      <c r="B16" s="5" t="s">
        <v>10</v>
      </c>
      <c r="C16" s="5" t="s">
        <v>25</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s="5" t="s">
        <v>26</v>
      </c>
      <c r="D20" s="5"/>
      <c r="E20" s="5"/>
      <c r="F20" s="5"/>
      <c r="G20" s="5"/>
      <c r="H20" s="5"/>
      <c r="I20" s="5"/>
    </row>
    <row r="21" spans="2:9" ht="15.75">
      <c r="B21" s="5" t="s">
        <v>8</v>
      </c>
      <c r="C21" s="5" t="s">
        <v>107</v>
      </c>
      <c r="D21" s="5"/>
      <c r="E21" s="5"/>
      <c r="F21" s="5"/>
      <c r="G21" s="5"/>
      <c r="H21" s="5"/>
      <c r="I21" s="5"/>
    </row>
    <row r="22" spans="2:9" ht="15.75">
      <c r="B22" s="5" t="s">
        <v>10</v>
      </c>
      <c r="C22" s="5" t="s">
        <v>106</v>
      </c>
      <c r="D22" s="5"/>
      <c r="E22" s="5"/>
      <c r="F22" s="5"/>
      <c r="G22" s="5"/>
      <c r="H22" s="5"/>
      <c r="I22" s="5"/>
    </row>
    <row r="23" spans="2:9" ht="15.75">
      <c r="B23" s="5" t="s">
        <v>11</v>
      </c>
      <c r="C23" s="5" t="s">
        <v>108</v>
      </c>
      <c r="D23" s="5"/>
      <c r="E23" s="5"/>
      <c r="F23" s="5"/>
      <c r="G23" s="5"/>
      <c r="H23" s="5"/>
      <c r="I23" s="5"/>
    </row>
    <row r="24" spans="2:9" ht="15.75">
      <c r="B24" s="5" t="s">
        <v>13</v>
      </c>
      <c r="C24" s="5"/>
      <c r="D24" s="5"/>
      <c r="E24" s="5"/>
      <c r="F24" s="5"/>
      <c r="G24" s="5"/>
      <c r="H24" s="5"/>
      <c r="I24" s="5"/>
    </row>
    <row r="25" spans="2:9" ht="15.75">
      <c r="B25" s="5" t="s">
        <v>15</v>
      </c>
      <c r="C25" s="5"/>
      <c r="D25" s="5"/>
      <c r="E25" s="5"/>
      <c r="F25" s="5"/>
      <c r="G25" s="5"/>
      <c r="H25" s="5"/>
      <c r="I25" s="5"/>
    </row>
    <row r="26" spans="2:9" ht="15.75">
      <c r="B26" s="5" t="s">
        <v>17</v>
      </c>
      <c r="C26" s="5" t="s">
        <v>109</v>
      </c>
      <c r="D26" s="5"/>
      <c r="E26" s="5"/>
      <c r="F26" s="5"/>
      <c r="G26" s="5"/>
      <c r="H26" s="5"/>
      <c r="I26" s="5"/>
    </row>
    <row r="27" ht="15.75">
      <c r="A27" s="1" t="s">
        <v>19</v>
      </c>
    </row>
    <row r="37" spans="1:5" ht="15.75" customHeight="1">
      <c r="A37" s="9"/>
      <c r="B37" s="248"/>
      <c r="C37" s="248"/>
      <c r="D37" s="248"/>
      <c r="E37" s="248"/>
    </row>
    <row r="38" spans="1:5" ht="15.75" customHeight="1">
      <c r="A38" s="7"/>
      <c r="B38" s="10"/>
      <c r="C38" s="10"/>
      <c r="D38" s="10"/>
      <c r="E38" s="10"/>
    </row>
    <row r="39" spans="1:5" ht="15.75" customHeight="1">
      <c r="A39" s="7"/>
      <c r="B39" s="247"/>
      <c r="C39" s="247"/>
      <c r="D39" s="247"/>
      <c r="E39" s="247"/>
    </row>
    <row r="40" spans="1:5" ht="15.75" customHeight="1">
      <c r="A40" s="7"/>
      <c r="B40" s="10"/>
      <c r="C40" s="10"/>
      <c r="D40" s="10"/>
      <c r="E40" s="10"/>
    </row>
    <row r="41" spans="1:5" ht="15.75" customHeight="1">
      <c r="A41" s="7"/>
      <c r="B41" s="247"/>
      <c r="C41" s="247"/>
      <c r="D41" s="247"/>
      <c r="E41" s="247"/>
    </row>
    <row r="42" spans="2:5" ht="15.75" customHeight="1">
      <c r="B42" s="247"/>
      <c r="C42" s="247"/>
      <c r="D42" s="247"/>
      <c r="E42" s="247"/>
    </row>
    <row r="43" ht="15.75" customHeight="1"/>
    <row r="44" ht="15.75" customHeight="1"/>
    <row r="45" ht="15.75" customHeight="1"/>
  </sheetData>
  <mergeCells count="3">
    <mergeCell ref="B39:E39"/>
    <mergeCell ref="B37:E37"/>
    <mergeCell ref="B41:E4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Roman,Bold"&amp;14May 2006&amp;R&amp;"Times New Roman,Bold"&amp;14doc.: IEEE 802.22-06/0051r2</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99"/>
  <sheetViews>
    <sheetView zoomScale="75" zoomScaleNormal="75" workbookViewId="0" topLeftCell="A1">
      <selection activeCell="I2" sqref="I2"/>
    </sheetView>
  </sheetViews>
  <sheetFormatPr defaultColWidth="9.140625" defaultRowHeight="12.75"/>
  <cols>
    <col min="1" max="1" width="42.57421875" style="13" customWidth="1"/>
    <col min="2" max="2" width="10.140625" style="13" customWidth="1"/>
    <col min="3" max="3" width="10.57421875" style="13" customWidth="1"/>
    <col min="4" max="4" width="10.28125" style="13" customWidth="1"/>
    <col min="5" max="5" width="10.57421875" style="13" customWidth="1"/>
    <col min="6" max="6" width="10.421875" style="13" customWidth="1"/>
    <col min="7" max="7" width="8.8515625" style="13" customWidth="1"/>
    <col min="8" max="8" width="9.28125" style="13" customWidth="1"/>
    <col min="9" max="9" width="9.00390625" style="13" customWidth="1"/>
    <col min="10" max="11" width="11.00390625" style="13" customWidth="1"/>
    <col min="12" max="12" width="5.140625" style="13" customWidth="1"/>
    <col min="13" max="13" width="10.140625" style="13" customWidth="1"/>
    <col min="14" max="14" width="11.421875" style="14" customWidth="1"/>
    <col min="15" max="15" width="7.57421875" style="13" customWidth="1"/>
    <col min="16" max="16" width="8.8515625" style="13" customWidth="1"/>
    <col min="17" max="21" width="7.57421875" style="13" customWidth="1"/>
    <col min="22" max="22" width="10.28125" style="13" customWidth="1"/>
    <col min="23" max="26" width="7.57421875" style="13" customWidth="1"/>
    <col min="27" max="16384" width="9.140625" style="13" customWidth="1"/>
  </cols>
  <sheetData>
    <row r="1" spans="1:10" ht="28.5" customHeight="1">
      <c r="A1" s="253" t="s">
        <v>27</v>
      </c>
      <c r="B1" s="253"/>
      <c r="C1" s="253"/>
      <c r="D1" s="253"/>
      <c r="E1" s="253"/>
      <c r="F1" s="253"/>
      <c r="G1" s="253"/>
      <c r="H1" s="253"/>
      <c r="I1" s="11"/>
      <c r="J1" s="12"/>
    </row>
    <row r="2" spans="1:26" ht="13.5" customHeight="1">
      <c r="A2" s="15" t="s">
        <v>28</v>
      </c>
      <c r="B2" s="16">
        <f>IF(AND(E2&gt;13,E2&lt;52),$E$2*6+389,"ERROR")</f>
        <v>617</v>
      </c>
      <c r="D2" s="17" t="s">
        <v>29</v>
      </c>
      <c r="E2" s="18">
        <v>38</v>
      </c>
      <c r="J2" s="19"/>
      <c r="K2" s="20"/>
      <c r="L2" s="20"/>
      <c r="M2" s="20"/>
      <c r="N2" s="21"/>
      <c r="O2" s="19"/>
      <c r="P2" s="19"/>
      <c r="Q2" s="19"/>
      <c r="R2" s="19"/>
      <c r="S2" s="19"/>
      <c r="T2" s="19"/>
      <c r="U2" s="19"/>
      <c r="V2" s="19"/>
      <c r="W2" s="19"/>
      <c r="X2" s="19"/>
      <c r="Y2" s="19"/>
      <c r="Z2" s="19"/>
    </row>
    <row r="3" spans="1:26" ht="13.5" customHeight="1">
      <c r="A3" s="15"/>
      <c r="B3" s="22"/>
      <c r="J3" s="19"/>
      <c r="K3" s="23"/>
      <c r="U3" s="24"/>
      <c r="V3" s="24"/>
      <c r="W3" s="24"/>
      <c r="X3" s="24"/>
      <c r="Y3" s="24"/>
      <c r="Z3" s="24"/>
    </row>
    <row r="4" spans="1:26" ht="13.5" customHeight="1" thickBot="1">
      <c r="A4" s="22" t="s">
        <v>30</v>
      </c>
      <c r="B4" s="207" t="s">
        <v>31</v>
      </c>
      <c r="C4" s="208" t="s">
        <v>32</v>
      </c>
      <c r="D4" s="207" t="s">
        <v>33</v>
      </c>
      <c r="E4" s="209" t="s">
        <v>34</v>
      </c>
      <c r="J4" s="19"/>
      <c r="K4" s="23"/>
      <c r="U4" s="24"/>
      <c r="V4" s="24"/>
      <c r="W4" s="24"/>
      <c r="X4" s="24"/>
      <c r="Y4" s="24"/>
      <c r="Z4" s="24"/>
    </row>
    <row r="5" spans="1:26" ht="13.5" customHeight="1">
      <c r="A5" s="25" t="s">
        <v>35</v>
      </c>
      <c r="B5" s="26">
        <v>-116</v>
      </c>
      <c r="C5" s="27">
        <v>-94</v>
      </c>
      <c r="D5" s="28">
        <v>-107</v>
      </c>
      <c r="E5" s="29">
        <v>-120</v>
      </c>
      <c r="J5" s="19"/>
      <c r="K5" s="23"/>
      <c r="U5" s="24"/>
      <c r="V5" s="24"/>
      <c r="W5" s="24"/>
      <c r="X5" s="24"/>
      <c r="Y5" s="24"/>
      <c r="Z5" s="24"/>
    </row>
    <row r="6" spans="1:26" ht="13.5" customHeight="1">
      <c r="A6" s="30" t="s">
        <v>36</v>
      </c>
      <c r="B6" s="31">
        <v>6</v>
      </c>
      <c r="C6" s="32">
        <v>6</v>
      </c>
      <c r="D6" s="33">
        <v>0.2</v>
      </c>
      <c r="E6" s="34">
        <v>0.01</v>
      </c>
      <c r="J6" s="19"/>
      <c r="K6" s="23"/>
      <c r="U6" s="24"/>
      <c r="V6" s="24"/>
      <c r="W6" s="24"/>
      <c r="X6" s="24"/>
      <c r="Y6" s="24"/>
      <c r="Z6" s="24"/>
    </row>
    <row r="7" spans="1:26" ht="13.5" customHeight="1">
      <c r="A7" s="30" t="s">
        <v>37</v>
      </c>
      <c r="B7" s="31">
        <v>0</v>
      </c>
      <c r="C7" s="32">
        <v>0</v>
      </c>
      <c r="D7" s="33">
        <v>0</v>
      </c>
      <c r="E7" s="34">
        <v>0</v>
      </c>
      <c r="J7" s="19"/>
      <c r="K7" s="23"/>
      <c r="U7" s="24"/>
      <c r="V7" s="24"/>
      <c r="W7" s="24"/>
      <c r="X7" s="24"/>
      <c r="Y7" s="24"/>
      <c r="Z7" s="24"/>
    </row>
    <row r="8" spans="1:26" ht="13.5" customHeight="1">
      <c r="A8" s="35" t="s">
        <v>38</v>
      </c>
      <c r="B8" s="36">
        <f>(300/$B$2)^2/(4*PI())</f>
        <v>0.01881318461824558</v>
      </c>
      <c r="C8" s="37">
        <f>(300/$B$2)^2/(4*PI())</f>
        <v>0.01881318461824558</v>
      </c>
      <c r="D8" s="38">
        <f>(300/$B$2)^2/(4*PI())</f>
        <v>0.01881318461824558</v>
      </c>
      <c r="E8" s="39">
        <f>(300/$B$2)^2/(4*PI())</f>
        <v>0.01881318461824558</v>
      </c>
      <c r="J8" s="19"/>
      <c r="K8" s="23"/>
      <c r="U8" s="24"/>
      <c r="V8" s="24"/>
      <c r="W8" s="24"/>
      <c r="X8" s="24"/>
      <c r="Y8" s="24"/>
      <c r="Z8" s="24"/>
    </row>
    <row r="9" spans="1:26" ht="13.5" customHeight="1">
      <c r="A9" s="40" t="s">
        <v>39</v>
      </c>
      <c r="B9" s="41">
        <f>(B5-30)-B7-10*LOG10(B8)</f>
        <v>-128.74462317350745</v>
      </c>
      <c r="C9" s="42">
        <f>(C5-30)-C7-10*LOG10(C8)</f>
        <v>-106.74462317350745</v>
      </c>
      <c r="D9" s="43">
        <f>(D5-30)-D7-10*LOG10(D8)</f>
        <v>-119.74462317350745</v>
      </c>
      <c r="E9" s="44">
        <f>(E5-30)-E7-10*LOG10(E8)</f>
        <v>-132.74462317350745</v>
      </c>
      <c r="K9" s="23"/>
      <c r="U9" s="24"/>
      <c r="V9" s="24"/>
      <c r="W9" s="24"/>
      <c r="X9" s="24"/>
      <c r="Y9" s="24"/>
      <c r="Z9" s="24"/>
    </row>
    <row r="10" spans="1:26" ht="13.5" customHeight="1" thickBot="1">
      <c r="A10" s="45" t="s">
        <v>40</v>
      </c>
      <c r="B10" s="46">
        <f>B9+145.8</f>
        <v>17.055376826492562</v>
      </c>
      <c r="C10" s="47">
        <f>C9+145.8</f>
        <v>39.05537682649256</v>
      </c>
      <c r="D10" s="48">
        <f>D9+145.8</f>
        <v>26.055376826492562</v>
      </c>
      <c r="E10" s="49">
        <f>E9+145.8</f>
        <v>13.055376826492562</v>
      </c>
      <c r="J10" s="19"/>
      <c r="K10" s="23"/>
      <c r="U10" s="24"/>
      <c r="V10" s="24"/>
      <c r="W10" s="24"/>
      <c r="X10" s="24"/>
      <c r="Y10" s="24"/>
      <c r="Z10" s="24"/>
    </row>
    <row r="11" spans="1:26" ht="13.5" customHeight="1" thickBot="1">
      <c r="A11" s="15"/>
      <c r="B11" s="22"/>
      <c r="C11" s="50"/>
      <c r="D11" s="50"/>
      <c r="E11" s="50"/>
      <c r="J11" s="19"/>
      <c r="K11" s="23"/>
      <c r="U11" s="24"/>
      <c r="V11" s="24"/>
      <c r="W11" s="24"/>
      <c r="X11" s="24"/>
      <c r="Y11" s="24"/>
      <c r="Z11" s="24"/>
    </row>
    <row r="12" spans="1:26" ht="13.5" customHeight="1">
      <c r="A12" s="51" t="s">
        <v>41</v>
      </c>
      <c r="B12" s="191">
        <f>41-20*LOG10(615/$B$2)</f>
        <v>41.0282009651565</v>
      </c>
      <c r="C12" s="170">
        <f>64-20*LOG10(615/$B$2)</f>
        <v>64.0282009651565</v>
      </c>
      <c r="D12" s="52">
        <f>(-26.8-30)-(6+10*LOG10(200/6000))-107.8-20+145.8</f>
        <v>-30.028787452803357</v>
      </c>
      <c r="E12" s="53">
        <f>(16.3-30)-(6+10*LOG10(200/6000))-107.8-20+145.8</f>
        <v>13.071212547196637</v>
      </c>
      <c r="F12" s="54" t="s">
        <v>42</v>
      </c>
      <c r="U12" s="24"/>
      <c r="V12" s="24"/>
      <c r="W12" s="24"/>
      <c r="X12" s="24"/>
      <c r="Y12" s="24"/>
      <c r="Z12" s="24"/>
    </row>
    <row r="13" spans="1:26" ht="13.5" customHeight="1">
      <c r="A13" s="55" t="s">
        <v>43</v>
      </c>
      <c r="B13" s="56">
        <f>B10</f>
        <v>17.055376826492562</v>
      </c>
      <c r="C13" s="57">
        <f>C10</f>
        <v>39.05537682649256</v>
      </c>
      <c r="D13" s="58">
        <f>D10</f>
        <v>26.055376826492562</v>
      </c>
      <c r="E13" s="59">
        <f>E10</f>
        <v>13.055376826492562</v>
      </c>
      <c r="F13" s="60" t="s">
        <v>42</v>
      </c>
      <c r="U13" s="24"/>
      <c r="V13" s="24"/>
      <c r="W13" s="24"/>
      <c r="X13" s="24"/>
      <c r="Y13" s="24"/>
      <c r="Z13" s="24"/>
    </row>
    <row r="14" spans="1:26" ht="13.5" customHeight="1" thickBot="1">
      <c r="A14" s="61" t="s">
        <v>44</v>
      </c>
      <c r="B14" s="46">
        <f>B12-B10</f>
        <v>23.97282413866394</v>
      </c>
      <c r="C14" s="48">
        <f>C12-C10</f>
        <v>24.97282413866394</v>
      </c>
      <c r="D14" s="48">
        <f>D12-D10</f>
        <v>-56.08416427929592</v>
      </c>
      <c r="E14" s="49">
        <f>E12-E10</f>
        <v>0.01583572070407513</v>
      </c>
      <c r="F14" s="62" t="s">
        <v>20</v>
      </c>
      <c r="U14" s="24"/>
      <c r="V14" s="24"/>
      <c r="W14" s="24"/>
      <c r="X14" s="24"/>
      <c r="Y14" s="24"/>
      <c r="Z14" s="24"/>
    </row>
    <row r="15" spans="1:26" ht="13.5" customHeight="1">
      <c r="A15" s="63"/>
      <c r="B15" s="15"/>
      <c r="C15" s="64"/>
      <c r="J15" s="19"/>
      <c r="K15" s="23"/>
      <c r="U15" s="20"/>
      <c r="V15" s="65"/>
      <c r="W15" s="65"/>
      <c r="X15" s="65"/>
      <c r="Y15" s="65"/>
      <c r="Z15" s="65"/>
    </row>
    <row r="16" spans="1:26" ht="13.5" customHeight="1" thickBot="1">
      <c r="A16" s="66" t="s">
        <v>45</v>
      </c>
      <c r="B16" s="207" t="s">
        <v>31</v>
      </c>
      <c r="C16" s="208" t="s">
        <v>32</v>
      </c>
      <c r="D16" s="207" t="s">
        <v>33</v>
      </c>
      <c r="E16" s="209" t="s">
        <v>34</v>
      </c>
      <c r="G16" s="67"/>
      <c r="J16" s="19"/>
      <c r="K16" s="23"/>
      <c r="V16" s="65"/>
      <c r="W16" s="65"/>
      <c r="X16" s="68"/>
      <c r="Y16" s="65"/>
      <c r="Z16" s="65"/>
    </row>
    <row r="17" spans="1:26" ht="13.5" customHeight="1">
      <c r="A17" s="69" t="s">
        <v>46</v>
      </c>
      <c r="B17" s="250">
        <v>0</v>
      </c>
      <c r="C17" s="251"/>
      <c r="D17" s="251"/>
      <c r="E17" s="252"/>
      <c r="F17" s="70"/>
      <c r="G17" s="70"/>
      <c r="H17" s="70"/>
      <c r="I17" s="70"/>
      <c r="J17" s="19"/>
      <c r="K17" s="23"/>
      <c r="V17" s="71"/>
      <c r="W17" s="71"/>
      <c r="X17" s="71"/>
      <c r="Y17" s="71"/>
      <c r="Z17" s="71"/>
    </row>
    <row r="18" spans="1:26" ht="13.5" customHeight="1">
      <c r="A18" s="35" t="s">
        <v>38</v>
      </c>
      <c r="B18" s="265">
        <f>(300/$B$2)^2/(4*PI())</f>
        <v>0.01881318461824558</v>
      </c>
      <c r="C18" s="266"/>
      <c r="D18" s="266"/>
      <c r="E18" s="267"/>
      <c r="F18" s="72"/>
      <c r="V18" s="73"/>
      <c r="W18" s="74"/>
      <c r="X18" s="19"/>
      <c r="Y18" s="19"/>
      <c r="Z18" s="19"/>
    </row>
    <row r="19" spans="1:26" ht="13.5" customHeight="1">
      <c r="A19" s="35" t="s">
        <v>47</v>
      </c>
      <c r="B19" s="254">
        <f>90*(1/3)+290*(2/3)</f>
        <v>223.33333333333331</v>
      </c>
      <c r="C19" s="255"/>
      <c r="D19" s="255"/>
      <c r="E19" s="256"/>
      <c r="V19" s="74"/>
      <c r="W19" s="74"/>
      <c r="X19" s="74"/>
      <c r="Y19" s="74"/>
      <c r="Z19" s="74"/>
    </row>
    <row r="20" spans="1:26" ht="27.75" customHeight="1">
      <c r="A20" s="190" t="s">
        <v>48</v>
      </c>
      <c r="B20" s="268">
        <v>-99</v>
      </c>
      <c r="C20" s="269"/>
      <c r="D20" s="269"/>
      <c r="E20" s="270"/>
      <c r="F20" s="76"/>
      <c r="G20" s="77"/>
      <c r="H20" s="77"/>
      <c r="I20" s="77"/>
      <c r="J20" s="77"/>
      <c r="W20" s="74"/>
      <c r="X20" s="74"/>
      <c r="Y20" s="74"/>
      <c r="Z20" s="74"/>
    </row>
    <row r="21" spans="1:26" ht="26.25" customHeight="1">
      <c r="A21" s="75" t="s">
        <v>49</v>
      </c>
      <c r="B21" s="271">
        <f>10^((B20-145.8+10*LOG(B18)+B17+168.6-10*LOG10(B6))/10)</f>
        <v>7.521614428973094E-11</v>
      </c>
      <c r="C21" s="272"/>
      <c r="D21" s="272"/>
      <c r="E21" s="273"/>
      <c r="F21" s="76"/>
      <c r="J21" s="77"/>
      <c r="K21" s="77"/>
      <c r="W21" s="74"/>
      <c r="X21" s="74"/>
      <c r="Y21" s="74"/>
      <c r="Z21" s="74"/>
    </row>
    <row r="22" spans="1:26" ht="13.5" customHeight="1">
      <c r="A22" s="210" t="s">
        <v>95</v>
      </c>
      <c r="B22" s="260">
        <v>10</v>
      </c>
      <c r="C22" s="261"/>
      <c r="D22" s="261"/>
      <c r="E22" s="262"/>
      <c r="K22" s="203"/>
      <c r="L22" s="77"/>
      <c r="M22" s="19"/>
      <c r="W22" s="74"/>
      <c r="X22" s="74"/>
      <c r="Y22" s="74"/>
      <c r="Z22" s="74"/>
    </row>
    <row r="23" spans="1:26" ht="13.5" customHeight="1">
      <c r="A23" s="78" t="s">
        <v>50</v>
      </c>
      <c r="B23" s="238">
        <v>0.5</v>
      </c>
      <c r="C23" s="258"/>
      <c r="D23" s="258"/>
      <c r="E23" s="259"/>
      <c r="K23" s="203"/>
      <c r="M23" s="19"/>
      <c r="W23" s="74"/>
      <c r="X23" s="74"/>
      <c r="Y23" s="74"/>
      <c r="Z23" s="74"/>
    </row>
    <row r="24" spans="1:26" ht="13.5" customHeight="1">
      <c r="A24" s="35" t="s">
        <v>51</v>
      </c>
      <c r="B24" s="238">
        <v>4</v>
      </c>
      <c r="C24" s="258"/>
      <c r="D24" s="258"/>
      <c r="E24" s="259"/>
      <c r="G24" s="77"/>
      <c r="H24" s="77"/>
      <c r="I24" s="77"/>
      <c r="J24" s="77"/>
      <c r="K24" s="203"/>
      <c r="L24" s="65"/>
      <c r="M24" s="19"/>
      <c r="W24" s="74"/>
      <c r="X24" s="74"/>
      <c r="Y24" s="74"/>
      <c r="Z24" s="74"/>
    </row>
    <row r="25" spans="1:26" ht="13.5" customHeight="1">
      <c r="A25" s="78" t="s">
        <v>52</v>
      </c>
      <c r="B25" s="238">
        <v>2</v>
      </c>
      <c r="C25" s="258"/>
      <c r="D25" s="258"/>
      <c r="E25" s="259"/>
      <c r="L25" s="71"/>
      <c r="M25" s="19"/>
      <c r="W25" s="74"/>
      <c r="X25" s="74"/>
      <c r="Y25" s="74"/>
      <c r="Z25" s="74"/>
    </row>
    <row r="26" spans="1:26" ht="13.5" customHeight="1">
      <c r="A26" s="78" t="s">
        <v>53</v>
      </c>
      <c r="B26" s="238">
        <v>6</v>
      </c>
      <c r="C26" s="258"/>
      <c r="D26" s="258"/>
      <c r="E26" s="259"/>
      <c r="I26" s="20"/>
      <c r="J26" s="19"/>
      <c r="K26" s="23"/>
      <c r="L26" s="73"/>
      <c r="W26" s="74"/>
      <c r="X26" s="74"/>
      <c r="Y26" s="74"/>
      <c r="Z26" s="74"/>
    </row>
    <row r="27" spans="1:26" ht="13.5" customHeight="1">
      <c r="A27" s="78" t="s">
        <v>54</v>
      </c>
      <c r="B27" s="257">
        <f>B17-(B23+B24+B25)-10*LOG10((B19+B21)*10^(-(B23+B24+B25)/10)+290*(1-10^(-(B23+B24+B25)/10))+290*(10^(B26/10)-1))</f>
        <v>-37.06747100272945</v>
      </c>
      <c r="C27" s="236"/>
      <c r="D27" s="236"/>
      <c r="E27" s="237"/>
      <c r="H27" s="70"/>
      <c r="I27" s="70"/>
      <c r="J27" s="19"/>
      <c r="K27" s="19"/>
      <c r="L27" s="72"/>
      <c r="W27" s="74"/>
      <c r="X27" s="74"/>
      <c r="Y27" s="74"/>
      <c r="Z27" s="74"/>
    </row>
    <row r="28" spans="1:26" ht="13.5" customHeight="1" thickBot="1">
      <c r="A28" s="196" t="s">
        <v>88</v>
      </c>
      <c r="B28" s="274">
        <f>10*LOG10(((B19+B21)*10^(-(B23+B24+B25)/10)+290*(1-10^(-(B23+B24+B25)/10))+290*(10^(B26/10)-1)+290)/290)</f>
        <v>6.9281228460925295</v>
      </c>
      <c r="C28" s="275"/>
      <c r="D28" s="275"/>
      <c r="E28" s="276"/>
      <c r="H28" s="70"/>
      <c r="I28" s="70"/>
      <c r="J28" s="19"/>
      <c r="K28" s="19"/>
      <c r="L28" s="72"/>
      <c r="W28" s="74"/>
      <c r="X28" s="74"/>
      <c r="Y28" s="74"/>
      <c r="Z28" s="74"/>
    </row>
    <row r="29" spans="1:26" ht="12.75" customHeight="1" thickBot="1">
      <c r="A29" s="79" t="s">
        <v>55</v>
      </c>
      <c r="B29" s="80">
        <f>B9+168.6-10*LOG10(B6)+10*LOG10($B18)+$B27</f>
        <v>-22.248983506565885</v>
      </c>
      <c r="C29" s="81">
        <f>C9+168.6-10*LOG10(C6)+10*LOG10($B18)+$B27</f>
        <v>-0.2489835065658852</v>
      </c>
      <c r="D29" s="82">
        <f>D9+168.6-10*LOG10(D6)+10*LOG10($B18)+$B27</f>
        <v>1.5222290406307408</v>
      </c>
      <c r="E29" s="83">
        <f>E9+168.6-10*LOG10(E6)+10*LOG10($B18)+$B27</f>
        <v>1.5325289972705534</v>
      </c>
      <c r="F29" s="84" t="s">
        <v>20</v>
      </c>
      <c r="M29" s="85"/>
      <c r="Q29" s="86"/>
      <c r="W29" s="74"/>
      <c r="X29" s="19"/>
      <c r="Y29" s="19"/>
      <c r="Z29" s="19"/>
    </row>
    <row r="30" spans="1:26" ht="12.75" customHeight="1">
      <c r="A30" s="87"/>
      <c r="B30" s="88"/>
      <c r="C30" s="88"/>
      <c r="D30" s="88"/>
      <c r="E30" s="88"/>
      <c r="M30" s="85"/>
      <c r="Q30" s="89"/>
      <c r="W30" s="74"/>
      <c r="X30" s="19"/>
      <c r="Y30" s="19"/>
      <c r="Z30" s="19"/>
    </row>
    <row r="31" spans="1:26" ht="13.5" customHeight="1">
      <c r="A31" s="23"/>
      <c r="B31" s="72"/>
      <c r="C31" s="72"/>
      <c r="D31" s="72"/>
      <c r="E31" s="72"/>
      <c r="H31" s="72"/>
      <c r="I31" s="72"/>
      <c r="J31" s="91"/>
      <c r="K31" s="85"/>
      <c r="M31" s="19"/>
      <c r="Q31" s="89"/>
      <c r="W31" s="19"/>
      <c r="X31" s="19"/>
      <c r="Y31" s="19"/>
      <c r="Z31" s="19"/>
    </row>
    <row r="32" spans="1:26" ht="12.75" customHeight="1" thickBot="1">
      <c r="A32" s="92" t="s">
        <v>92</v>
      </c>
      <c r="B32" s="72"/>
      <c r="C32" s="72"/>
      <c r="D32" s="72"/>
      <c r="E32" s="72"/>
      <c r="H32" s="72"/>
      <c r="I32" s="72"/>
      <c r="J32" s="91"/>
      <c r="K32" s="85"/>
      <c r="M32" s="23"/>
      <c r="Q32" s="93"/>
      <c r="W32" s="19"/>
      <c r="X32" s="19"/>
      <c r="Y32" s="19"/>
      <c r="Z32" s="19"/>
    </row>
    <row r="33" spans="1:26" ht="12.75" customHeight="1">
      <c r="A33" s="94" t="s">
        <v>56</v>
      </c>
      <c r="B33" s="95">
        <v>0.9</v>
      </c>
      <c r="C33" s="96">
        <v>0.9</v>
      </c>
      <c r="D33" s="95">
        <v>0.9</v>
      </c>
      <c r="E33" s="97">
        <v>0.9</v>
      </c>
      <c r="I33" s="72"/>
      <c r="J33" s="91"/>
      <c r="K33" s="74"/>
      <c r="M33" s="19"/>
      <c r="Q33" s="98"/>
      <c r="W33" s="19"/>
      <c r="X33" s="19"/>
      <c r="Y33" s="19"/>
      <c r="Z33" s="19"/>
    </row>
    <row r="34" spans="1:26" ht="12.75" customHeight="1" thickBot="1">
      <c r="A34" s="99" t="s">
        <v>96</v>
      </c>
      <c r="B34" s="100">
        <v>0.1</v>
      </c>
      <c r="C34" s="101">
        <v>0.1</v>
      </c>
      <c r="D34" s="100">
        <v>0.1</v>
      </c>
      <c r="E34" s="102">
        <v>0.1</v>
      </c>
      <c r="H34" s="72"/>
      <c r="I34" s="72"/>
      <c r="J34" s="19"/>
      <c r="K34" s="19"/>
      <c r="M34" s="19"/>
      <c r="Q34" s="93"/>
      <c r="W34" s="19"/>
      <c r="X34" s="19"/>
      <c r="Y34" s="19"/>
      <c r="Z34" s="19"/>
    </row>
    <row r="35" spans="1:26" ht="12.75" customHeight="1">
      <c r="A35" s="103"/>
      <c r="B35" s="104"/>
      <c r="C35" s="104"/>
      <c r="D35" s="104"/>
      <c r="E35" s="104"/>
      <c r="F35" s="23"/>
      <c r="H35" s="72"/>
      <c r="I35" s="72"/>
      <c r="J35" s="19"/>
      <c r="K35" s="19"/>
      <c r="M35" s="19"/>
      <c r="Q35" s="93"/>
      <c r="W35" s="19"/>
      <c r="X35" s="19"/>
      <c r="Y35" s="19"/>
      <c r="Z35" s="19"/>
    </row>
    <row r="36" spans="1:26" ht="12.75" customHeight="1" thickBot="1">
      <c r="A36" s="92" t="s">
        <v>90</v>
      </c>
      <c r="B36" s="277" t="s">
        <v>93</v>
      </c>
      <c r="C36" s="278"/>
      <c r="D36" s="278"/>
      <c r="E36" s="197">
        <v>2</v>
      </c>
      <c r="G36" s="70"/>
      <c r="H36" s="72"/>
      <c r="I36" s="72"/>
      <c r="J36" s="19"/>
      <c r="K36" s="19"/>
      <c r="M36" s="19"/>
      <c r="W36" s="19"/>
      <c r="X36" s="19"/>
      <c r="Y36" s="19"/>
      <c r="Z36" s="19"/>
    </row>
    <row r="37" spans="1:26" ht="12.75" customHeight="1">
      <c r="A37" s="94" t="s">
        <v>56</v>
      </c>
      <c r="B37" s="95">
        <f>1-(1-B33)/$E$36</f>
        <v>0.95</v>
      </c>
      <c r="C37" s="95">
        <f>1-(1-C33)/$E$36</f>
        <v>0.95</v>
      </c>
      <c r="D37" s="95">
        <f>1-(1-D33)/$E$36</f>
        <v>0.95</v>
      </c>
      <c r="E37" s="95">
        <f>1-(1-E33)/$E$36</f>
        <v>0.95</v>
      </c>
      <c r="H37" s="72"/>
      <c r="I37" s="72"/>
      <c r="J37" s="19"/>
      <c r="K37" s="19"/>
      <c r="M37" s="19"/>
      <c r="W37" s="19"/>
      <c r="X37" s="19"/>
      <c r="Y37" s="19"/>
      <c r="Z37" s="19"/>
    </row>
    <row r="38" spans="1:26" ht="12.75" customHeight="1" thickBot="1">
      <c r="A38" s="99" t="s">
        <v>96</v>
      </c>
      <c r="B38" s="205">
        <f>B34/$E$36</f>
        <v>0.05</v>
      </c>
      <c r="C38" s="205">
        <f>C34/$E$36</f>
        <v>0.05</v>
      </c>
      <c r="D38" s="205">
        <f>D34/$E$36</f>
        <v>0.05</v>
      </c>
      <c r="E38" s="205">
        <f>E34/$E$36</f>
        <v>0.05</v>
      </c>
      <c r="H38" s="72"/>
      <c r="I38" s="72"/>
      <c r="J38" s="19"/>
      <c r="K38" s="19"/>
      <c r="M38" s="19"/>
      <c r="Q38" s="93"/>
      <c r="W38" s="19"/>
      <c r="X38" s="19"/>
      <c r="Y38" s="19"/>
      <c r="Z38" s="19"/>
    </row>
    <row r="39" spans="1:26" ht="12.75" customHeight="1">
      <c r="A39" s="103"/>
      <c r="E39" s="104"/>
      <c r="G39" s="90"/>
      <c r="H39" s="72"/>
      <c r="I39" s="72"/>
      <c r="J39" s="19"/>
      <c r="K39" s="19"/>
      <c r="M39" s="19"/>
      <c r="Q39" s="93"/>
      <c r="W39" s="19"/>
      <c r="X39" s="19"/>
      <c r="Y39" s="19"/>
      <c r="Z39" s="19"/>
    </row>
    <row r="40" spans="1:26" ht="12.75" customHeight="1" thickBot="1">
      <c r="A40" s="92" t="s">
        <v>91</v>
      </c>
      <c r="B40" s="279" t="s">
        <v>94</v>
      </c>
      <c r="C40" s="280"/>
      <c r="D40" s="280"/>
      <c r="E40" s="197">
        <v>5</v>
      </c>
      <c r="G40" s="90"/>
      <c r="H40" s="72"/>
      <c r="I40" s="72"/>
      <c r="J40" s="19"/>
      <c r="K40" s="19"/>
      <c r="M40" s="19"/>
      <c r="Q40" s="93"/>
      <c r="W40" s="19"/>
      <c r="X40" s="19"/>
      <c r="Y40" s="19"/>
      <c r="Z40" s="19"/>
    </row>
    <row r="41" spans="1:26" ht="12.75" customHeight="1">
      <c r="A41" s="94" t="s">
        <v>56</v>
      </c>
      <c r="B41" s="95">
        <f aca="true" t="shared" si="0" ref="B41:E42">1-(1-B37)^(1/$E$40)</f>
        <v>0.45071972834694096</v>
      </c>
      <c r="C41" s="95">
        <f t="shared" si="0"/>
        <v>0.45071972834694096</v>
      </c>
      <c r="D41" s="95">
        <f t="shared" si="0"/>
        <v>0.45071972834694096</v>
      </c>
      <c r="E41" s="95">
        <f t="shared" si="0"/>
        <v>0.45071972834694096</v>
      </c>
      <c r="F41" s="72"/>
      <c r="H41" s="72"/>
      <c r="I41" s="72"/>
      <c r="J41" s="19"/>
      <c r="K41" s="19"/>
      <c r="M41" s="19"/>
      <c r="Q41" s="93"/>
      <c r="W41" s="19"/>
      <c r="X41" s="19"/>
      <c r="Y41" s="19"/>
      <c r="Z41" s="19"/>
    </row>
    <row r="42" spans="1:26" ht="12.75" customHeight="1" thickBot="1">
      <c r="A42" s="99" t="s">
        <v>96</v>
      </c>
      <c r="B42" s="204">
        <f t="shared" si="0"/>
        <v>0.010206218313011495</v>
      </c>
      <c r="C42" s="204">
        <f t="shared" si="0"/>
        <v>0.010206218313011495</v>
      </c>
      <c r="D42" s="204">
        <f t="shared" si="0"/>
        <v>0.010206218313011495</v>
      </c>
      <c r="E42" s="204">
        <f t="shared" si="0"/>
        <v>0.010206218313011495</v>
      </c>
      <c r="G42" s="72"/>
      <c r="H42" s="72"/>
      <c r="I42" s="72"/>
      <c r="J42" s="19"/>
      <c r="K42" s="19"/>
      <c r="M42" s="19"/>
      <c r="Q42" s="93"/>
      <c r="W42" s="19"/>
      <c r="X42" s="19"/>
      <c r="Y42" s="19"/>
      <c r="Z42" s="19"/>
    </row>
    <row r="43" spans="1:26" ht="12.75" customHeight="1">
      <c r="A43" s="103"/>
      <c r="B43" s="104"/>
      <c r="C43" s="104"/>
      <c r="D43" s="104"/>
      <c r="E43" s="104"/>
      <c r="G43" s="72"/>
      <c r="H43" s="72"/>
      <c r="I43" s="72"/>
      <c r="J43" s="19"/>
      <c r="K43" s="19"/>
      <c r="M43" s="19"/>
      <c r="Q43" s="93"/>
      <c r="W43" s="19"/>
      <c r="X43" s="19"/>
      <c r="Y43" s="19"/>
      <c r="Z43" s="19"/>
    </row>
    <row r="44" spans="1:26" ht="13.5" customHeight="1">
      <c r="A44" s="23"/>
      <c r="B44" s="72"/>
      <c r="C44" s="72"/>
      <c r="D44" s="72"/>
      <c r="E44" s="72"/>
      <c r="F44" s="105"/>
      <c r="G44" s="72"/>
      <c r="H44" s="72"/>
      <c r="I44" s="72"/>
      <c r="J44" s="19"/>
      <c r="K44" s="19"/>
      <c r="M44" s="19"/>
      <c r="Q44" s="93"/>
      <c r="T44" s="19"/>
      <c r="U44" s="19"/>
      <c r="V44" s="106"/>
      <c r="W44" s="19"/>
      <c r="X44" s="19"/>
      <c r="Y44" s="19"/>
      <c r="Z44" s="19"/>
    </row>
    <row r="45" spans="1:26" ht="15.75" customHeight="1">
      <c r="A45" s="264" t="s">
        <v>57</v>
      </c>
      <c r="B45" s="264"/>
      <c r="C45" s="264"/>
      <c r="D45" s="264"/>
      <c r="E45" s="264"/>
      <c r="F45" s="19"/>
      <c r="N45" s="13"/>
      <c r="T45" s="19"/>
      <c r="U45" s="19"/>
      <c r="V45" s="106"/>
      <c r="W45" s="19"/>
      <c r="X45" s="19"/>
      <c r="Y45" s="19"/>
      <c r="Z45" s="19"/>
    </row>
    <row r="46" spans="1:26" s="110" customFormat="1" ht="39.75" customHeight="1" thickBot="1">
      <c r="A46" s="107" t="s">
        <v>58</v>
      </c>
      <c r="B46" s="108" t="s">
        <v>59</v>
      </c>
      <c r="C46" s="108" t="s">
        <v>60</v>
      </c>
      <c r="D46" s="108" t="s">
        <v>61</v>
      </c>
      <c r="E46" s="109" t="s">
        <v>63</v>
      </c>
      <c r="F46" s="109" t="s">
        <v>64</v>
      </c>
      <c r="G46" s="109" t="s">
        <v>65</v>
      </c>
      <c r="H46" s="249" t="s">
        <v>66</v>
      </c>
      <c r="I46" s="249"/>
      <c r="J46" s="242" t="s">
        <v>62</v>
      </c>
      <c r="K46" s="109"/>
      <c r="L46" s="241"/>
      <c r="M46" s="242"/>
      <c r="U46" s="19"/>
      <c r="V46" s="19"/>
      <c r="W46" s="19"/>
      <c r="X46" s="19"/>
      <c r="Y46" s="19"/>
      <c r="Z46" s="19"/>
    </row>
    <row r="47" spans="1:14" ht="12.75">
      <c r="A47" s="111" t="s">
        <v>67</v>
      </c>
      <c r="B47" s="112">
        <f>B29</f>
        <v>-22.248983506565885</v>
      </c>
      <c r="C47" s="113">
        <f>1.3*NORMSINV($C$61)</f>
        <v>2.1383089006121736</v>
      </c>
      <c r="D47" s="112">
        <f aca="true" t="shared" si="1" ref="D47:D60">B47-C47</f>
        <v>-24.38729240717806</v>
      </c>
      <c r="E47" s="115"/>
      <c r="F47" s="229">
        <f>2*(NORMSINV($B$42*$C$61)-(10^(D47/10)+1)*NORMSINV($B$41/$C$61))^2/10^(D47/5)</f>
        <v>779659.2757952383</v>
      </c>
      <c r="G47" s="116">
        <f>ROUNDUP(F47,0)/($B$6*1000)</f>
        <v>129.94333333333333</v>
      </c>
      <c r="H47" s="110"/>
      <c r="I47" s="110"/>
      <c r="J47" s="143">
        <v>1</v>
      </c>
      <c r="K47" s="20"/>
      <c r="L47" s="154"/>
      <c r="M47" s="98"/>
      <c r="N47" s="13"/>
    </row>
    <row r="48" spans="1:14" ht="12.75">
      <c r="A48" s="117" t="s">
        <v>69</v>
      </c>
      <c r="B48" s="118">
        <f>B$29-11.2+10*LOG10(B6/0.01)</f>
        <v>-5.667471002729446</v>
      </c>
      <c r="C48" s="118">
        <f>4.5*NORMSINV($C$61)</f>
        <v>7.4018385021190625</v>
      </c>
      <c r="D48" s="118">
        <f t="shared" si="1"/>
        <v>-13.069309504848508</v>
      </c>
      <c r="E48" s="243"/>
      <c r="F48" s="244">
        <f>2*(NORMSINV($B$42*$C$61)-(10^(D48/10)+1)*NORMSINV($B$41/$C$61))^2/10^(D48/5)</f>
        <v>4238.270543932156</v>
      </c>
      <c r="G48" s="245">
        <f>ROUNDUP(F48,0)/(0.01*1000)</f>
        <v>423.9</v>
      </c>
      <c r="H48" s="239"/>
      <c r="I48" s="72"/>
      <c r="J48" s="114">
        <v>1</v>
      </c>
      <c r="K48" s="20"/>
      <c r="L48" s="154"/>
      <c r="M48" s="98"/>
      <c r="N48" s="13"/>
    </row>
    <row r="49" spans="1:14" ht="12.75">
      <c r="A49" s="117" t="s">
        <v>87</v>
      </c>
      <c r="B49" s="118">
        <f>B$29</f>
        <v>-22.248983506565885</v>
      </c>
      <c r="C49" s="118">
        <f>4.5*NORMSINV($C$61)</f>
        <v>7.4018385021190625</v>
      </c>
      <c r="D49" s="118">
        <f t="shared" si="1"/>
        <v>-29.650822008684948</v>
      </c>
      <c r="E49" s="161">
        <f>10^(-11.2/10)</f>
        <v>0.07585775750291839</v>
      </c>
      <c r="F49" s="244">
        <f>(NORMSINV($B$42*$C$61)-SQRT(10^(D49/10)+1)*NORMSINV($B$41/$C$61))^2/(E49*(10^(D49/10)))</f>
        <v>62888.97082598926</v>
      </c>
      <c r="G49" s="245">
        <f>ROUNDUP(F49,0)/($B$6*1000)</f>
        <v>10.4815</v>
      </c>
      <c r="H49" s="240"/>
      <c r="I49" s="72"/>
      <c r="J49" s="114">
        <v>2</v>
      </c>
      <c r="K49" s="20"/>
      <c r="L49" s="154"/>
      <c r="M49" s="98"/>
      <c r="N49" s="13"/>
    </row>
    <row r="50" spans="1:26" ht="12.75" customHeight="1">
      <c r="A50" s="117" t="s">
        <v>102</v>
      </c>
      <c r="B50" s="122">
        <f>B29</f>
        <v>-22.248983506565885</v>
      </c>
      <c r="C50" s="72">
        <f>C47</f>
        <v>2.1383089006121736</v>
      </c>
      <c r="D50" s="118">
        <f t="shared" si="1"/>
        <v>-24.38729240717806</v>
      </c>
      <c r="E50" s="123">
        <v>1</v>
      </c>
      <c r="F50" s="230">
        <f>(1/4)*(NORMSINV($B$42*$C$61)-SQRT(10^(D50/10)+1)*NORMSINV($B$41/$C$61))^2/(E50*(10^(D50/10)))</f>
        <v>354.9198211963461</v>
      </c>
      <c r="G50" s="120">
        <f>ROUNDUP(F50,0)*(4/$J$82)/1000</f>
        <v>0.13194282001299548</v>
      </c>
      <c r="H50" s="124">
        <f>(ROUNDUP(F50,0)*832/$J$82+4/$J$82)/1000</f>
        <v>27.444478232618586</v>
      </c>
      <c r="I50" s="125" t="s">
        <v>68</v>
      </c>
      <c r="J50" s="114">
        <v>2</v>
      </c>
      <c r="K50" s="20"/>
      <c r="L50" s="20"/>
      <c r="M50" s="155"/>
      <c r="N50" s="13"/>
      <c r="U50" s="126"/>
      <c r="V50" s="19"/>
      <c r="W50" s="19"/>
      <c r="X50" s="19"/>
      <c r="Y50" s="19"/>
      <c r="Z50" s="19"/>
    </row>
    <row r="51" spans="1:14" ht="12.75">
      <c r="A51" s="117" t="s">
        <v>100</v>
      </c>
      <c r="B51" s="122">
        <f>B29</f>
        <v>-22.248983506565885</v>
      </c>
      <c r="C51" s="72">
        <f>C47</f>
        <v>2.1383089006121736</v>
      </c>
      <c r="D51" s="118">
        <f t="shared" si="1"/>
        <v>-24.38729240717806</v>
      </c>
      <c r="E51" s="123">
        <v>1</v>
      </c>
      <c r="F51" s="230">
        <f>(1/511)*(NORMSINV($B$42*$C$61)-SQRT(10^(D51/10)+1)*NORMSINV($B$41/$C$61))^2/(E51*(10^(D51/10)))</f>
        <v>2.7782373479166034</v>
      </c>
      <c r="G51" s="120">
        <f>ROUNDUP(F51,0)*(511/$J$82)/1000</f>
        <v>0.14244249512670568</v>
      </c>
      <c r="H51" s="127">
        <f>(ROUNDUP(F51,0)*(313*832/$J$82)+511/$J$82)/1000</f>
        <v>72.63907537361924</v>
      </c>
      <c r="I51" s="72" t="s">
        <v>68</v>
      </c>
      <c r="J51" s="114">
        <v>2</v>
      </c>
      <c r="K51" s="20"/>
      <c r="L51" s="154"/>
      <c r="M51" s="98"/>
      <c r="N51" s="13"/>
    </row>
    <row r="52" spans="1:14" ht="12.75">
      <c r="A52" s="117" t="s">
        <v>101</v>
      </c>
      <c r="B52" s="118">
        <f>B29</f>
        <v>-22.248983506565885</v>
      </c>
      <c r="C52" s="153">
        <f>C47</f>
        <v>2.1383089006121736</v>
      </c>
      <c r="D52" s="118">
        <f t="shared" si="1"/>
        <v>-24.38729240717806</v>
      </c>
      <c r="E52" s="123">
        <v>1</v>
      </c>
      <c r="F52" s="230">
        <f>(1/(3*63))*(NORMSINV($B$42*$C$61)-SQRT(10^(D52/10)+1)*NORMSINV($B$41/$C$61))^2/(E52*(10^(D52/10)))</f>
        <v>7.511530607330076</v>
      </c>
      <c r="G52" s="120">
        <f>ROUNDUP(F52,0)*(3*63/$J$82)/1000</f>
        <v>0.14049122807017544</v>
      </c>
      <c r="H52" s="288">
        <f>(ROUNDUP(F52,0)*(313*832/$J$82)+3*63/$J$82)/1000</f>
        <v>193.595146848603</v>
      </c>
      <c r="I52" s="72" t="s">
        <v>68</v>
      </c>
      <c r="J52" s="114">
        <v>2</v>
      </c>
      <c r="K52" s="20"/>
      <c r="L52" s="154"/>
      <c r="M52" s="98"/>
      <c r="N52" s="13"/>
    </row>
    <row r="53" spans="1:14" ht="12.75">
      <c r="A53" s="117" t="s">
        <v>103</v>
      </c>
      <c r="B53" s="118">
        <f>B29</f>
        <v>-22.248983506565885</v>
      </c>
      <c r="C53" s="153">
        <f>C47</f>
        <v>2.1383089006121736</v>
      </c>
      <c r="D53" s="118">
        <f t="shared" si="1"/>
        <v>-24.38729240717806</v>
      </c>
      <c r="E53" s="123"/>
      <c r="F53" s="230"/>
      <c r="G53" s="120"/>
      <c r="H53" s="289"/>
      <c r="I53" s="72"/>
      <c r="J53" s="114"/>
      <c r="K53" s="20"/>
      <c r="L53" s="154"/>
      <c r="M53" s="98"/>
      <c r="N53" s="13"/>
    </row>
    <row r="54" spans="1:14" ht="12.75">
      <c r="A54" s="117" t="s">
        <v>70</v>
      </c>
      <c r="B54" s="118">
        <f>B29</f>
        <v>-22.248983506565885</v>
      </c>
      <c r="C54" s="153">
        <f>C47</f>
        <v>2.1383089006121736</v>
      </c>
      <c r="D54" s="118">
        <f t="shared" si="1"/>
        <v>-24.38729240717806</v>
      </c>
      <c r="E54" s="123"/>
      <c r="F54" s="230"/>
      <c r="G54" s="120"/>
      <c r="H54" s="289"/>
      <c r="I54" s="72"/>
      <c r="J54" s="114"/>
      <c r="K54" s="20"/>
      <c r="L54" s="154"/>
      <c r="M54" s="98"/>
      <c r="N54" s="13"/>
    </row>
    <row r="55" spans="1:14" ht="12.75">
      <c r="A55" s="128" t="s">
        <v>71</v>
      </c>
      <c r="B55" s="129">
        <f>B29</f>
        <v>-22.248983506565885</v>
      </c>
      <c r="C55" s="130">
        <f>C47</f>
        <v>2.1383089006121736</v>
      </c>
      <c r="D55" s="118">
        <f t="shared" si="1"/>
        <v>-24.38729240717806</v>
      </c>
      <c r="E55" s="132"/>
      <c r="F55" s="231"/>
      <c r="G55" s="133"/>
      <c r="H55" s="290"/>
      <c r="I55" s="121"/>
      <c r="J55" s="131"/>
      <c r="K55" s="20"/>
      <c r="L55" s="154"/>
      <c r="M55" s="98"/>
      <c r="N55" s="13"/>
    </row>
    <row r="56" spans="1:14" ht="13.5" customHeight="1">
      <c r="A56" s="117" t="s">
        <v>72</v>
      </c>
      <c r="B56" s="122">
        <f>C$29+10*LOG10(30%)+10*LOG10(B6/0.02)</f>
        <v>19.293441587827367</v>
      </c>
      <c r="C56" s="122">
        <f>4*NORMSINV($C$61)</f>
        <v>6.579412001883611</v>
      </c>
      <c r="D56" s="118">
        <f t="shared" si="1"/>
        <v>12.714029585943756</v>
      </c>
      <c r="E56" s="119"/>
      <c r="F56" s="136">
        <f>2*(NORMSINV($C$42*$C$61)-(10^(D56/10)+1)*NORMSINV($C$41/$C$61))^2/10^(D56/5)</f>
        <v>0.006637500147101992</v>
      </c>
      <c r="G56" s="137">
        <f>ROUNDUP(F56*$C$6/0.02,0)/($C$6*1000)</f>
        <v>0.0003333333333333333</v>
      </c>
      <c r="J56" s="114">
        <v>1</v>
      </c>
      <c r="K56" s="20"/>
      <c r="L56" s="154"/>
      <c r="M56" s="98"/>
      <c r="N56" s="13"/>
    </row>
    <row r="57" spans="1:14" ht="12.75" customHeight="1">
      <c r="A57" s="128" t="s">
        <v>73</v>
      </c>
      <c r="B57" s="138">
        <f>C$29+10*LOG10(10%)+10*LOG10(B6/0.02)</f>
        <v>14.52222904063074</v>
      </c>
      <c r="C57" s="121">
        <f>4*NORMSINV($C$61)</f>
        <v>6.579412001883611</v>
      </c>
      <c r="D57" s="118">
        <f t="shared" si="1"/>
        <v>7.94281703874713</v>
      </c>
      <c r="E57" s="119"/>
      <c r="F57" s="136">
        <f>2*(NORMSINV($C$42*$C$61)-(10^(D57/10)+1)*NORMSINV($C$41/$C$61))^2/10^(D57/5)</f>
        <v>0.18125232687075205</v>
      </c>
      <c r="G57" s="137">
        <f>ROUNDUP(F57*$C$6/0.02,0)/($C$6*1000)</f>
        <v>0.009166666666666667</v>
      </c>
      <c r="J57" s="114">
        <v>1</v>
      </c>
      <c r="K57" s="20"/>
      <c r="L57" s="162"/>
      <c r="M57" s="155"/>
      <c r="N57" s="13"/>
    </row>
    <row r="58" spans="1:14" ht="12.75">
      <c r="A58" s="128" t="s">
        <v>74</v>
      </c>
      <c r="B58" s="138">
        <f>D29</f>
        <v>1.5222290406307408</v>
      </c>
      <c r="C58" s="121">
        <f>2.5*NORMSINV($C$61)</f>
        <v>4.112132501177257</v>
      </c>
      <c r="D58" s="139">
        <f t="shared" si="1"/>
        <v>-2.589903460546516</v>
      </c>
      <c r="E58" s="141"/>
      <c r="F58" s="232">
        <f>2*(NORMSINV($D$42*$C$61)-(10^(D58/10)+1)*NORMSINV($D$41/$C$61))^2/10^(D58/5)</f>
        <v>33.03096682680669</v>
      </c>
      <c r="G58" s="142">
        <f>ROUNDUP(F58,0)/($D$6*1000)</f>
        <v>0.17</v>
      </c>
      <c r="J58" s="140">
        <v>1</v>
      </c>
      <c r="K58" s="20"/>
      <c r="L58" s="154"/>
      <c r="M58" s="98"/>
      <c r="N58" s="13"/>
    </row>
    <row r="59" spans="1:14" ht="12.75">
      <c r="A59" s="117" t="s">
        <v>75</v>
      </c>
      <c r="B59" s="122">
        <f>E29</f>
        <v>1.5325289972705534</v>
      </c>
      <c r="C59" s="72">
        <f>4.5*NORMSINV($C$61)</f>
        <v>7.4018385021190625</v>
      </c>
      <c r="D59" s="118">
        <f t="shared" si="1"/>
        <v>-5.869309504848509</v>
      </c>
      <c r="E59" s="119"/>
      <c r="F59" s="233">
        <f>2*(NORMSINV($E$42*$C$61)-(10^(D59/10)+1)*NORMSINV($E$41/$C$61))^2/10^(D59/5)</f>
        <v>152.0669656757609</v>
      </c>
      <c r="G59" s="120">
        <f>ROUNDUP(F59,0)/($E$6*1000)</f>
        <v>15.3</v>
      </c>
      <c r="J59" s="143">
        <v>1</v>
      </c>
      <c r="K59" s="20"/>
      <c r="L59" s="154"/>
      <c r="M59" s="98"/>
      <c r="N59" s="13"/>
    </row>
    <row r="60" spans="1:14" ht="13.5" thickBot="1">
      <c r="A60" s="144" t="s">
        <v>76</v>
      </c>
      <c r="B60" s="145">
        <f>E29</f>
        <v>1.5325289972705534</v>
      </c>
      <c r="C60" s="146">
        <f>4.5*NORMSINV($C$61)</f>
        <v>7.4018385021190625</v>
      </c>
      <c r="D60" s="147">
        <f t="shared" si="1"/>
        <v>-5.869309504848509</v>
      </c>
      <c r="E60" s="148">
        <v>1</v>
      </c>
      <c r="F60" s="234">
        <f>(NORMSINV($E$42*$C$61)-SQRT(10^(D60/10)+1)*NORMSINV($E$41/$C$61))^2/(E60*10^(D60/10))</f>
        <v>19.835534710094677</v>
      </c>
      <c r="G60" s="149">
        <f>ROUNDUP(F60,0)/($E$6*1000)</f>
        <v>2</v>
      </c>
      <c r="J60" s="131">
        <v>2</v>
      </c>
      <c r="K60" s="20"/>
      <c r="L60" s="154"/>
      <c r="M60" s="98"/>
      <c r="N60" s="13"/>
    </row>
    <row r="61" spans="1:8" ht="12.75">
      <c r="A61" s="150"/>
      <c r="B61" s="151" t="s">
        <v>77</v>
      </c>
      <c r="C61" s="211">
        <v>0.95</v>
      </c>
      <c r="D61" s="153"/>
      <c r="E61" s="20"/>
      <c r="F61" s="154"/>
      <c r="G61" s="155"/>
      <c r="H61" s="98"/>
    </row>
    <row r="62" spans="1:8" ht="12.75">
      <c r="A62" s="150"/>
      <c r="B62" s="151"/>
      <c r="C62" s="104"/>
      <c r="D62" s="153"/>
      <c r="E62" s="20"/>
      <c r="F62" s="154"/>
      <c r="G62" s="155"/>
      <c r="H62" s="98"/>
    </row>
    <row r="63" spans="1:26" ht="13.5" customHeight="1">
      <c r="A63" s="23"/>
      <c r="B63" s="72"/>
      <c r="C63" s="72"/>
      <c r="D63" s="72"/>
      <c r="E63" s="72"/>
      <c r="F63" s="72"/>
      <c r="G63" s="72"/>
      <c r="H63" s="72"/>
      <c r="I63" s="72"/>
      <c r="J63" s="91"/>
      <c r="K63" s="74"/>
      <c r="Q63" s="156"/>
      <c r="R63" s="19"/>
      <c r="S63" s="19"/>
      <c r="T63" s="19"/>
      <c r="U63" s="19"/>
      <c r="V63" s="106"/>
      <c r="W63" s="19"/>
      <c r="X63" s="19"/>
      <c r="Y63" s="19"/>
      <c r="Z63" s="19"/>
    </row>
    <row r="64" spans="1:26" ht="15.75" customHeight="1">
      <c r="A64" s="263" t="s">
        <v>78</v>
      </c>
      <c r="B64" s="263"/>
      <c r="C64" s="263"/>
      <c r="D64" s="263"/>
      <c r="E64" s="263"/>
      <c r="F64" s="157"/>
      <c r="G64" s="72"/>
      <c r="H64" s="72"/>
      <c r="I64" s="72"/>
      <c r="J64" s="19"/>
      <c r="K64" s="19"/>
      <c r="U64" s="156"/>
      <c r="V64" s="106"/>
      <c r="W64" s="19"/>
      <c r="X64" s="19"/>
      <c r="Y64" s="19"/>
      <c r="Z64" s="19"/>
    </row>
    <row r="65" spans="1:26" ht="27.75" customHeight="1" thickBot="1">
      <c r="A65" s="158" t="s">
        <v>97</v>
      </c>
      <c r="B65" s="108" t="s">
        <v>79</v>
      </c>
      <c r="C65" s="108" t="s">
        <v>80</v>
      </c>
      <c r="D65" s="281" t="s">
        <v>98</v>
      </c>
      <c r="E65" s="281"/>
      <c r="F65" s="72"/>
      <c r="H65" s="72"/>
      <c r="I65" s="72"/>
      <c r="J65" s="19"/>
      <c r="K65" s="159"/>
      <c r="U65" s="19"/>
      <c r="V65" s="19"/>
      <c r="W65" s="19"/>
      <c r="X65" s="19"/>
      <c r="Y65" s="19"/>
      <c r="Z65" s="19"/>
    </row>
    <row r="66" spans="1:26" ht="12.75" customHeight="1">
      <c r="A66" s="111" t="s">
        <v>67</v>
      </c>
      <c r="B66" s="198">
        <f aca="true" t="shared" si="2" ref="B66:B74">$B$42*$C$61</f>
        <v>0.00969590739736092</v>
      </c>
      <c r="C66" s="195">
        <f aca="true" t="shared" si="3" ref="C66:C74">$B$41/$C$61</f>
        <v>0.47444181931256946</v>
      </c>
      <c r="D66" s="212">
        <v>5</v>
      </c>
      <c r="E66" s="218">
        <f>D66</f>
        <v>5</v>
      </c>
      <c r="G66" s="160"/>
      <c r="H66" s="160"/>
      <c r="I66" s="160"/>
      <c r="J66" s="19"/>
      <c r="K66" s="19"/>
      <c r="U66" s="19"/>
      <c r="V66" s="19"/>
      <c r="W66" s="19"/>
      <c r="X66" s="19"/>
      <c r="Y66" s="19"/>
      <c r="Z66" s="19"/>
    </row>
    <row r="67" spans="1:26" ht="12.75" customHeight="1">
      <c r="A67" s="117" t="s">
        <v>69</v>
      </c>
      <c r="B67" s="246">
        <f t="shared" si="2"/>
        <v>0.00969590739736092</v>
      </c>
      <c r="C67" s="161">
        <f t="shared" si="3"/>
        <v>0.47444181931256946</v>
      </c>
      <c r="D67" s="213">
        <v>5</v>
      </c>
      <c r="E67" s="217">
        <f>D67+11.2-10*LOG10($B$6/0.01)</f>
        <v>-11.581512503836436</v>
      </c>
      <c r="G67" s="126"/>
      <c r="H67" s="126"/>
      <c r="I67" s="126"/>
      <c r="J67" s="159"/>
      <c r="K67" s="162"/>
      <c r="U67" s="126"/>
      <c r="V67" s="19"/>
      <c r="W67" s="19"/>
      <c r="X67" s="19"/>
      <c r="Y67" s="19"/>
      <c r="Z67" s="19"/>
    </row>
    <row r="68" spans="1:26" ht="12.75" customHeight="1">
      <c r="A68" s="117" t="s">
        <v>87</v>
      </c>
      <c r="B68" s="246">
        <f t="shared" si="2"/>
        <v>0.00969590739736092</v>
      </c>
      <c r="C68" s="161">
        <f t="shared" si="3"/>
        <v>0.47444181931256946</v>
      </c>
      <c r="D68" s="213">
        <v>18</v>
      </c>
      <c r="E68" s="217">
        <f>D68+11.2</f>
        <v>29.2</v>
      </c>
      <c r="G68" s="126"/>
      <c r="H68" s="126"/>
      <c r="I68" s="126"/>
      <c r="J68" s="159"/>
      <c r="K68" s="162"/>
      <c r="U68" s="126"/>
      <c r="V68" s="19"/>
      <c r="W68" s="19"/>
      <c r="X68" s="19"/>
      <c r="Y68" s="19"/>
      <c r="Z68" s="19"/>
    </row>
    <row r="69" spans="1:26" ht="12.75" customHeight="1">
      <c r="A69" s="117" t="s">
        <v>102</v>
      </c>
      <c r="B69" s="200">
        <f t="shared" si="2"/>
        <v>0.00969590739736092</v>
      </c>
      <c r="C69" s="206">
        <f t="shared" si="3"/>
        <v>0.47444181931256946</v>
      </c>
      <c r="D69" s="213">
        <v>1</v>
      </c>
      <c r="E69" s="217">
        <f>D69</f>
        <v>1</v>
      </c>
      <c r="G69" s="126"/>
      <c r="H69" s="126"/>
      <c r="I69" s="126"/>
      <c r="J69" s="159"/>
      <c r="K69" s="162"/>
      <c r="U69" s="126"/>
      <c r="V69" s="19"/>
      <c r="W69" s="19"/>
      <c r="X69" s="19"/>
      <c r="Y69" s="19"/>
      <c r="Z69" s="19"/>
    </row>
    <row r="70" spans="1:26" ht="12.75" customHeight="1">
      <c r="A70" s="117" t="s">
        <v>100</v>
      </c>
      <c r="B70" s="200">
        <f t="shared" si="2"/>
        <v>0.00969590739736092</v>
      </c>
      <c r="C70" s="206">
        <f t="shared" si="3"/>
        <v>0.47444181931256946</v>
      </c>
      <c r="D70" s="213">
        <v>-20</v>
      </c>
      <c r="E70" s="217">
        <f>D70</f>
        <v>-20</v>
      </c>
      <c r="G70" s="23"/>
      <c r="H70" s="23"/>
      <c r="I70" s="23"/>
      <c r="J70" s="163"/>
      <c r="K70" s="20"/>
      <c r="U70" s="126"/>
      <c r="V70" s="19"/>
      <c r="W70" s="19"/>
      <c r="X70" s="19"/>
      <c r="Y70" s="19"/>
      <c r="Z70" s="19"/>
    </row>
    <row r="71" spans="1:26" ht="12.75" customHeight="1">
      <c r="A71" s="117" t="s">
        <v>101</v>
      </c>
      <c r="B71" s="200">
        <f t="shared" si="2"/>
        <v>0.00969590739736092</v>
      </c>
      <c r="C71" s="206">
        <f t="shared" si="3"/>
        <v>0.47444181931256946</v>
      </c>
      <c r="D71" s="214">
        <v>-15.5</v>
      </c>
      <c r="E71" s="217">
        <f>D71</f>
        <v>-15.5</v>
      </c>
      <c r="G71" s="160"/>
      <c r="H71" s="160"/>
      <c r="I71" s="160"/>
      <c r="J71" s="19"/>
      <c r="K71" s="160"/>
      <c r="U71" s="126"/>
      <c r="V71" s="19"/>
      <c r="W71" s="19"/>
      <c r="X71" s="19"/>
      <c r="Y71" s="19"/>
      <c r="Z71" s="19"/>
    </row>
    <row r="72" spans="1:26" ht="12.75" customHeight="1">
      <c r="A72" s="117" t="s">
        <v>103</v>
      </c>
      <c r="B72" s="200">
        <f t="shared" si="2"/>
        <v>0.00969590739736092</v>
      </c>
      <c r="C72" s="206">
        <f t="shared" si="3"/>
        <v>0.47444181931256946</v>
      </c>
      <c r="D72" s="214"/>
      <c r="E72" s="217"/>
      <c r="G72" s="160"/>
      <c r="H72" s="160"/>
      <c r="I72" s="160"/>
      <c r="J72" s="19"/>
      <c r="K72" s="160"/>
      <c r="U72" s="126"/>
      <c r="V72" s="19"/>
      <c r="W72" s="19"/>
      <c r="X72" s="19"/>
      <c r="Y72" s="19"/>
      <c r="Z72" s="19"/>
    </row>
    <row r="73" spans="1:26" ht="12.75" customHeight="1">
      <c r="A73" s="117" t="s">
        <v>70</v>
      </c>
      <c r="B73" s="200">
        <f t="shared" si="2"/>
        <v>0.00969590739736092</v>
      </c>
      <c r="C73" s="206">
        <f t="shared" si="3"/>
        <v>0.47444181931256946</v>
      </c>
      <c r="D73" s="214"/>
      <c r="E73" s="217"/>
      <c r="G73" s="160"/>
      <c r="H73" s="160"/>
      <c r="I73" s="160"/>
      <c r="J73" s="19"/>
      <c r="K73" s="160"/>
      <c r="U73" s="126"/>
      <c r="V73" s="19"/>
      <c r="W73" s="19"/>
      <c r="X73" s="19"/>
      <c r="Y73" s="19"/>
      <c r="Z73" s="19"/>
    </row>
    <row r="74" spans="1:26" ht="12.75" customHeight="1">
      <c r="A74" s="285" t="s">
        <v>71</v>
      </c>
      <c r="B74" s="200">
        <f t="shared" si="2"/>
        <v>0.00969590739736092</v>
      </c>
      <c r="C74" s="206">
        <f t="shared" si="3"/>
        <v>0.47444181931256946</v>
      </c>
      <c r="D74" s="214"/>
      <c r="E74" s="220"/>
      <c r="G74" s="160"/>
      <c r="H74" s="160"/>
      <c r="I74" s="160"/>
      <c r="J74" s="19"/>
      <c r="K74" s="160"/>
      <c r="U74" s="126"/>
      <c r="V74" s="19"/>
      <c r="W74" s="19"/>
      <c r="X74" s="19"/>
      <c r="Y74" s="19"/>
      <c r="Z74" s="19"/>
    </row>
    <row r="75" spans="1:26" ht="12.75" customHeight="1">
      <c r="A75" s="117" t="s">
        <v>72</v>
      </c>
      <c r="B75" s="199">
        <f>$C$42*$C$61</f>
        <v>0.00969590739736092</v>
      </c>
      <c r="C75" s="192">
        <f>$C$41/$C$61</f>
        <v>0.47444181931256946</v>
      </c>
      <c r="D75" s="215">
        <v>1</v>
      </c>
      <c r="E75" s="217">
        <f>D75-10*LOG10(30%)-10*LOG10($B$6/0.02)</f>
        <v>-18.542425094393252</v>
      </c>
      <c r="G75" s="23"/>
      <c r="H75" s="23"/>
      <c r="I75" s="23"/>
      <c r="J75" s="19"/>
      <c r="K75" s="23"/>
      <c r="U75" s="126"/>
      <c r="V75" s="19"/>
      <c r="W75" s="19"/>
      <c r="X75" s="19"/>
      <c r="Y75" s="19"/>
      <c r="Z75" s="19"/>
    </row>
    <row r="76" spans="1:26" ht="12.75" customHeight="1" thickBot="1">
      <c r="A76" s="128" t="s">
        <v>73</v>
      </c>
      <c r="B76" s="200">
        <f>$C$42*$C$61</f>
        <v>0.00969590739736092</v>
      </c>
      <c r="C76" s="161">
        <f>$C$41/$C$61</f>
        <v>0.47444181931256946</v>
      </c>
      <c r="D76" s="216">
        <v>4.5</v>
      </c>
      <c r="E76" s="219">
        <f>D76-10*LOG10(10%)-10*LOG10($B$6/0.02)</f>
        <v>-10.271212547196626</v>
      </c>
      <c r="G76" s="72"/>
      <c r="H76" s="72"/>
      <c r="I76" s="72"/>
      <c r="J76" s="19"/>
      <c r="K76" s="23"/>
      <c r="U76" s="126"/>
      <c r="V76" s="19"/>
      <c r="W76" s="19"/>
      <c r="X76" s="19"/>
      <c r="Y76" s="19"/>
      <c r="Z76" s="19"/>
    </row>
    <row r="77" spans="1:26" ht="12.75" customHeight="1">
      <c r="A77" s="128" t="s">
        <v>74</v>
      </c>
      <c r="B77" s="199">
        <f>$D$42*$C$61</f>
        <v>0.00969590739736092</v>
      </c>
      <c r="C77" s="164">
        <f>$D$41/$C$61</f>
        <v>0.47444181931256946</v>
      </c>
      <c r="D77" s="165">
        <v>5</v>
      </c>
      <c r="E77" s="166"/>
      <c r="G77" s="72"/>
      <c r="H77" s="72"/>
      <c r="I77" s="72"/>
      <c r="J77" s="167"/>
      <c r="K77" s="23"/>
      <c r="U77" s="126"/>
      <c r="V77" s="19"/>
      <c r="W77" s="19"/>
      <c r="X77" s="19"/>
      <c r="Y77" s="19"/>
      <c r="Z77" s="19"/>
    </row>
    <row r="78" spans="1:26" ht="12.75">
      <c r="A78" s="117" t="s">
        <v>75</v>
      </c>
      <c r="B78" s="199">
        <f>$E$42*$C$61</f>
        <v>0.00969590739736092</v>
      </c>
      <c r="C78" s="164">
        <f>$E$41/$C$61</f>
        <v>0.47444181931256946</v>
      </c>
      <c r="D78" s="165">
        <v>5</v>
      </c>
      <c r="E78" s="32"/>
      <c r="G78" s="72"/>
      <c r="H78" s="72"/>
      <c r="I78" s="72"/>
      <c r="J78" s="19"/>
      <c r="K78" s="23"/>
      <c r="U78" s="19"/>
      <c r="V78" s="19"/>
      <c r="W78" s="19"/>
      <c r="X78" s="19"/>
      <c r="Y78" s="19"/>
      <c r="Z78" s="19"/>
    </row>
    <row r="79" spans="1:26" ht="14.25" customHeight="1" thickBot="1">
      <c r="A79" s="144" t="s">
        <v>76</v>
      </c>
      <c r="B79" s="201">
        <f>$E$42*$C$61</f>
        <v>0.00969590739736092</v>
      </c>
      <c r="C79" s="193">
        <f>$E$41/$C$61</f>
        <v>0.47444181931256946</v>
      </c>
      <c r="D79" s="168">
        <v>7</v>
      </c>
      <c r="E79" s="32"/>
      <c r="G79" s="72"/>
      <c r="H79" s="72"/>
      <c r="I79" s="72"/>
      <c r="J79" s="19"/>
      <c r="K79" s="23"/>
      <c r="U79" s="19"/>
      <c r="V79" s="19"/>
      <c r="W79" s="19"/>
      <c r="X79" s="19"/>
      <c r="Y79" s="19"/>
      <c r="Z79" s="19"/>
    </row>
    <row r="80" spans="1:26" ht="13.5" customHeight="1">
      <c r="A80" s="23"/>
      <c r="B80" s="72"/>
      <c r="C80" s="72"/>
      <c r="D80" s="72"/>
      <c r="E80" s="72"/>
      <c r="F80" s="72"/>
      <c r="G80" s="72"/>
      <c r="H80" s="72"/>
      <c r="I80" s="72"/>
      <c r="J80" s="19"/>
      <c r="K80" s="23"/>
      <c r="L80" s="72"/>
      <c r="M80" s="72"/>
      <c r="N80" s="98"/>
      <c r="O80" s="19"/>
      <c r="P80" s="19"/>
      <c r="Q80" s="19"/>
      <c r="R80" s="19"/>
      <c r="S80" s="19"/>
      <c r="T80" s="19"/>
      <c r="U80" s="19"/>
      <c r="V80" s="19"/>
      <c r="W80" s="19"/>
      <c r="X80" s="19"/>
      <c r="Y80" s="19"/>
      <c r="Z80" s="19"/>
    </row>
    <row r="81" spans="1:26" s="110" customFormat="1" ht="39.75" customHeight="1" thickBot="1">
      <c r="A81" s="107" t="s">
        <v>58</v>
      </c>
      <c r="B81" s="108" t="s">
        <v>59</v>
      </c>
      <c r="C81" s="108" t="s">
        <v>60</v>
      </c>
      <c r="D81" s="108" t="s">
        <v>61</v>
      </c>
      <c r="E81" s="108" t="s">
        <v>81</v>
      </c>
      <c r="F81" s="109" t="s">
        <v>64</v>
      </c>
      <c r="G81" s="108" t="s">
        <v>65</v>
      </c>
      <c r="H81" s="249" t="s">
        <v>66</v>
      </c>
      <c r="I81" s="249"/>
      <c r="J81" s="109" t="s">
        <v>82</v>
      </c>
      <c r="O81" s="105"/>
      <c r="P81" s="169"/>
      <c r="Q81" s="156"/>
      <c r="R81" s="19"/>
      <c r="S81" s="19"/>
      <c r="T81" s="19"/>
      <c r="U81" s="19"/>
      <c r="V81" s="19"/>
      <c r="W81" s="19"/>
      <c r="X81" s="19"/>
      <c r="Y81" s="19"/>
      <c r="Z81" s="19"/>
    </row>
    <row r="82" spans="1:17" ht="12.75">
      <c r="A82" s="111" t="s">
        <v>67</v>
      </c>
      <c r="B82" s="112">
        <f>B29</f>
        <v>-22.248983506565885</v>
      </c>
      <c r="C82" s="112">
        <f>1.3*NORMSINV($C$96)</f>
        <v>2.1383089006121736</v>
      </c>
      <c r="D82" s="113">
        <f aca="true" t="shared" si="4" ref="D82:D95">B82-C82</f>
        <v>-24.38729240717806</v>
      </c>
      <c r="E82" s="170">
        <f>D66</f>
        <v>5</v>
      </c>
      <c r="F82" s="223">
        <f>10^((E82-D82)/5)</f>
        <v>754151.2955166834</v>
      </c>
      <c r="G82" s="221">
        <f>ROUNDUP(F82,0)/($B$6*1000)</f>
        <v>125.692</v>
      </c>
      <c r="H82" s="110"/>
      <c r="I82" s="110"/>
      <c r="J82" s="171">
        <f>4.5*684/286</f>
        <v>10.762237762237762</v>
      </c>
      <c r="O82" s="19"/>
      <c r="P82" s="19"/>
      <c r="Q82" s="19"/>
    </row>
    <row r="83" spans="1:16" ht="12.75">
      <c r="A83" s="117" t="s">
        <v>69</v>
      </c>
      <c r="B83" s="118">
        <f>B$29-11.2+10*LOG10(B6/0.01)</f>
        <v>-5.667471002729446</v>
      </c>
      <c r="C83" s="118">
        <f>4.5*NORMSINV($C$96)</f>
        <v>7.4018385021190625</v>
      </c>
      <c r="D83" s="153">
        <f t="shared" si="4"/>
        <v>-13.069309504848508</v>
      </c>
      <c r="E83" s="72">
        <f>D67</f>
        <v>5</v>
      </c>
      <c r="F83" s="74">
        <f>10^((E83-D83)/5)</f>
        <v>4110.190025399868</v>
      </c>
      <c r="G83" s="245">
        <f>ROUNDUP(F83,0)/(0.01*1000)</f>
        <v>411.1</v>
      </c>
      <c r="H83" s="239"/>
      <c r="I83" s="72"/>
      <c r="J83" s="174" t="s">
        <v>83</v>
      </c>
      <c r="O83" s="175"/>
      <c r="P83" s="175"/>
    </row>
    <row r="84" spans="1:16" ht="12.75">
      <c r="A84" s="117" t="s">
        <v>87</v>
      </c>
      <c r="B84" s="118">
        <f>B29</f>
        <v>-22.248983506565885</v>
      </c>
      <c r="C84" s="118">
        <f>4.5*NORMSINV($C$96)</f>
        <v>7.4018385021190625</v>
      </c>
      <c r="D84" s="153">
        <f t="shared" si="4"/>
        <v>-29.650822008684948</v>
      </c>
      <c r="E84" s="72">
        <f>D68</f>
        <v>18</v>
      </c>
      <c r="F84" s="74">
        <f>10^((E84-D84)/10)</f>
        <v>58221.340549065375</v>
      </c>
      <c r="G84" s="245">
        <f>ROUNDUP(F84,0)/($B$6*1000)</f>
        <v>9.703666666666667</v>
      </c>
      <c r="H84" s="240"/>
      <c r="I84" s="72"/>
      <c r="J84" s="72"/>
      <c r="O84" s="175"/>
      <c r="P84" s="175"/>
    </row>
    <row r="85" spans="1:26" ht="12.75" customHeight="1">
      <c r="A85" s="117" t="s">
        <v>102</v>
      </c>
      <c r="B85" s="118">
        <f>B29</f>
        <v>-22.248983506565885</v>
      </c>
      <c r="C85" s="122">
        <f>C82</f>
        <v>2.1383089006121736</v>
      </c>
      <c r="D85" s="153">
        <f t="shared" si="4"/>
        <v>-24.38729240717806</v>
      </c>
      <c r="E85" s="172">
        <f>D69</f>
        <v>1</v>
      </c>
      <c r="F85" s="224">
        <f>10^((E85-D85)/10)</f>
        <v>345.7237704223008</v>
      </c>
      <c r="G85" s="173">
        <f>ROUNDUP(F85,0)*(4/$J$82)/1000</f>
        <v>0.1285977907732294</v>
      </c>
      <c r="H85" s="124">
        <f>(ROUNDUP(F85,0)*832/$J$82+4/$J$82)/1000</f>
        <v>26.74871215074724</v>
      </c>
      <c r="I85" s="176" t="s">
        <v>68</v>
      </c>
      <c r="O85" s="175"/>
      <c r="P85" s="175"/>
      <c r="R85" s="126"/>
      <c r="S85" s="126"/>
      <c r="T85" s="126"/>
      <c r="U85" s="126"/>
      <c r="V85" s="19"/>
      <c r="W85" s="19"/>
      <c r="X85" s="19"/>
      <c r="Y85" s="19"/>
      <c r="Z85" s="19"/>
    </row>
    <row r="86" spans="1:17" ht="12.75">
      <c r="A86" s="117" t="s">
        <v>100</v>
      </c>
      <c r="B86" s="118">
        <f>B29</f>
        <v>-22.248983506565885</v>
      </c>
      <c r="C86" s="122">
        <f>C82</f>
        <v>2.1383089006121736</v>
      </c>
      <c r="D86" s="153">
        <f t="shared" si="4"/>
        <v>-24.38729240717806</v>
      </c>
      <c r="E86" s="172">
        <f>D70</f>
        <v>-20</v>
      </c>
      <c r="F86" s="224">
        <f>10^((E86-D86)/10)</f>
        <v>2.74618152261769</v>
      </c>
      <c r="G86" s="173">
        <f>ROUNDUP(F86,0)*(511/$J$82)/1000</f>
        <v>0.14244249512670568</v>
      </c>
      <c r="H86" s="127">
        <f>(ROUNDUP(F86,0)*(313*832/$J$82)+511/$J$82)/1000</f>
        <v>72.63907537361924</v>
      </c>
      <c r="I86" s="177" t="s">
        <v>68</v>
      </c>
      <c r="O86" s="19"/>
      <c r="P86" s="178"/>
      <c r="Q86" s="19"/>
    </row>
    <row r="87" spans="1:16" ht="12.75">
      <c r="A87" s="117" t="s">
        <v>101</v>
      </c>
      <c r="B87" s="118">
        <f>B29</f>
        <v>-22.248983506565885</v>
      </c>
      <c r="C87" s="118">
        <f>C82</f>
        <v>2.1383089006121736</v>
      </c>
      <c r="D87" s="153">
        <f t="shared" si="4"/>
        <v>-24.38729240717806</v>
      </c>
      <c r="E87" s="172">
        <f>D71</f>
        <v>-15.5</v>
      </c>
      <c r="F87" s="224">
        <f>10^((E87-D87)/10)</f>
        <v>7.73979112949953</v>
      </c>
      <c r="G87" s="173">
        <f>ROUNDUP(F87,0)*(3*63/$J$82)/1000</f>
        <v>0.14049122807017544</v>
      </c>
      <c r="H87" s="134">
        <f>(ROUNDUP(F87,0)*(313*832/$J$82)+3*63/$J$82)/1000</f>
        <v>193.595146848603</v>
      </c>
      <c r="I87" s="179" t="s">
        <v>68</v>
      </c>
      <c r="O87" s="175"/>
      <c r="P87" s="175"/>
    </row>
    <row r="88" spans="1:16" ht="12.75">
      <c r="A88" s="117" t="s">
        <v>103</v>
      </c>
      <c r="B88" s="118">
        <f>B29</f>
        <v>-22.248983506565885</v>
      </c>
      <c r="C88" s="287">
        <f>C82</f>
        <v>2.1383089006121736</v>
      </c>
      <c r="D88" s="153">
        <f t="shared" si="4"/>
        <v>-24.38729240717806</v>
      </c>
      <c r="E88" s="172"/>
      <c r="F88" s="224"/>
      <c r="G88" s="173"/>
      <c r="H88" s="286"/>
      <c r="I88" s="72"/>
      <c r="O88" s="175"/>
      <c r="P88" s="175"/>
    </row>
    <row r="89" spans="1:16" ht="12.75">
      <c r="A89" s="284" t="s">
        <v>70</v>
      </c>
      <c r="B89" s="118">
        <f>B29</f>
        <v>-22.248983506565885</v>
      </c>
      <c r="C89" s="118">
        <f>C82</f>
        <v>2.1383089006121736</v>
      </c>
      <c r="D89" s="153">
        <f t="shared" si="4"/>
        <v>-24.38729240717806</v>
      </c>
      <c r="E89" s="172"/>
      <c r="F89" s="224"/>
      <c r="G89" s="173"/>
      <c r="H89" s="286"/>
      <c r="I89" s="72"/>
      <c r="O89" s="175"/>
      <c r="P89" s="175"/>
    </row>
    <row r="90" spans="1:16" ht="12.75">
      <c r="A90" s="285" t="s">
        <v>71</v>
      </c>
      <c r="B90" s="118">
        <f>B29</f>
        <v>-22.248983506565885</v>
      </c>
      <c r="C90" s="118">
        <f>C82</f>
        <v>2.1383089006121736</v>
      </c>
      <c r="D90" s="153">
        <f t="shared" si="4"/>
        <v>-24.38729240717806</v>
      </c>
      <c r="E90" s="172"/>
      <c r="F90" s="225"/>
      <c r="G90" s="235"/>
      <c r="H90" s="286"/>
      <c r="I90" s="72"/>
      <c r="O90" s="175"/>
      <c r="P90" s="175"/>
    </row>
    <row r="91" spans="1:16" ht="13.5" customHeight="1">
      <c r="A91" s="117" t="s">
        <v>72</v>
      </c>
      <c r="B91" s="202">
        <f>C$29+10*LOG10(30%)+10*LOG10(B6/0.02)</f>
        <v>19.293441587827367</v>
      </c>
      <c r="C91" s="135">
        <f>4*NORMSINV($C$96)</f>
        <v>6.579412001883611</v>
      </c>
      <c r="D91" s="180">
        <f t="shared" si="4"/>
        <v>12.714029585943756</v>
      </c>
      <c r="E91" s="181">
        <f>D75</f>
        <v>1</v>
      </c>
      <c r="F91" s="228">
        <f>10^((E91-D91)/5)</f>
        <v>0.004541445249481762</v>
      </c>
      <c r="G91" s="137">
        <f>ROUNDUP(F91*$C$6/0.02,0)/($C$6*1000)</f>
        <v>0.0003333333333333333</v>
      </c>
      <c r="H91" s="72"/>
      <c r="I91" s="72"/>
      <c r="O91" s="175"/>
      <c r="P91" s="175"/>
    </row>
    <row r="92" spans="1:16" ht="12.75" customHeight="1">
      <c r="A92" s="128" t="s">
        <v>73</v>
      </c>
      <c r="B92" s="129">
        <f>C$29+10*LOG10(10%)+10*LOG10(B6/0.02)</f>
        <v>14.52222904063074</v>
      </c>
      <c r="C92" s="138">
        <f>4*NORMSINV($C$96)</f>
        <v>6.579412001883611</v>
      </c>
      <c r="D92" s="130">
        <f t="shared" si="4"/>
        <v>7.94281703874713</v>
      </c>
      <c r="E92" s="182">
        <f>D76</f>
        <v>4.5</v>
      </c>
      <c r="F92" s="228">
        <f>10^((E92-D92)/5)</f>
        <v>0.2048502943131736</v>
      </c>
      <c r="G92" s="137">
        <f>ROUNDUP(F92*$C$6/0.02,0)/($C$6*1000)</f>
        <v>0.010333333333333333</v>
      </c>
      <c r="H92" s="19"/>
      <c r="I92" s="19"/>
      <c r="O92" s="175"/>
      <c r="P92" s="175"/>
    </row>
    <row r="93" spans="1:16" ht="12.75">
      <c r="A93" s="128" t="s">
        <v>74</v>
      </c>
      <c r="B93" s="118">
        <f>D29</f>
        <v>1.5222290406307408</v>
      </c>
      <c r="C93" s="138">
        <f>2.5*NORMSINV($C$96)</f>
        <v>4.112132501177257</v>
      </c>
      <c r="D93" s="153">
        <f t="shared" si="4"/>
        <v>-2.589903460546516</v>
      </c>
      <c r="E93" s="172">
        <f>D77</f>
        <v>5</v>
      </c>
      <c r="F93" s="226">
        <f>10^((E93-D93)/5)</f>
        <v>32.95950586944055</v>
      </c>
      <c r="G93" s="142">
        <f>ROUNDUP(F93,0)/($D$6*1000)</f>
        <v>0.165</v>
      </c>
      <c r="H93" s="175"/>
      <c r="I93" s="175"/>
      <c r="O93" s="175"/>
      <c r="P93" s="175"/>
    </row>
    <row r="94" spans="1:16" ht="12.75">
      <c r="A94" s="117" t="s">
        <v>75</v>
      </c>
      <c r="B94" s="202">
        <f>E29</f>
        <v>1.5325289972705534</v>
      </c>
      <c r="C94" s="122">
        <f>4.5*NORMSINV($C$96)</f>
        <v>7.4018385021190625</v>
      </c>
      <c r="D94" s="180">
        <f t="shared" si="4"/>
        <v>-5.869309504848509</v>
      </c>
      <c r="E94" s="181">
        <f>D78</f>
        <v>5</v>
      </c>
      <c r="F94" s="224">
        <f>10^((E94-D94)/5)</f>
        <v>149.23197991576583</v>
      </c>
      <c r="G94" s="120">
        <f>ROUNDUP(F94,0)/($E$6*1000)</f>
        <v>15</v>
      </c>
      <c r="H94" s="175"/>
      <c r="I94" s="175"/>
      <c r="O94" s="175"/>
      <c r="P94" s="175"/>
    </row>
    <row r="95" spans="1:16" ht="13.5" thickBot="1">
      <c r="A95" s="144" t="s">
        <v>76</v>
      </c>
      <c r="B95" s="147">
        <f>E29</f>
        <v>1.5325289972705534</v>
      </c>
      <c r="C95" s="145">
        <f>4.5*NORMSINV($C$96)</f>
        <v>7.4018385021190625</v>
      </c>
      <c r="D95" s="183">
        <f t="shared" si="4"/>
        <v>-5.869309504848509</v>
      </c>
      <c r="E95" s="184">
        <f>D79</f>
        <v>7</v>
      </c>
      <c r="F95" s="227">
        <f>10^((E95-D95)/10)</f>
        <v>19.361141120753256</v>
      </c>
      <c r="G95" s="149">
        <f>ROUNDUP(F95,0)/($E$6*1000)</f>
        <v>2</v>
      </c>
      <c r="H95" s="175"/>
      <c r="I95" s="175"/>
      <c r="O95" s="175"/>
      <c r="P95" s="175"/>
    </row>
    <row r="96" spans="1:16" ht="12.75">
      <c r="A96" s="175"/>
      <c r="B96" s="151" t="s">
        <v>77</v>
      </c>
      <c r="C96" s="152">
        <f>$C$61</f>
        <v>0.95</v>
      </c>
      <c r="D96" s="175"/>
      <c r="E96" s="175"/>
      <c r="F96" s="175"/>
      <c r="G96" s="175"/>
      <c r="H96" s="175"/>
      <c r="I96" s="175"/>
      <c r="J96" s="23"/>
      <c r="K96" s="20"/>
      <c r="L96" s="154"/>
      <c r="M96" s="155"/>
      <c r="N96" s="98"/>
      <c r="O96" s="175"/>
      <c r="P96" s="175"/>
    </row>
    <row r="97" spans="8:17" ht="12.75">
      <c r="H97" s="194"/>
      <c r="J97" s="175"/>
      <c r="K97" s="175"/>
      <c r="L97" s="175"/>
      <c r="M97" s="175"/>
      <c r="N97" s="185"/>
      <c r="O97" s="175"/>
      <c r="P97" s="175"/>
      <c r="Q97" s="175"/>
    </row>
    <row r="98" spans="8:17" ht="12.75">
      <c r="H98" s="194"/>
      <c r="J98" s="175"/>
      <c r="K98" s="175"/>
      <c r="L98" s="175"/>
      <c r="M98" s="175"/>
      <c r="N98" s="185"/>
      <c r="O98" s="175"/>
      <c r="P98" s="175"/>
      <c r="Q98" s="175"/>
    </row>
    <row r="99" spans="10:17" ht="12.75">
      <c r="J99" s="175"/>
      <c r="K99" s="175"/>
      <c r="L99" s="175"/>
      <c r="M99" s="175"/>
      <c r="N99" s="185"/>
      <c r="O99" s="175"/>
      <c r="P99" s="175"/>
      <c r="Q99" s="175"/>
    </row>
    <row r="100" ht="12.75"/>
    <row r="101" ht="12.75"/>
    <row r="102" ht="12.75"/>
    <row r="103" ht="12.75"/>
    <row r="104" ht="12.75"/>
    <row r="105" ht="12.75"/>
    <row r="106" ht="12.75"/>
    <row r="108" ht="12.75"/>
    <row r="110" ht="12.75"/>
  </sheetData>
  <mergeCells count="20">
    <mergeCell ref="A64:E64"/>
    <mergeCell ref="A45:E45"/>
    <mergeCell ref="H81:I81"/>
    <mergeCell ref="B18:E18"/>
    <mergeCell ref="B20:E20"/>
    <mergeCell ref="B21:E21"/>
    <mergeCell ref="B28:E28"/>
    <mergeCell ref="B36:D36"/>
    <mergeCell ref="B40:D40"/>
    <mergeCell ref="D65:E65"/>
    <mergeCell ref="H46:I46"/>
    <mergeCell ref="B17:E17"/>
    <mergeCell ref="A1:H1"/>
    <mergeCell ref="B19:E19"/>
    <mergeCell ref="B27:E27"/>
    <mergeCell ref="B26:E26"/>
    <mergeCell ref="B25:E25"/>
    <mergeCell ref="B24:E24"/>
    <mergeCell ref="B23:E23"/>
    <mergeCell ref="B22:E22"/>
  </mergeCells>
  <printOptions/>
  <pageMargins left="0.75" right="0.75" top="1" bottom="1" header="0.5" footer="0.5"/>
  <pageSetup horizontalDpi="600" verticalDpi="600" orientation="portrait" r:id="rId4"/>
  <ignoredErrors>
    <ignoredError sqref="G48 G77"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187" customWidth="1"/>
    <col min="2" max="2" width="5.57421875" style="187" customWidth="1"/>
    <col min="3" max="16384" width="9.140625" style="187" customWidth="1"/>
  </cols>
  <sheetData>
    <row r="1" ht="15.75">
      <c r="A1" s="186" t="s">
        <v>84</v>
      </c>
    </row>
    <row r="2" spans="1:15" ht="16.5" customHeight="1">
      <c r="A2" s="188"/>
      <c r="B2" s="189">
        <v>1</v>
      </c>
      <c r="C2" s="282" t="s">
        <v>99</v>
      </c>
      <c r="D2" s="282"/>
      <c r="E2" s="282"/>
      <c r="F2" s="282"/>
      <c r="G2" s="282"/>
      <c r="H2" s="282"/>
      <c r="I2" s="282"/>
      <c r="J2" s="282"/>
      <c r="K2" s="282"/>
      <c r="L2" s="282"/>
      <c r="M2" s="282"/>
      <c r="N2" s="282"/>
      <c r="O2" s="282"/>
    </row>
    <row r="3" spans="1:15" ht="30" customHeight="1">
      <c r="A3" s="188"/>
      <c r="B3" s="189">
        <v>2</v>
      </c>
      <c r="C3" s="282" t="s">
        <v>85</v>
      </c>
      <c r="D3" s="282"/>
      <c r="E3" s="282"/>
      <c r="F3" s="282"/>
      <c r="G3" s="282"/>
      <c r="H3" s="282"/>
      <c r="I3" s="282"/>
      <c r="J3" s="282"/>
      <c r="K3" s="282"/>
      <c r="L3" s="282"/>
      <c r="M3" s="282"/>
      <c r="N3" s="282"/>
      <c r="O3" s="282"/>
    </row>
    <row r="4" spans="1:15" ht="14.25">
      <c r="A4" s="188"/>
      <c r="B4" s="222">
        <v>3</v>
      </c>
      <c r="C4" s="282" t="s">
        <v>86</v>
      </c>
      <c r="D4" s="283"/>
      <c r="E4" s="283"/>
      <c r="F4" s="283"/>
      <c r="G4" s="283"/>
      <c r="H4" s="283"/>
      <c r="I4" s="283"/>
      <c r="J4" s="283"/>
      <c r="K4" s="283"/>
      <c r="L4" s="283"/>
      <c r="M4" s="283"/>
      <c r="N4" s="283"/>
      <c r="O4" s="283"/>
    </row>
    <row r="5" ht="12.75">
      <c r="A5" s="188"/>
    </row>
    <row r="6" ht="12.75">
      <c r="A6" s="188"/>
    </row>
    <row r="7" ht="12.75">
      <c r="A7" s="188"/>
    </row>
    <row r="8" ht="12.75">
      <c r="A8" s="188"/>
    </row>
    <row r="9" ht="12.75">
      <c r="A9" s="188"/>
    </row>
    <row r="10" ht="12.75">
      <c r="A10" s="188"/>
    </row>
    <row r="11" ht="12.75">
      <c r="A11" s="188"/>
    </row>
    <row r="12" ht="12.75">
      <c r="A12" s="188"/>
    </row>
    <row r="13" ht="12.75">
      <c r="A13" s="188"/>
    </row>
    <row r="14" ht="12.75">
      <c r="A14" s="188"/>
    </row>
    <row r="15" ht="12.75">
      <c r="A15" s="188"/>
    </row>
    <row r="16" ht="12.75">
      <c r="A16" s="188"/>
    </row>
    <row r="17" ht="12.75">
      <c r="A17" s="188"/>
    </row>
    <row r="18" ht="12.75">
      <c r="A18" s="188"/>
    </row>
    <row r="19" ht="12.75">
      <c r="A19" s="188"/>
    </row>
    <row r="20" ht="12.75">
      <c r="A20" s="188"/>
    </row>
    <row r="21" ht="12.75">
      <c r="A21" s="188"/>
    </row>
    <row r="22" ht="12.75">
      <c r="A22" s="188"/>
    </row>
    <row r="23" ht="12.75">
      <c r="A23" s="188"/>
    </row>
    <row r="24" ht="12.75">
      <c r="A24" s="188"/>
    </row>
  </sheetData>
  <mergeCells count="3">
    <mergeCell ref="C4:O4"/>
    <mergeCell ref="C3:O3"/>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G. Chouinard</cp:lastModifiedBy>
  <cp:lastPrinted>2006-05-03T13:26:00Z</cp:lastPrinted>
  <dcterms:created xsi:type="dcterms:W3CDTF">2005-07-17T01:24:31Z</dcterms:created>
  <dcterms:modified xsi:type="dcterms:W3CDTF">2006-05-03T13:29:18Z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