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640" activeTab="0"/>
  </bookViews>
  <sheets>
    <sheet name="Title" sheetId="1" r:id="rId1"/>
    <sheet name="Sensing time" sheetId="2" r:id="rId2"/>
    <sheet name="Probability budget" sheetId="3" r:id="rId3"/>
    <sheet name="References" sheetId="4" r:id="rId4"/>
  </sheets>
  <definedNames>
    <definedName name="Doc_title" localSheetId="3">'References'!$C$3</definedName>
    <definedName name="_xlnm.Print_Area" localSheetId="2">'Probability budget'!$A$30:$E$35</definedName>
    <definedName name="_xlnm.Print_Area" localSheetId="3">'References'!$A$1:$B$1</definedName>
    <definedName name="_xlnm.Print_Area" localSheetId="1">'Sensing time'!$A$5:$E$10</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G86" authorId="0">
      <text>
        <r>
          <rPr>
            <sz val="8"/>
            <rFont val="Tahoma"/>
            <family val="0"/>
          </rPr>
          <t>This represents the total integration time during the PN511 periods rounded up to the nearest number of PN511 periods that are needed to achieve the sensing performance at the given signal level.</t>
        </r>
      </text>
    </comment>
    <comment ref="G87" authorId="0">
      <text>
        <r>
          <rPr>
            <sz val="8"/>
            <rFont val="Tahoma"/>
            <family val="0"/>
          </rPr>
          <t>This represents the total integration time during the PN63 periods rounded up to the nearest number of PN63 periods that are needed to achieve the sensing performance at the given signal level.</t>
        </r>
      </text>
    </comment>
    <comment ref="G85" authorId="0">
      <text>
        <r>
          <rPr>
            <sz val="8"/>
            <rFont val="Tahoma"/>
            <family val="0"/>
          </rPr>
          <t>This represents the total integration time during the horizontal sync periods rounded up to the nearest number of horizontal sync intervals that are needed to achieve the sensing performance at the given signal level.</t>
        </r>
      </text>
    </comment>
    <comment ref="D69" authorId="0">
      <text>
        <r>
          <rPr>
            <sz val="8"/>
            <rFont val="Tahoma"/>
            <family val="0"/>
          </rPr>
          <t>C/N required to meet the detection performance with only one horizontal sync interval.</t>
        </r>
      </text>
    </comment>
    <comment ref="D70" authorId="0">
      <text>
        <r>
          <rPr>
            <sz val="8"/>
            <rFont val="Tahoma"/>
            <family val="0"/>
          </rPr>
          <t>C/N required to meet the detection performance with only one PN511 sequence.</t>
        </r>
      </text>
    </comment>
    <comment ref="D71" authorId="0">
      <text>
        <r>
          <rPr>
            <sz val="8"/>
            <rFont val="Tahoma"/>
            <family val="0"/>
          </rPr>
          <t>C/N required to meet the detection performance with three PN63 sequences.</t>
        </r>
      </text>
    </comment>
    <comment ref="D77" authorId="0">
      <text>
        <r>
          <rPr>
            <sz val="8"/>
            <rFont val="Tahoma"/>
            <family val="0"/>
          </rPr>
          <t>In 200 kHz bandwidth and integrated over 5 usec.</t>
        </r>
      </text>
    </comment>
    <comment ref="D78" authorId="0">
      <text>
        <r>
          <rPr>
            <sz val="8"/>
            <rFont val="Tahoma"/>
            <family val="0"/>
          </rPr>
          <t>In 10 kHz bandwidth and integrated over 100 usec.</t>
        </r>
      </text>
    </comment>
    <comment ref="D79" authorId="0">
      <text>
        <r>
          <rPr>
            <sz val="8"/>
            <rFont val="Tahoma"/>
            <family val="0"/>
          </rPr>
          <t>In 10 kHz bandwidth and integrated over 100 usec.</t>
        </r>
      </text>
    </comment>
    <comment ref="D67" authorId="0">
      <text>
        <r>
          <rPr>
            <sz val="8"/>
            <rFont val="Tahoma"/>
            <family val="0"/>
          </rPr>
          <t>In 10 kHz bandwidth and integrated over 100 usec.</t>
        </r>
      </text>
    </comment>
    <comment ref="D66" authorId="0">
      <text>
        <r>
          <rPr>
            <sz val="8"/>
            <rFont val="Tahoma"/>
            <family val="0"/>
          </rPr>
          <t>In 6 MHz bandwidth and integrated over 0.1667 usec.</t>
        </r>
      </text>
    </comment>
    <comment ref="D75" authorId="0">
      <text>
        <r>
          <rPr>
            <sz val="8"/>
            <rFont val="Tahoma"/>
            <family val="0"/>
          </rPr>
          <t>In 20 kHz bandwidth and integrated over 50 usec.</t>
        </r>
      </text>
    </comment>
    <comment ref="D76"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J82" authorId="0">
      <text>
        <r>
          <rPr>
            <sz val="8"/>
            <rFont val="Tahoma"/>
            <family val="0"/>
          </rPr>
          <t>ATSC-DTV symbol frequency, tolerance is +/- 30 Hz.</t>
        </r>
      </text>
    </comment>
    <comment ref="F35" authorId="1">
      <text>
        <r>
          <rPr>
            <b/>
            <sz val="8"/>
            <rFont val="Tahoma"/>
            <family val="0"/>
          </rPr>
          <t>danijela:</t>
        </r>
        <r>
          <rPr>
            <sz val="8"/>
            <rFont val="Tahoma"/>
            <family val="0"/>
          </rPr>
          <t xml:space="preserve">
</t>
        </r>
        <r>
          <rPr>
            <b/>
            <sz val="8"/>
            <rFont val="Tahoma"/>
            <family val="2"/>
          </rPr>
          <t>Formula for energy detection (1)</t>
        </r>
      </text>
    </comment>
    <comment ref="F41"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3" authorId="0">
      <text>
        <r>
          <rPr>
            <sz val="8"/>
            <rFont val="Tahoma"/>
            <family val="0"/>
          </rPr>
          <t>Table 15.1.2 of the FRD.</t>
        </r>
      </text>
    </comment>
    <comment ref="A34" authorId="0">
      <text>
        <r>
          <rPr>
            <sz val="8"/>
            <rFont val="Tahoma"/>
            <family val="0"/>
          </rPr>
          <t>Table 15.1.2 of the FRD.</t>
        </r>
      </text>
    </comment>
    <comment ref="C46"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48" authorId="0">
      <text>
        <r>
          <rPr>
            <sz val="8"/>
            <rFont val="Tahoma"/>
            <family val="0"/>
          </rPr>
          <t>The standard deviation of the signal in 10 kHz bandwidth caused by multipath in rural environment as used in the formula is extrapolated from Table X.2 of the ITU-R DSB Handbook, 2002.</t>
        </r>
      </text>
    </comment>
    <comment ref="C81"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48" authorId="0">
      <text>
        <r>
          <rPr>
            <sz val="8"/>
            <rFont val="Tahoma"/>
            <family val="0"/>
          </rPr>
          <t>The ATSC pilot is assumed to be 11.2 dB below the power of the total DTV signal and it is measured over a bandwidth of 10 kHz rather than the full 6 MHz.</t>
        </r>
      </text>
    </comment>
    <comment ref="D65"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41 and 42.  The integration time for the detection is initially set to the inverse of the measurement bandwidth but could be set at any appropriate value as long as the proper re-scaling is done in the next table.  </t>
        </r>
      </text>
    </comment>
    <comment ref="B83" authorId="0">
      <text>
        <r>
          <rPr>
            <sz val="8"/>
            <rFont val="Tahoma"/>
            <family val="0"/>
          </rPr>
          <t>The ATSC pilot is assumed to be 11.2 dB below the power of the total DTV signal and it is measured over a bandwidth of 10 kHz rather than the full 6 MHz.</t>
        </r>
      </text>
    </comment>
    <comment ref="G81" authorId="0">
      <text>
        <r>
          <rPr>
            <sz val="8"/>
            <rFont val="Tahoma"/>
            <family val="0"/>
          </rPr>
          <t>The assumption is that the integration time for sensing with needed probabilities (rows 41 and 42) can be scaled according to the available SNR.  As an example, if the actual SNR avaiable from the sensor RF front-end is 3 dB less than the needed SNR indicated in the previous table, the integration time will need to be quadrupled in the case of energy sensing and doubled in the case of correlated detection.   &lt;&lt;&lt;Still needs to be validated!&gt;&gt;&gt;</t>
        </r>
      </text>
    </comment>
    <comment ref="C58" authorId="0">
      <text>
        <r>
          <rPr>
            <sz val="8"/>
            <rFont val="Tahoma"/>
            <family val="0"/>
          </rPr>
          <t>The standard deviation of the signal in 200 kHz bandwidth caused by multipath in rural environment as used in the formula is extrapolated from Table X.2 of the ITU-R DSB Handbook, 2002.</t>
        </r>
      </text>
    </comment>
    <comment ref="C59"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56" authorId="0">
      <text>
        <r>
          <rPr>
            <sz val="8"/>
            <rFont val="Tahoma"/>
            <family val="0"/>
          </rPr>
          <t>The power of the NTSC visual carrier represents about 30% of the total NTSC power.</t>
        </r>
      </text>
    </comment>
    <comment ref="B57" authorId="0">
      <text>
        <r>
          <rPr>
            <sz val="8"/>
            <rFont val="Tahoma"/>
            <family val="0"/>
          </rPr>
          <t>The power of the NTSC sound carrier represents about 10% of the total NTSC power.</t>
        </r>
      </text>
    </comment>
    <comment ref="E46" authorId="0">
      <text>
        <r>
          <rPr>
            <sz val="8"/>
            <rFont val="Tahoma"/>
            <family val="0"/>
          </rPr>
          <t>Ratio between the beacon signal power and the total signal power.</t>
        </r>
      </text>
    </comment>
    <comment ref="H50"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51"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52"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29"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91" authorId="0">
      <text>
        <r>
          <rPr>
            <sz val="8"/>
            <rFont val="Tahoma"/>
            <family val="0"/>
          </rPr>
          <t>The power of the NTSC visual carrier represents about 30% of the total NTSC power.</t>
        </r>
      </text>
    </comment>
    <comment ref="B92" authorId="0">
      <text>
        <r>
          <rPr>
            <sz val="8"/>
            <rFont val="Tahoma"/>
            <family val="0"/>
          </rPr>
          <t>The power of the NTSC sound carrier represents about 10% of the total NTSC power.</t>
        </r>
      </text>
    </comment>
    <comment ref="C56" authorId="0">
      <text>
        <r>
          <rPr>
            <sz val="8"/>
            <rFont val="Tahoma"/>
            <family val="0"/>
          </rPr>
          <t>The standard deviation of the signal in 20 kHz bandwidth caused by multipath in rural environment as used in the formula is extrapolated from Table X.2 of the ITU-R DSB Handbook, 2002.</t>
        </r>
      </text>
    </comment>
    <comment ref="C57" authorId="0">
      <text>
        <r>
          <rPr>
            <sz val="8"/>
            <rFont val="Tahoma"/>
            <family val="0"/>
          </rPr>
          <t>The standard deviation of the signal in 20 kHz bandwidth caused by multipath in rural environment as used in the formula is extrapolated from Table X.2 of the ITU-R DSB Handbook, 2002.</t>
        </r>
      </text>
    </comment>
    <comment ref="B61"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96"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50" authorId="0">
      <text>
        <r>
          <rPr>
            <sz val="8"/>
            <rFont val="Tahoma"/>
            <family val="0"/>
          </rPr>
          <t xml:space="preserve">In case of a TDM, the total signal power carried in the channel is used for the correlated sensing detection during the sync period.  Theta is therefore equal to 100%. </t>
        </r>
      </text>
    </comment>
    <comment ref="E5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5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50" authorId="0">
      <text>
        <r>
          <rPr>
            <sz val="8"/>
            <rFont val="Tahoma"/>
            <family val="0"/>
          </rPr>
          <t>Number of sync periods needed, that is 1/4 the number of channel samples needed.</t>
        </r>
      </text>
    </comment>
    <comment ref="F51" authorId="0">
      <text>
        <r>
          <rPr>
            <sz val="8"/>
            <rFont val="Tahoma"/>
            <family val="0"/>
          </rPr>
          <t>Number of PN511 periods needed, that is 1/511 the number of channel samples needed.</t>
        </r>
      </text>
    </comment>
    <comment ref="F52" authorId="0">
      <text>
        <r>
          <rPr>
            <sz val="8"/>
            <rFont val="Tahoma"/>
            <family val="2"/>
          </rPr>
          <t>Number of 3*PN63 periods needed, that is 1/(3*63) the number of channel samples needed.</t>
        </r>
      </text>
    </comment>
    <comment ref="C49" authorId="0">
      <text>
        <r>
          <rPr>
            <sz val="8"/>
            <rFont val="Tahoma"/>
            <family val="0"/>
          </rPr>
          <t>The standard deviation of the signal in 10 kHz bandwidth caused by multipath in rural environment as used in the formula is extrapolated from Table X.2 of the ITU-R DSB Handbook, 2002.</t>
        </r>
      </text>
    </comment>
    <comment ref="E49" authorId="0">
      <text>
        <r>
          <rPr>
            <sz val="8"/>
            <rFont val="Tahoma"/>
            <family val="0"/>
          </rPr>
          <t>The ATSC pilot is assumed to be 11.2 dB below the power of the total DTV signal.</t>
        </r>
      </text>
    </comment>
    <comment ref="C47"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60"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82"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83" authorId="0">
      <text>
        <r>
          <rPr>
            <sz val="8"/>
            <rFont val="Tahoma"/>
            <family val="0"/>
          </rPr>
          <t>The standard deviation of the signal in 10 kHz bandwidth caused by multipath in rural environment as used in the formula is extrapolated from Table X.2 of the ITU-R DSB Handbook, 2002.</t>
        </r>
      </text>
    </comment>
    <comment ref="C84" authorId="0">
      <text>
        <r>
          <rPr>
            <sz val="8"/>
            <rFont val="Tahoma"/>
            <family val="0"/>
          </rPr>
          <t>The standard deviation of the signal in 10 kHz bandwidth caused by multipath in rural environment as used in the formula is extrapolated from Table X.2 of the ITU-R DSB Handbook, 2002.</t>
        </r>
      </text>
    </comment>
    <comment ref="C91" authorId="0">
      <text>
        <r>
          <rPr>
            <sz val="8"/>
            <rFont val="Tahoma"/>
            <family val="0"/>
          </rPr>
          <t>The standard deviation of the signal in 20 kHz bandwidth caused by multipath in rural environment as used in the formula is extrapolated from Table X.2 of the ITU-R DSB Handbook, 2002.</t>
        </r>
      </text>
    </comment>
    <comment ref="C92" authorId="0">
      <text>
        <r>
          <rPr>
            <sz val="8"/>
            <rFont val="Tahoma"/>
            <family val="0"/>
          </rPr>
          <t>The standard deviation of the signal in 20 kHz bandwidth caused by multipath in rural environment as used in the formula is extrapolated from Table X.2 of the ITU-R DSB Handbook, 2002.</t>
        </r>
      </text>
    </comment>
    <comment ref="C93" authorId="0">
      <text>
        <r>
          <rPr>
            <sz val="8"/>
            <rFont val="Tahoma"/>
            <family val="0"/>
          </rPr>
          <t>The standard deviation of the signal in 200 kHz bandwidth caused by multipath in rural environment as used in the formula is extrapolated from Table X.2 of the ITU-R DSB Handbook, 2002.</t>
        </r>
      </text>
    </comment>
    <comment ref="C94"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95"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A41" authorId="0">
      <text>
        <r>
          <rPr>
            <sz val="8"/>
            <rFont val="Tahoma"/>
            <family val="0"/>
          </rPr>
          <t>Table 15.1.2 of the FRD.</t>
        </r>
      </text>
    </comment>
    <comment ref="A42" authorId="0">
      <text>
        <r>
          <rPr>
            <sz val="8"/>
            <rFont val="Tahoma"/>
            <family val="0"/>
          </rPr>
          <t>Table 15.1.2 of the FRD.</t>
        </r>
      </text>
    </comment>
    <comment ref="A37" authorId="0">
      <text>
        <r>
          <rPr>
            <sz val="8"/>
            <rFont val="Tahoma"/>
            <family val="0"/>
          </rPr>
          <t>Table 15.1.2 of the FRD.</t>
        </r>
      </text>
    </comment>
    <comment ref="A38" authorId="0">
      <text>
        <r>
          <rPr>
            <sz val="8"/>
            <rFont val="Tahoma"/>
            <family val="0"/>
          </rPr>
          <t>Table 15.1.2 of the FRD.</t>
        </r>
      </text>
    </comment>
    <comment ref="B36" authorId="0">
      <text>
        <r>
          <rPr>
            <sz val="8"/>
            <rFont val="Tahoma"/>
            <family val="0"/>
          </rPr>
          <t>Number of WRAN systems expected to use the same channel in the area immediate to DTV receivers.</t>
        </r>
      </text>
    </comment>
    <comment ref="B40" authorId="0">
      <text>
        <r>
          <rPr>
            <sz val="8"/>
            <rFont val="Tahoma"/>
            <family val="0"/>
          </rPr>
          <t>Number of CPEs for each WRAN system located in the immediate area of potential interference that would be relied upon to sense the presence of incumbent operation.</t>
        </r>
      </text>
    </comment>
    <comment ref="D68" authorId="0">
      <text>
        <r>
          <rPr>
            <sz val="8"/>
            <rFont val="Tahoma"/>
            <family val="0"/>
          </rPr>
          <t>Measurement is done over the full 6 MHz bandwidth but integrated over 100 usec.</t>
        </r>
      </text>
    </comment>
    <comment ref="E75" authorId="0">
      <text>
        <r>
          <rPr>
            <sz val="8"/>
            <rFont val="Tahoma"/>
            <family val="0"/>
          </rPr>
          <t>The power of the NTSC visual carrier represents about 30% of the total NTSC power.</t>
        </r>
      </text>
    </comment>
    <comment ref="E76" authorId="0">
      <text>
        <r>
          <rPr>
            <sz val="8"/>
            <rFont val="Tahoma"/>
            <family val="0"/>
          </rPr>
          <t>The power of the NTSC sound carrier represents about 10% of the total NTSC power.</t>
        </r>
      </text>
    </comment>
    <comment ref="E67" authorId="0">
      <text>
        <r>
          <rPr>
            <sz val="8"/>
            <rFont val="Tahoma"/>
            <family val="0"/>
          </rPr>
          <t>The ATSC pilot is assumed to be 11.2 dB below the power of the total DTV signal.</t>
        </r>
      </text>
    </comment>
    <comment ref="E68" authorId="0">
      <text>
        <r>
          <rPr>
            <sz val="8"/>
            <rFont val="Tahoma"/>
            <family val="0"/>
          </rPr>
          <t>The ATSC pilot is assumed to be 11.2 dB below the power of the total DTV signal.</t>
        </r>
      </text>
    </comment>
    <comment ref="H85"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6"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7"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F46"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48" authorId="0">
      <text>
        <r>
          <rPr>
            <sz val="8"/>
            <rFont val="Tahoma"/>
            <family val="0"/>
          </rPr>
          <t>A 10 kHz analog filter is assumed around the pilot.</t>
        </r>
      </text>
    </comment>
  </commentList>
</comments>
</file>

<file path=xl/comments3.xml><?xml version="1.0" encoding="utf-8"?>
<comments xmlns="http://schemas.openxmlformats.org/spreadsheetml/2006/main">
  <authors>
    <author>G. Chouinard</author>
  </authors>
  <commentList>
    <comment ref="A30" authorId="0">
      <text>
        <r>
          <rPr>
            <sz val="8"/>
            <rFont val="Tahoma"/>
            <family val="0"/>
          </rPr>
          <t>Re: 18-04-0056-00-0000_Comments_ to_TV_Band_NPRM.doc</t>
        </r>
      </text>
    </comment>
    <comment ref="A32" authorId="0">
      <text>
        <r>
          <rPr>
            <sz val="8"/>
            <rFont val="Tahoma"/>
            <family val="0"/>
          </rPr>
          <t>All losses between the antenna and the input to the receiver are included.</t>
        </r>
      </text>
    </comment>
    <comment ref="K73" authorId="0">
      <text>
        <r>
          <rPr>
            <sz val="8"/>
            <rFont val="Tahoma"/>
            <family val="0"/>
          </rPr>
          <t>ATSC-DTV symbol frequency, tolerance is +/- 30 Hz.</t>
        </r>
      </text>
    </comment>
    <comment ref="E46"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E45" authorId="0">
      <text>
        <r>
          <rPr>
            <sz val="8"/>
            <rFont val="Tahoma"/>
            <family val="0"/>
          </rPr>
          <t xml:space="preserve">One third of the omni antenna pattern is assumed to capture the sky noise (90˚K) and the other two third captures the ground noise (290˚K).
</t>
        </r>
      </text>
    </comment>
    <comment ref="A59" authorId="0">
      <text>
        <r>
          <rPr>
            <sz val="8"/>
            <rFont val="Tahoma"/>
            <family val="0"/>
          </rPr>
          <t>Table 15.1.2 of the FRD.</t>
        </r>
      </text>
    </comment>
    <comment ref="A60" authorId="0">
      <text>
        <r>
          <rPr>
            <sz val="8"/>
            <rFont val="Tahoma"/>
            <family val="0"/>
          </rPr>
          <t>Table 15.1.2 of the FRD.</t>
        </r>
      </text>
    </comment>
    <comment ref="C72"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74" authorId="0">
      <text>
        <r>
          <rPr>
            <sz val="8"/>
            <rFont val="Tahoma"/>
            <family val="0"/>
          </rPr>
          <t>The standard deviation of the signal in 10 kHz bandwidth caused by multipath in rural environment as used in the formula is extrapolated from Table X.2 of the ITU-R DSB Handbook, 2002.</t>
        </r>
      </text>
    </comment>
    <comment ref="B74" authorId="0">
      <text>
        <r>
          <rPr>
            <sz val="8"/>
            <rFont val="Tahoma"/>
            <family val="0"/>
          </rPr>
          <t>The ATSC pilot is assumed to be 11.2 dB below the power of the total DTV signal and it is measured over a bandwidth of 10 kHz rather than the full 6 MHz.</t>
        </r>
      </text>
    </comment>
    <comment ref="E72" authorId="0">
      <text>
        <r>
          <rPr>
            <sz val="8"/>
            <rFont val="Tahoma"/>
            <family val="0"/>
          </rPr>
          <t>Ratio between the beacon signal power and the total signal power.</t>
        </r>
      </text>
    </comment>
    <comment ref="H76"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77"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78"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55"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79"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76" authorId="0">
      <text>
        <r>
          <rPr>
            <sz val="8"/>
            <rFont val="Tahoma"/>
            <family val="0"/>
          </rPr>
          <t xml:space="preserve">In case of a TDM, the total signal power carried in the channel is used for the correlated sensing detection during the sync period.  Theta is therefore equal to 100%. </t>
        </r>
      </text>
    </comment>
    <comment ref="E77"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78"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76" authorId="0">
      <text>
        <r>
          <rPr>
            <sz val="8"/>
            <rFont val="Tahoma"/>
            <family val="0"/>
          </rPr>
          <t>Number of sync periods needed, that is 1/4 the number of channel samples needed.</t>
        </r>
      </text>
    </comment>
    <comment ref="F77" authorId="0">
      <text>
        <r>
          <rPr>
            <sz val="8"/>
            <rFont val="Tahoma"/>
            <family val="0"/>
          </rPr>
          <t>Number of PN511 periods needed, that is 1/511 the number of channel samples needed.</t>
        </r>
      </text>
    </comment>
    <comment ref="F78" authorId="0">
      <text>
        <r>
          <rPr>
            <sz val="8"/>
            <rFont val="Tahoma"/>
            <family val="2"/>
          </rPr>
          <t>Number of 3*PN63 periods needed, that is 1/(3*63) the number of channel samples needed.</t>
        </r>
      </text>
    </comment>
    <comment ref="C75" authorId="0">
      <text>
        <r>
          <rPr>
            <sz val="8"/>
            <rFont val="Tahoma"/>
            <family val="0"/>
          </rPr>
          <t>The standard deviation of the signal in 10 kHz bandwidth caused by multipath in rural environment as used in the formula is extrapolated from Table X.2 of the ITU-R DSB Handbook, 2002.</t>
        </r>
      </text>
    </comment>
    <comment ref="E75" authorId="0">
      <text>
        <r>
          <rPr>
            <sz val="8"/>
            <rFont val="Tahoma"/>
            <family val="0"/>
          </rPr>
          <t>The ATSC pilot is assumed to be 11.2 dB below the power of the total DTV signal.</t>
        </r>
      </text>
    </comment>
    <comment ref="C73"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A67" authorId="0">
      <text>
        <r>
          <rPr>
            <sz val="8"/>
            <rFont val="Tahoma"/>
            <family val="0"/>
          </rPr>
          <t>Table 15.1.2 of the FRD.</t>
        </r>
      </text>
    </comment>
    <comment ref="A68" authorId="0">
      <text>
        <r>
          <rPr>
            <sz val="8"/>
            <rFont val="Tahoma"/>
            <family val="0"/>
          </rPr>
          <t>Table 15.1.2 of the FRD.</t>
        </r>
      </text>
    </comment>
    <comment ref="A63" authorId="0">
      <text>
        <r>
          <rPr>
            <sz val="8"/>
            <rFont val="Tahoma"/>
            <family val="0"/>
          </rPr>
          <t>Table 15.1.2 of the FRD.</t>
        </r>
      </text>
    </comment>
    <comment ref="A64" authorId="0">
      <text>
        <r>
          <rPr>
            <sz val="8"/>
            <rFont val="Tahoma"/>
            <family val="0"/>
          </rPr>
          <t>Table 15.1.2 of the FRD.</t>
        </r>
      </text>
    </comment>
    <comment ref="B62" authorId="0">
      <text>
        <r>
          <rPr>
            <sz val="8"/>
            <rFont val="Tahoma"/>
            <family val="0"/>
          </rPr>
          <t>Number of WRAN systems expected to use the same channel in the area immediate to DTV receivers.</t>
        </r>
      </text>
    </comment>
    <comment ref="B66" authorId="0">
      <text>
        <r>
          <rPr>
            <sz val="8"/>
            <rFont val="Tahoma"/>
            <family val="0"/>
          </rPr>
          <t>Number of CPEs for each WRAN system located in the immediate area of potential interference that would be relied upon to sense the presence of incumbent operation.</t>
        </r>
      </text>
    </comment>
    <comment ref="F72"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74" authorId="0">
      <text>
        <r>
          <rPr>
            <sz val="8"/>
            <rFont val="Tahoma"/>
            <family val="0"/>
          </rPr>
          <t>A 10 kHz analog filter is assumed around the pilot.</t>
        </r>
      </text>
    </comment>
  </commentList>
</comments>
</file>

<file path=xl/sharedStrings.xml><?xml version="1.0" encoding="utf-8"?>
<sst xmlns="http://schemas.openxmlformats.org/spreadsheetml/2006/main" count="369" uniqueCount="113">
  <si>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</si>
  <si>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</si>
  <si>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</si>
  <si>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</si>
  <si>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</si>
  <si>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</si>
  <si>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</si>
  <si>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</si>
  <si>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</si>
  <si>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</si>
  <si>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</si>
  <si>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</si>
  <si>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</si>
  <si>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</si>
  <si>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</si>
  <si>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</si>
  <si>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</si>
  <si>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</si>
  <si>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</si>
  <si>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</si>
  <si>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</si>
  <si>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</si>
  <si>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Sensing Thresholds</t>
  </si>
  <si>
    <t>Danijela Cabric</t>
  </si>
  <si>
    <t>Communications Research Center</t>
  </si>
  <si>
    <t>UC Berkeley</t>
  </si>
  <si>
    <t>Danijela Cabric &lt;danijela@EECS.Berkeley.EDU&gt;</t>
  </si>
  <si>
    <t>802.22 WRAN Incumbent Sensing</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</si>
  <si>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</si>
  <si>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</si>
  <si>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</si>
  <si>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</si>
  <si>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</si>
  <si>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</si>
  <si>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</si>
  <si>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</si>
  <si>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</si>
  <si>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</si>
  <si>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</si>
  <si>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</si>
  <si>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</si>
  <si>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</si>
  <si>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</si>
  <si>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</si>
  <si>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</si>
  <si>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</si>
  <si>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</si>
  <si>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</si>
  <si>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</si>
  <si>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</si>
  <si>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Coupling loss (dB)</t>
  </si>
  <si>
    <t>Downlead loss (dB)</t>
  </si>
  <si>
    <t>Pre-selection filter loss (dB)</t>
  </si>
  <si>
    <t>LNA Noise Figure (dB)</t>
  </si>
  <si>
    <t>RF front-end Figure of Merit: G/T (dBK^1)</t>
  </si>
  <si>
    <t>Sensing Signal-to-Noise ratio (SNR)</t>
  </si>
  <si>
    <t>Probability of detection (true-positive)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</si>
  <si>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</si>
  <si>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</si>
  <si>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</si>
  <si>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</si>
  <si>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</si>
  <si>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</si>
  <si>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</si>
  <si>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</si>
  <si>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</si>
  <si>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</si>
  <si>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DTV energy detection (6 MHz)</t>
  </si>
  <si>
    <t>ms</t>
  </si>
  <si>
    <t>DTV pilot tone energy detection (10 kHz)</t>
  </si>
  <si>
    <t>DTV PN511 cyclostationary detection</t>
  </si>
  <si>
    <t>DTV PN63 cyclostationary detection</t>
  </si>
  <si>
    <t>NTSC visual carrier detection (in 20 kHz)</t>
  </si>
  <si>
    <t>NTSC sound carrier detection (in 20 kHz)</t>
  </si>
  <si>
    <t>Part 74 Wireless micro energy detection (200 kHz)</t>
  </si>
  <si>
    <t>Part 74 Beacon energy detection (10 kHz)</t>
  </si>
  <si>
    <t>Part 74 Beacon decoding (10 kHz)</t>
  </si>
  <si>
    <t>Signal availability:</t>
  </si>
  <si>
    <t>Empirical model based on sensing scheme measurement results</t>
  </si>
  <si>
    <t>Pfa</t>
  </si>
  <si>
    <t>Pd</t>
  </si>
  <si>
    <t>Measured SNR (dB)</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</si>
  <si>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</si>
  <si>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</si>
  <si>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</si>
  <si>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</si>
  <si>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</si>
  <si>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</si>
  <si>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Equivalent Noise Figure (dB)</t>
  </si>
  <si>
    <t>System detection performance</t>
  </si>
  <si>
    <t>CPE detection performance</t>
  </si>
  <si>
    <t>Overall detection performance</t>
  </si>
  <si>
    <t>Number of systems in the area:</t>
  </si>
  <si>
    <t>Number of sensing CPEs:</t>
  </si>
  <si>
    <t>Antenna height (m)</t>
  </si>
  <si>
    <t>Probability of false alarm (false-positive)</t>
  </si>
  <si>
    <t>C/N requirements for the specified detection performance per Nyquist sample (BW*Time=1)</t>
  </si>
  <si>
    <r>
      <t xml:space="preserve">Measured SNR (dB)
</t>
    </r>
    <r>
      <rPr>
        <sz val="10"/>
        <rFont val="Arial"/>
        <family val="2"/>
      </rPr>
      <t>Meas. BW   TV: 6 MHz</t>
    </r>
  </si>
  <si>
    <t>Functional Requirements for the 802.22 WRAN Standard: 22-05-0007-46-0000_RAN_Requirements.doc</t>
  </si>
  <si>
    <t>DTV PN511 correlated detection</t>
  </si>
  <si>
    <t>DTV PN63 correlated detection</t>
  </si>
  <si>
    <t>DTV horizontal sync correlated detection</t>
  </si>
  <si>
    <t>DTV horizontal sync cyclostationary detection</t>
  </si>
  <si>
    <t>May 2006</t>
  </si>
  <si>
    <t>Philips Research</t>
  </si>
  <si>
    <t>Monisha Gosh</t>
  </si>
  <si>
    <t>Briarclif Manor, NY, USA</t>
  </si>
  <si>
    <t>monisha.ghosh@philips.com </t>
  </si>
  <si>
    <t>Probability of meeting the margin</t>
  </si>
  <si>
    <t>Multipath availability=</t>
  </si>
  <si>
    <r>
      <t xml:space="preserve">Sensing time required to meet the overall detection performance for the given DTV sensing threshold </t>
    </r>
    <r>
      <rPr>
        <sz val="12"/>
        <rFont val="Arial"/>
        <family val="2"/>
      </rPr>
      <t>(ms)</t>
    </r>
  </si>
  <si>
    <t>doc.: IEEE 802.22-06/0051r3</t>
  </si>
  <si>
    <t>2006-05-09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</si>
</sst>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 numFmtId="187" formatCode="0.0000%"/>
  </numFmts>
  <fonts count="23">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8"/>
      <name val="Tahoma"/>
      <family val="0"/>
    </font>
    <font>
      <b/>
      <sz val="8"/>
      <name val="Tahoma"/>
      <family val="0"/>
    </font>
    <font>
      <sz val="12"/>
      <name val="Arial"/>
      <family val="2"/>
    </font>
    <font>
      <b/>
      <sz val="8"/>
      <name val="Arial"/>
      <family val="2"/>
    </font>
  </fonts>
  <fills count="8">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s>
  <borders count="53">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360">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9" fillId="0" borderId="0" xfId="0" applyFont="1" applyBorder="1" applyAlignment="1">
      <alignment/>
    </xf>
    <xf numFmtId="0" fontId="6" fillId="2" borderId="0" xfId="23" applyFont="1" applyFill="1" applyAlignment="1">
      <alignment horizontal="center" vertical="center"/>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3"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lignment/>
    </xf>
    <xf numFmtId="0" fontId="0" fillId="0" borderId="3" xfId="23" applyFont="1" applyBorder="1" applyAlignment="1">
      <alignment horizontal="center"/>
    </xf>
    <xf numFmtId="0" fontId="0" fillId="0" borderId="4" xfId="23" applyBorder="1" applyAlignment="1">
      <alignment horizontal="center"/>
    </xf>
    <xf numFmtId="0" fontId="0" fillId="0" borderId="5" xfId="23" applyBorder="1" applyAlignment="1">
      <alignment horizontal="center"/>
    </xf>
    <xf numFmtId="0" fontId="0" fillId="0" borderId="6" xfId="23" applyFill="1" applyBorder="1" applyAlignment="1">
      <alignment horizontal="center"/>
    </xf>
    <xf numFmtId="0" fontId="5" fillId="0" borderId="7" xfId="23" applyFont="1" applyBorder="1">
      <alignment/>
    </xf>
    <xf numFmtId="0" fontId="0" fillId="0" borderId="8" xfId="23" applyFont="1" applyBorder="1" applyAlignment="1">
      <alignment horizontal="center"/>
    </xf>
    <xf numFmtId="0" fontId="0" fillId="0" borderId="0" xfId="23" applyBorder="1" applyAlignment="1">
      <alignment horizontal="center"/>
    </xf>
    <xf numFmtId="0" fontId="0" fillId="0" borderId="9" xfId="23" applyBorder="1" applyAlignment="1">
      <alignment horizontal="center"/>
    </xf>
    <xf numFmtId="0" fontId="0" fillId="0" borderId="10" xfId="23" applyFill="1" applyBorder="1" applyAlignment="1">
      <alignment horizontal="center"/>
    </xf>
    <xf numFmtId="0" fontId="0" fillId="0" borderId="7" xfId="23" applyBorder="1">
      <alignment/>
    </xf>
    <xf numFmtId="2" fontId="12" fillId="0" borderId="8" xfId="23" applyNumberFormat="1" applyFont="1" applyBorder="1" applyAlignment="1">
      <alignment horizontal="center"/>
    </xf>
    <xf numFmtId="2" fontId="12" fillId="0" borderId="0" xfId="23" applyNumberFormat="1" applyFont="1" applyBorder="1" applyAlignment="1">
      <alignment horizontal="center"/>
    </xf>
    <xf numFmtId="2" fontId="12" fillId="0" borderId="9" xfId="23" applyNumberFormat="1" applyFont="1" applyBorder="1" applyAlignment="1">
      <alignment horizontal="center"/>
    </xf>
    <xf numFmtId="2" fontId="12" fillId="0" borderId="10" xfId="23" applyNumberFormat="1" applyFont="1" applyBorder="1" applyAlignment="1">
      <alignment horizontal="center"/>
    </xf>
    <xf numFmtId="0" fontId="0" fillId="0" borderId="7" xfId="23" applyFont="1" applyFill="1" applyBorder="1">
      <alignment/>
    </xf>
    <xf numFmtId="172" fontId="12" fillId="0" borderId="8" xfId="23" applyNumberFormat="1" applyFont="1" applyBorder="1" applyAlignment="1">
      <alignment horizontal="center"/>
    </xf>
    <xf numFmtId="172" fontId="12" fillId="0" borderId="0" xfId="23" applyNumberFormat="1" applyFont="1" applyBorder="1" applyAlignment="1">
      <alignment horizontal="center"/>
    </xf>
    <xf numFmtId="172" fontId="12" fillId="0" borderId="9" xfId="23" applyNumberFormat="1" applyFont="1" applyBorder="1" applyAlignment="1">
      <alignment horizontal="center"/>
    </xf>
    <xf numFmtId="172" fontId="12" fillId="0" borderId="10" xfId="23" applyNumberFormat="1" applyFont="1" applyBorder="1" applyAlignment="1">
      <alignment horizontal="center"/>
    </xf>
    <xf numFmtId="0" fontId="5" fillId="0" borderId="11" xfId="23" applyFont="1" applyBorder="1">
      <alignment/>
    </xf>
    <xf numFmtId="172" fontId="0" fillId="0" borderId="12" xfId="23" applyNumberFormat="1" applyFont="1" applyBorder="1" applyAlignment="1">
      <alignment horizontal="center"/>
    </xf>
    <xf numFmtId="172" fontId="0" fillId="0" borderId="1" xfId="23" applyNumberFormat="1" applyFont="1" applyBorder="1" applyAlignment="1">
      <alignment horizontal="center"/>
    </xf>
    <xf numFmtId="172" fontId="0" fillId="0" borderId="13" xfId="23" applyNumberFormat="1" applyFont="1" applyBorder="1" applyAlignment="1">
      <alignment horizontal="center"/>
    </xf>
    <xf numFmtId="172" fontId="0" fillId="0" borderId="14" xfId="23" applyNumberFormat="1" applyFont="1" applyBorder="1" applyAlignment="1">
      <alignment horizontal="center"/>
    </xf>
    <xf numFmtId="0" fontId="0" fillId="0" borderId="0" xfId="23" applyAlignment="1">
      <alignment horizontal="center"/>
    </xf>
    <xf numFmtId="0" fontId="0" fillId="0" borderId="2" xfId="23" applyFont="1" applyBorder="1">
      <alignment/>
    </xf>
    <xf numFmtId="172" fontId="0" fillId="0" borderId="3" xfId="23" applyNumberFormat="1" applyBorder="1" applyAlignment="1">
      <alignment horizontal="center"/>
    </xf>
    <xf numFmtId="172" fontId="0" fillId="0" borderId="15" xfId="23" applyNumberFormat="1" applyBorder="1" applyAlignment="1">
      <alignment horizontal="center"/>
    </xf>
    <xf numFmtId="0" fontId="0" fillId="0" borderId="16" xfId="23" applyBorder="1" applyAlignment="1">
      <alignment horizontal="center"/>
    </xf>
    <xf numFmtId="0" fontId="0" fillId="0" borderId="17" xfId="23" applyFont="1" applyBorder="1">
      <alignment/>
    </xf>
    <xf numFmtId="172" fontId="0" fillId="0" borderId="18" xfId="23" applyNumberFormat="1" applyFont="1" applyBorder="1" applyAlignment="1">
      <alignment horizontal="center"/>
    </xf>
    <xf numFmtId="172" fontId="0" fillId="0" borderId="19" xfId="23" applyNumberFormat="1" applyBorder="1" applyAlignment="1">
      <alignment horizontal="center"/>
    </xf>
    <xf numFmtId="172" fontId="0" fillId="0" borderId="18" xfId="23" applyNumberFormat="1" applyBorder="1" applyAlignment="1">
      <alignment horizontal="center"/>
    </xf>
    <xf numFmtId="172" fontId="0" fillId="0" borderId="20" xfId="23" applyNumberFormat="1" applyBorder="1" applyAlignment="1">
      <alignment horizontal="center"/>
    </xf>
    <xf numFmtId="0" fontId="0" fillId="0" borderId="21" xfId="23" applyBorder="1" applyAlignment="1">
      <alignment horizontal="center"/>
    </xf>
    <xf numFmtId="0" fontId="5" fillId="0" borderId="11"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7"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2"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7" xfId="23" applyBorder="1" applyAlignment="1">
      <alignment wrapText="1"/>
    </xf>
    <xf numFmtId="0" fontId="0" fillId="0" borderId="7" xfId="23" applyBorder="1" applyAlignment="1">
      <alignment horizontal="left" wrapText="1"/>
    </xf>
    <xf numFmtId="0" fontId="0" fillId="0" borderId="0" xfId="23" applyBorder="1" applyAlignment="1">
      <alignment horizontal="left" wrapText="1"/>
    </xf>
    <xf numFmtId="0" fontId="0" fillId="0" borderId="7" xfId="23" applyFill="1" applyBorder="1">
      <alignment/>
    </xf>
    <xf numFmtId="0" fontId="0" fillId="0" borderId="23" xfId="23" applyFill="1" applyBorder="1" applyAlignment="1">
      <alignment horizontal="left" vertical="top" wrapText="1"/>
    </xf>
    <xf numFmtId="172" fontId="0" fillId="4"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2" xfId="23" applyFont="1" applyFill="1" applyBorder="1" applyAlignment="1">
      <alignment horizontal="left"/>
    </xf>
    <xf numFmtId="9" fontId="0" fillId="5" borderId="3" xfId="23" applyNumberFormat="1" applyFill="1" applyBorder="1" applyAlignment="1">
      <alignment horizontal="center"/>
    </xf>
    <xf numFmtId="9" fontId="0" fillId="5" borderId="4" xfId="23" applyNumberFormat="1" applyFill="1" applyBorder="1" applyAlignment="1">
      <alignment horizontal="center"/>
    </xf>
    <xf numFmtId="9" fontId="0" fillId="5" borderId="15" xfId="23" applyNumberFormat="1" applyFill="1" applyBorder="1" applyAlignment="1">
      <alignment horizontal="center"/>
    </xf>
    <xf numFmtId="1" fontId="0" fillId="0" borderId="0" xfId="23" applyNumberFormat="1" applyFill="1" applyBorder="1" applyAlignment="1">
      <alignment horizontal="center"/>
    </xf>
    <xf numFmtId="0" fontId="14" fillId="0" borderId="11" xfId="23" applyFont="1" applyFill="1" applyBorder="1" applyAlignment="1">
      <alignment horizontal="left"/>
    </xf>
    <xf numFmtId="9" fontId="0" fillId="5" borderId="12" xfId="23" applyNumberFormat="1" applyFill="1" applyBorder="1" applyAlignment="1">
      <alignment horizontal="center"/>
    </xf>
    <xf numFmtId="9" fontId="0" fillId="5" borderId="1" xfId="23" applyNumberFormat="1" applyFill="1" applyBorder="1" applyAlignment="1">
      <alignment horizontal="center"/>
    </xf>
    <xf numFmtId="9" fontId="0" fillId="5"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wrapText="1"/>
    </xf>
    <xf numFmtId="0" fontId="0" fillId="0" borderId="0" xfId="23" applyBorder="1">
      <alignment/>
    </xf>
    <xf numFmtId="0" fontId="0" fillId="0" borderId="2" xfId="23" applyFont="1" applyFill="1" applyBorder="1" applyAlignment="1">
      <alignment horizontal="left" wrapText="1"/>
    </xf>
    <xf numFmtId="172" fontId="0" fillId="0" borderId="3" xfId="23" applyNumberFormat="1" applyFill="1" applyBorder="1" applyAlignment="1">
      <alignment horizontal="center" wrapText="1"/>
    </xf>
    <xf numFmtId="172" fontId="0" fillId="0" borderId="4" xfId="23" applyNumberFormat="1" applyFill="1" applyBorder="1" applyAlignment="1">
      <alignment horizontal="center" wrapText="1"/>
    </xf>
    <xf numFmtId="1" fontId="0" fillId="0" borderId="8" xfId="23" applyNumberFormat="1" applyFont="1" applyFill="1" applyBorder="1" applyAlignment="1">
      <alignment horizontal="center"/>
    </xf>
    <xf numFmtId="183" fontId="0" fillId="0" borderId="4" xfId="23" applyNumberFormat="1" applyBorder="1" applyAlignment="1">
      <alignment horizontal="center"/>
    </xf>
    <xf numFmtId="2" fontId="0" fillId="0" borderId="15" xfId="23" applyNumberFormat="1" applyBorder="1" applyAlignment="1">
      <alignment horizontal="center"/>
    </xf>
    <xf numFmtId="0" fontId="0" fillId="0" borderId="7" xfId="23" applyFont="1" applyFill="1" applyBorder="1" applyAlignment="1">
      <alignment horizontal="left"/>
    </xf>
    <xf numFmtId="172" fontId="0" fillId="0" borderId="8" xfId="23" applyNumberFormat="1" applyFill="1" applyBorder="1" applyAlignment="1">
      <alignment horizontal="center" wrapText="1"/>
    </xf>
    <xf numFmtId="183" fontId="0" fillId="0" borderId="0" xfId="23" applyNumberFormat="1" applyBorder="1" applyAlignment="1">
      <alignment horizontal="center"/>
    </xf>
    <xf numFmtId="2" fontId="0" fillId="0" borderId="30" xfId="23" applyNumberFormat="1" applyBorder="1" applyAlignment="1">
      <alignment horizontal="center"/>
    </xf>
    <xf numFmtId="172" fontId="0" fillId="0" borderId="31" xfId="23" applyNumberFormat="1" applyFill="1" applyBorder="1" applyAlignment="1">
      <alignment horizontal="center"/>
    </xf>
    <xf numFmtId="172" fontId="0" fillId="0" borderId="8" xfId="23" applyNumberFormat="1" applyFill="1" applyBorder="1" applyAlignment="1">
      <alignment horizontal="center"/>
    </xf>
    <xf numFmtId="9" fontId="0" fillId="0" borderId="0" xfId="23" applyNumberFormat="1" applyBorder="1" applyAlignment="1">
      <alignment horizontal="center"/>
    </xf>
    <xf numFmtId="2" fontId="0" fillId="0" borderId="16" xfId="23" applyNumberFormat="1" applyFill="1" applyBorder="1" applyAlignment="1">
      <alignment horizontal="center"/>
    </xf>
    <xf numFmtId="172" fontId="0" fillId="0" borderId="32" xfId="23" applyNumberFormat="1" applyFill="1" applyBorder="1" applyAlignment="1">
      <alignment horizontal="center"/>
    </xf>
    <xf numFmtId="172" fontId="0" fillId="0" borderId="0" xfId="23" applyNumberFormat="1" applyFill="1" applyBorder="1" applyAlignment="1">
      <alignment/>
    </xf>
    <xf numFmtId="2" fontId="0" fillId="0" borderId="21" xfId="23" applyNumberFormat="1" applyFill="1" applyBorder="1" applyAlignment="1">
      <alignment horizontal="center"/>
    </xf>
    <xf numFmtId="0" fontId="0" fillId="0" borderId="17" xfId="23" applyFont="1" applyFill="1" applyBorder="1" applyAlignment="1">
      <alignment horizontal="left"/>
    </xf>
    <xf numFmtId="172" fontId="0" fillId="0" borderId="18" xfId="23" applyNumberFormat="1" applyFill="1" applyBorder="1" applyAlignment="1">
      <alignment horizontal="center" wrapText="1"/>
    </xf>
    <xf numFmtId="172" fontId="0" fillId="0" borderId="31" xfId="23" applyNumberFormat="1" applyFill="1" applyBorder="1" applyAlignment="1">
      <alignment horizontal="center" wrapText="1"/>
    </xf>
    <xf numFmtId="1" fontId="0" fillId="0" borderId="18" xfId="23" applyNumberFormat="1" applyFont="1" applyFill="1" applyBorder="1" applyAlignment="1">
      <alignment horizontal="center"/>
    </xf>
    <xf numFmtId="9" fontId="0" fillId="0" borderId="31" xfId="23" applyNumberFormat="1" applyBorder="1" applyAlignment="1">
      <alignment horizontal="center"/>
    </xf>
    <xf numFmtId="2" fontId="0" fillId="0" borderId="20" xfId="23" applyNumberFormat="1" applyBorder="1" applyAlignment="1">
      <alignment horizontal="center"/>
    </xf>
    <xf numFmtId="2" fontId="0" fillId="0" borderId="22" xfId="23" applyNumberFormat="1" applyFill="1" applyBorder="1" applyAlignment="1">
      <alignment horizontal="center" wrapText="1"/>
    </xf>
    <xf numFmtId="172" fontId="0" fillId="0" borderId="33" xfId="23" applyNumberFormat="1" applyFill="1" applyBorder="1" applyAlignment="1">
      <alignment horizontal="center"/>
    </xf>
    <xf numFmtId="173" fontId="0" fillId="0" borderId="9" xfId="23" applyNumberFormat="1" applyBorder="1" applyAlignment="1">
      <alignment horizontal="center"/>
    </xf>
    <xf numFmtId="180" fontId="0" fillId="0" borderId="30" xfId="23" applyNumberFormat="1" applyBorder="1" applyAlignment="1">
      <alignment horizontal="center"/>
    </xf>
    <xf numFmtId="172" fontId="0" fillId="0" borderId="18" xfId="23" applyNumberFormat="1" applyFill="1" applyBorder="1" applyAlignment="1">
      <alignment horizontal="center"/>
    </xf>
    <xf numFmtId="172" fontId="0" fillId="0" borderId="34" xfId="23" applyNumberFormat="1" applyFill="1" applyBorder="1" applyAlignment="1">
      <alignment horizontal="center" wrapText="1"/>
    </xf>
    <xf numFmtId="1" fontId="0" fillId="0" borderId="34" xfId="23" applyNumberFormat="1" applyFont="1" applyFill="1" applyBorder="1" applyAlignment="1">
      <alignment horizontal="center"/>
    </xf>
    <xf numFmtId="183" fontId="0" fillId="0" borderId="35" xfId="23" applyNumberFormat="1" applyBorder="1" applyAlignment="1">
      <alignment horizontal="center"/>
    </xf>
    <xf numFmtId="2" fontId="0" fillId="0" borderId="36" xfId="23" applyNumberFormat="1" applyBorder="1" applyAlignment="1">
      <alignment horizontal="center"/>
    </xf>
    <xf numFmtId="1" fontId="0" fillId="0" borderId="33" xfId="23" applyNumberFormat="1" applyFont="1" applyFill="1" applyBorder="1" applyAlignment="1">
      <alignment horizontal="center"/>
    </xf>
    <xf numFmtId="0" fontId="0" fillId="0" borderId="11" xfId="23" applyFont="1" applyFill="1" applyBorder="1" applyAlignment="1">
      <alignment horizontal="left"/>
    </xf>
    <xf numFmtId="172" fontId="0" fillId="0" borderId="12" xfId="23" applyNumberFormat="1" applyFill="1" applyBorder="1" applyAlignment="1">
      <alignment horizontal="center"/>
    </xf>
    <xf numFmtId="172" fontId="0" fillId="0" borderId="1" xfId="23" applyNumberFormat="1" applyFill="1" applyBorder="1" applyAlignment="1">
      <alignment horizontal="center"/>
    </xf>
    <xf numFmtId="172" fontId="0" fillId="0" borderId="12" xfId="23" applyNumberFormat="1" applyFill="1" applyBorder="1" applyAlignment="1">
      <alignment horizontal="center" wrapText="1"/>
    </xf>
    <xf numFmtId="9" fontId="0" fillId="0" borderId="1" xfId="23" applyNumberFormat="1" applyBorder="1" applyAlignment="1">
      <alignment horizontal="center"/>
    </xf>
    <xf numFmtId="2" fontId="0" fillId="0" borderId="29" xfId="23" applyNumberFormat="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8"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0" fontId="0" fillId="0" borderId="0" xfId="23" applyFill="1" applyBorder="1" applyAlignment="1">
      <alignment horizontal="center" wrapText="1"/>
    </xf>
    <xf numFmtId="10" fontId="0" fillId="0" borderId="0" xfId="23" applyNumberFormat="1" applyFill="1" applyBorder="1" applyAlignment="1">
      <alignment horizontal="center"/>
    </xf>
    <xf numFmtId="0" fontId="15" fillId="0" borderId="0" xfId="23" applyFont="1" applyFill="1" applyBorder="1" applyAlignment="1">
      <alignment horizontal="center"/>
    </xf>
    <xf numFmtId="0" fontId="18" fillId="0" borderId="0" xfId="23" applyFont="1" applyFill="1" applyBorder="1" applyAlignment="1">
      <alignment/>
    </xf>
    <xf numFmtId="10" fontId="0" fillId="0" borderId="32" xfId="23" applyNumberFormat="1" applyFill="1" applyBorder="1" applyAlignment="1">
      <alignment horizontal="center"/>
    </xf>
    <xf numFmtId="172" fontId="4" fillId="5" borderId="37"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72" fontId="4" fillId="5" borderId="14"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4" xfId="23" applyNumberFormat="1" applyBorder="1" applyAlignment="1">
      <alignment horizontal="center"/>
    </xf>
    <xf numFmtId="173" fontId="0" fillId="6" borderId="34" xfId="23" applyNumberFormat="1" applyFill="1" applyBorder="1" applyAlignment="1">
      <alignment horizontal="center"/>
    </xf>
    <xf numFmtId="172" fontId="0" fillId="0" borderId="0" xfId="23" applyNumberFormat="1" applyBorder="1" applyAlignment="1">
      <alignment horizontal="center"/>
    </xf>
    <xf numFmtId="4" fontId="0" fillId="0" borderId="30" xfId="23" applyNumberFormat="1" applyFill="1" applyBorder="1" applyAlignment="1">
      <alignment horizontal="center" wrapText="1"/>
    </xf>
    <xf numFmtId="172" fontId="0" fillId="6" borderId="34" xfId="23" applyNumberFormat="1" applyFill="1" applyBorder="1" applyAlignment="1">
      <alignment horizontal="center"/>
    </xf>
    <xf numFmtId="0" fontId="0" fillId="0" borderId="0" xfId="23" applyFill="1" applyBorder="1">
      <alignment/>
    </xf>
    <xf numFmtId="172" fontId="0" fillId="0" borderId="16" xfId="23" applyNumberFormat="1" applyFill="1" applyBorder="1" applyAlignment="1">
      <alignment horizontal="center"/>
    </xf>
    <xf numFmtId="172" fontId="0" fillId="0" borderId="21"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2" xfId="23" applyNumberFormat="1" applyFill="1" applyBorder="1" applyAlignment="1">
      <alignment horizontal="center" wrapText="1"/>
    </xf>
    <xf numFmtId="172" fontId="0" fillId="0" borderId="32" xfId="23" applyNumberFormat="1" applyBorder="1" applyAlignment="1">
      <alignment horizontal="center"/>
    </xf>
    <xf numFmtId="172" fontId="0" fillId="0" borderId="31" xfId="23" applyNumberFormat="1" applyBorder="1" applyAlignment="1">
      <alignment horizontal="center"/>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0" fontId="0" fillId="0" borderId="7" xfId="23" applyBorder="1" applyAlignment="1">
      <alignment vertical="center" wrapText="1"/>
    </xf>
    <xf numFmtId="172" fontId="0" fillId="0" borderId="3" xfId="23" applyNumberFormat="1" applyFont="1" applyBorder="1" applyAlignment="1">
      <alignment horizontal="center"/>
    </xf>
    <xf numFmtId="10" fontId="0" fillId="0" borderId="16" xfId="23" applyNumberFormat="1" applyFill="1" applyBorder="1" applyAlignment="1">
      <alignment horizontal="center"/>
    </xf>
    <xf numFmtId="10" fontId="0" fillId="0" borderId="38" xfId="23" applyNumberFormat="1" applyFill="1" applyBorder="1" applyAlignment="1">
      <alignment horizontal="center"/>
    </xf>
    <xf numFmtId="0" fontId="0" fillId="0" borderId="0" xfId="23" applyFont="1">
      <alignment/>
    </xf>
    <xf numFmtId="10" fontId="0" fillId="0" borderId="39" xfId="23" applyNumberFormat="1" applyFill="1" applyBorder="1" applyAlignment="1">
      <alignment horizontal="center"/>
    </xf>
    <xf numFmtId="0" fontId="0" fillId="0" borderId="7" xfId="23" applyFont="1" applyFill="1" applyBorder="1">
      <alignment/>
    </xf>
    <xf numFmtId="0" fontId="5" fillId="0" borderId="16" xfId="23" applyNumberFormat="1" applyFont="1" applyFill="1" applyBorder="1" applyAlignment="1">
      <alignment horizontal="center"/>
    </xf>
    <xf numFmtId="10" fontId="0" fillId="0" borderId="5" xfId="23" applyNumberFormat="1" applyFill="1" applyBorder="1" applyAlignment="1">
      <alignment horizontal="center"/>
    </xf>
    <xf numFmtId="10" fontId="0" fillId="0" borderId="40" xfId="23" applyNumberFormat="1" applyBorder="1" applyAlignment="1">
      <alignment horizontal="center"/>
    </xf>
    <xf numFmtId="10" fontId="0" fillId="0" borderId="9" xfId="23" applyNumberFormat="1" applyBorder="1" applyAlignment="1">
      <alignment horizontal="center"/>
    </xf>
    <xf numFmtId="10" fontId="0" fillId="0" borderId="13" xfId="23" applyNumberFormat="1" applyBorder="1" applyAlignment="1">
      <alignment horizontal="center"/>
    </xf>
    <xf numFmtId="172" fontId="0" fillId="0" borderId="33" xfId="23" applyNumberFormat="1" applyFill="1" applyBorder="1" applyAlignment="1">
      <alignment horizontal="center" wrapText="1"/>
    </xf>
    <xf numFmtId="181" fontId="0" fillId="0" borderId="0" xfId="23" applyNumberFormat="1" applyFill="1" applyBorder="1" applyAlignment="1">
      <alignment/>
    </xf>
    <xf numFmtId="10" fontId="0" fillId="5" borderId="12" xfId="23" applyNumberFormat="1" applyFill="1" applyBorder="1" applyAlignment="1">
      <alignment horizontal="center"/>
    </xf>
    <xf numFmtId="182" fontId="0" fillId="5" borderId="12" xfId="23" applyNumberFormat="1" applyFill="1" applyBorder="1" applyAlignment="1">
      <alignment horizontal="center"/>
    </xf>
    <xf numFmtId="10" fontId="0" fillId="0" borderId="21" xfId="23" applyNumberFormat="1" applyFill="1" applyBorder="1" applyAlignment="1">
      <alignment horizontal="center"/>
    </xf>
    <xf numFmtId="0" fontId="5" fillId="0" borderId="41" xfId="23" applyFont="1" applyBorder="1" applyAlignment="1">
      <alignment horizontal="center"/>
    </xf>
    <xf numFmtId="0" fontId="5" fillId="0" borderId="42" xfId="23" applyFont="1" applyBorder="1" applyAlignment="1">
      <alignment horizontal="center"/>
    </xf>
    <xf numFmtId="0" fontId="5" fillId="0" borderId="43" xfId="23" applyFont="1" applyFill="1" applyBorder="1" applyAlignment="1">
      <alignment horizontal="center"/>
    </xf>
    <xf numFmtId="0" fontId="0" fillId="0" borderId="7" xfId="23" applyFont="1" applyBorder="1">
      <alignment/>
    </xf>
    <xf numFmtId="9" fontId="5" fillId="0" borderId="18" xfId="23" applyNumberFormat="1" applyFont="1" applyFill="1" applyBorder="1" applyAlignment="1">
      <alignment horizontal="center"/>
    </xf>
    <xf numFmtId="172" fontId="4" fillId="5" borderId="5" xfId="23" applyNumberFormat="1" applyFont="1" applyFill="1" applyBorder="1" applyAlignment="1">
      <alignment horizontal="center" wrapText="1"/>
    </xf>
    <xf numFmtId="172" fontId="4" fillId="5" borderId="9" xfId="23" applyNumberFormat="1" applyFont="1" applyFill="1" applyBorder="1" applyAlignment="1">
      <alignment horizontal="center"/>
    </xf>
    <xf numFmtId="172" fontId="4" fillId="5" borderId="9" xfId="23" applyNumberFormat="1" applyFont="1" applyFill="1" applyBorder="1" applyAlignment="1">
      <alignment horizontal="center" wrapText="1"/>
    </xf>
    <xf numFmtId="172" fontId="4" fillId="5" borderId="40" xfId="23" applyNumberFormat="1" applyFont="1" applyFill="1" applyBorder="1" applyAlignment="1">
      <alignment horizontal="center"/>
    </xf>
    <xf numFmtId="172" fontId="4" fillId="5" borderId="19" xfId="23" applyNumberFormat="1" applyFont="1" applyFill="1" applyBorder="1" applyAlignment="1">
      <alignment horizontal="center"/>
    </xf>
    <xf numFmtId="172" fontId="0" fillId="0" borderId="10" xfId="23" applyNumberFormat="1" applyFill="1" applyBorder="1" applyAlignment="1">
      <alignment horizontal="center"/>
    </xf>
    <xf numFmtId="172" fontId="0" fillId="0" borderId="6" xfId="23" applyNumberFormat="1" applyBorder="1" applyAlignment="1">
      <alignment horizontal="center"/>
    </xf>
    <xf numFmtId="172" fontId="0" fillId="0" borderId="14" xfId="23" applyNumberFormat="1" applyFill="1" applyBorder="1" applyAlignment="1">
      <alignment horizontal="center"/>
    </xf>
    <xf numFmtId="172" fontId="0" fillId="0" borderId="44" xfId="23" applyNumberFormat="1" applyFill="1" applyBorder="1" applyAlignment="1">
      <alignment horizontal="center"/>
    </xf>
    <xf numFmtId="4" fontId="0" fillId="0" borderId="15" xfId="23" applyNumberFormat="1" applyFill="1" applyBorder="1" applyAlignment="1">
      <alignment horizontal="center" wrapText="1"/>
    </xf>
    <xf numFmtId="0" fontId="0" fillId="0" borderId="0" xfId="22" applyAlignment="1">
      <alignment horizontal="center"/>
      <protection/>
    </xf>
    <xf numFmtId="2" fontId="0" fillId="0" borderId="4" xfId="23" applyNumberFormat="1" applyBorder="1" applyAlignment="1">
      <alignment horizontal="center"/>
    </xf>
    <xf numFmtId="2" fontId="0" fillId="0" borderId="0" xfId="23" applyNumberFormat="1" applyBorder="1" applyAlignment="1">
      <alignment horizontal="center"/>
    </xf>
    <xf numFmtId="2" fontId="0" fillId="0" borderId="31" xfId="23" applyNumberFormat="1" applyBorder="1" applyAlignment="1">
      <alignment horizontal="center"/>
    </xf>
    <xf numFmtId="2" fontId="0" fillId="0" borderId="35" xfId="23" applyNumberFormat="1" applyBorder="1" applyAlignment="1">
      <alignment horizontal="center"/>
    </xf>
    <xf numFmtId="2" fontId="0" fillId="0" borderId="1" xfId="23" applyNumberFormat="1" applyBorder="1" applyAlignment="1">
      <alignment horizontal="center"/>
    </xf>
    <xf numFmtId="173" fontId="0" fillId="0" borderId="0" xfId="23" applyNumberFormat="1" applyBorder="1" applyAlignment="1">
      <alignment horizontal="center"/>
    </xf>
    <xf numFmtId="2" fontId="0" fillId="0" borderId="5" xfId="23" applyNumberFormat="1" applyBorder="1" applyAlignment="1">
      <alignment horizontal="center"/>
    </xf>
    <xf numFmtId="2" fontId="0" fillId="0" borderId="9" xfId="23" applyNumberFormat="1" applyBorder="1" applyAlignment="1">
      <alignment horizontal="center"/>
    </xf>
    <xf numFmtId="2" fontId="0" fillId="0" borderId="19" xfId="23" applyNumberFormat="1" applyBorder="1" applyAlignment="1">
      <alignment horizontal="center"/>
    </xf>
    <xf numFmtId="2" fontId="0" fillId="0" borderId="45" xfId="23" applyNumberFormat="1" applyBorder="1" applyAlignment="1">
      <alignment horizontal="center"/>
    </xf>
    <xf numFmtId="2" fontId="0" fillId="0" borderId="40" xfId="23" applyNumberFormat="1" applyBorder="1" applyAlignment="1">
      <alignment horizontal="center"/>
    </xf>
    <xf numFmtId="2" fontId="0" fillId="0" borderId="13" xfId="23" applyNumberFormat="1" applyBorder="1" applyAlignment="1">
      <alignment horizontal="center"/>
    </xf>
    <xf numFmtId="4" fontId="0" fillId="0" borderId="20" xfId="23" applyNumberFormat="1" applyFill="1" applyBorder="1" applyAlignment="1">
      <alignment horizontal="center" wrapText="1"/>
    </xf>
    <xf numFmtId="2" fontId="12" fillId="0" borderId="0" xfId="23" applyNumberFormat="1" applyFont="1" applyFill="1" applyBorder="1" applyAlignment="1">
      <alignment horizontal="center"/>
    </xf>
    <xf numFmtId="2" fontId="0" fillId="0" borderId="7" xfId="23" applyNumberFormat="1" applyFill="1" applyBorder="1" applyAlignment="1">
      <alignment horizontal="center"/>
    </xf>
    <xf numFmtId="2" fontId="0" fillId="0" borderId="17" xfId="23" applyNumberFormat="1" applyFill="1" applyBorder="1" applyAlignment="1">
      <alignment horizontal="center"/>
    </xf>
    <xf numFmtId="172" fontId="0" fillId="0" borderId="0" xfId="23" applyNumberFormat="1" applyFill="1" applyBorder="1" applyAlignment="1">
      <alignment horizontal="center" vertical="center" wrapText="1"/>
    </xf>
    <xf numFmtId="1" fontId="5" fillId="0" borderId="0" xfId="23" applyNumberFormat="1" applyFont="1" applyFill="1" applyBorder="1" applyAlignment="1">
      <alignment horizontal="center" vertical="center" wrapText="1"/>
    </xf>
    <xf numFmtId="183" fontId="0" fillId="0" borderId="0" xfId="23" applyNumberFormat="1" applyFill="1" applyBorder="1" applyAlignment="1">
      <alignment horizontal="center"/>
    </xf>
    <xf numFmtId="2" fontId="0" fillId="0" borderId="9" xfId="23" applyNumberFormat="1" applyFill="1" applyBorder="1" applyAlignment="1">
      <alignment horizontal="center"/>
    </xf>
    <xf numFmtId="2" fontId="0" fillId="0" borderId="30" xfId="23" applyNumberFormat="1" applyFill="1" applyBorder="1" applyAlignment="1">
      <alignment horizontal="center"/>
    </xf>
    <xf numFmtId="10" fontId="0" fillId="0" borderId="9" xfId="23" applyNumberFormat="1" applyFill="1" applyBorder="1" applyAlignment="1">
      <alignment horizontal="center"/>
    </xf>
    <xf numFmtId="1" fontId="0" fillId="0" borderId="0" xfId="23" applyNumberFormat="1" applyFont="1" applyBorder="1" applyAlignment="1">
      <alignment horizontal="center"/>
    </xf>
    <xf numFmtId="0" fontId="5" fillId="0" borderId="0" xfId="23" applyFont="1" applyBorder="1" applyAlignment="1">
      <alignment horizontal="center"/>
    </xf>
    <xf numFmtId="0" fontId="0" fillId="0" borderId="0" xfId="23" applyFont="1" applyBorder="1" applyAlignment="1">
      <alignment horizontal="center"/>
    </xf>
    <xf numFmtId="0" fontId="5" fillId="0" borderId="0" xfId="23" applyFont="1" applyBorder="1" applyAlignment="1">
      <alignment horizontal="center" vertical="center"/>
    </xf>
    <xf numFmtId="1" fontId="0" fillId="0" borderId="0" xfId="23" applyNumberFormat="1" applyFont="1" applyBorder="1" applyAlignment="1">
      <alignment horizontal="center" vertical="center"/>
    </xf>
    <xf numFmtId="2" fontId="12" fillId="0" borderId="1" xfId="23" applyNumberFormat="1" applyFont="1" applyFill="1" applyBorder="1" applyAlignment="1">
      <alignment horizontal="center"/>
    </xf>
    <xf numFmtId="0" fontId="0" fillId="0" borderId="46" xfId="23" applyFont="1" applyFill="1" applyBorder="1" applyAlignment="1">
      <alignment horizontal="left"/>
    </xf>
    <xf numFmtId="0" fontId="0" fillId="0" borderId="47" xfId="23" applyFont="1" applyFill="1" applyBorder="1" applyAlignment="1">
      <alignment horizontal="left"/>
    </xf>
    <xf numFmtId="2" fontId="0" fillId="0" borderId="0" xfId="23" applyNumberFormat="1" applyFill="1" applyBorder="1" applyAlignment="1">
      <alignment horizontal="center" wrapText="1"/>
    </xf>
    <xf numFmtId="172" fontId="0" fillId="0" borderId="8" xfId="23" applyNumberFormat="1" applyFont="1" applyFill="1" applyBorder="1" applyAlignment="1">
      <alignment horizontal="center" wrapText="1"/>
    </xf>
    <xf numFmtId="2" fontId="0" fillId="0" borderId="21" xfId="23" applyNumberFormat="1" applyFill="1" applyBorder="1" applyAlignment="1">
      <alignment horizontal="center" wrapText="1"/>
    </xf>
    <xf numFmtId="2" fontId="0" fillId="0" borderId="46" xfId="23" applyNumberFormat="1" applyFill="1" applyBorder="1" applyAlignment="1">
      <alignment horizontal="center" wrapText="1"/>
    </xf>
    <xf numFmtId="2" fontId="0" fillId="0" borderId="47" xfId="23" applyNumberFormat="1" applyFill="1" applyBorder="1" applyAlignment="1">
      <alignment horizontal="center" wrapText="1"/>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0" fontId="17" fillId="7" borderId="0" xfId="23" applyFont="1" applyFill="1" applyBorder="1" applyAlignment="1">
      <alignment horizontal="center"/>
    </xf>
    <xf numFmtId="0" fontId="15" fillId="7" borderId="0" xfId="23" applyFont="1" applyFill="1" applyBorder="1" applyAlignment="1">
      <alignment horizontal="center"/>
    </xf>
    <xf numFmtId="172" fontId="5" fillId="0" borderId="0" xfId="23" applyNumberFormat="1" applyFont="1" applyFill="1" applyBorder="1" applyAlignment="1">
      <alignment horizontal="center" wrapText="1"/>
    </xf>
    <xf numFmtId="2" fontId="12" fillId="0" borderId="9" xfId="23" applyNumberFormat="1" applyFont="1" applyBorder="1" applyAlignment="1">
      <alignment horizontal="center"/>
    </xf>
    <xf numFmtId="2" fontId="12" fillId="0" borderId="0" xfId="23" applyNumberFormat="1" applyFont="1" applyBorder="1" applyAlignment="1">
      <alignment horizontal="center"/>
    </xf>
    <xf numFmtId="2" fontId="12" fillId="0" borderId="30" xfId="23" applyNumberFormat="1" applyFont="1" applyBorder="1" applyAlignment="1">
      <alignment horizontal="center"/>
    </xf>
    <xf numFmtId="0" fontId="5" fillId="0" borderId="9" xfId="23" applyFont="1" applyBorder="1" applyAlignment="1">
      <alignment horizontal="center" vertical="center"/>
    </xf>
    <xf numFmtId="0" fontId="5" fillId="0" borderId="0" xfId="23" applyFont="1" applyBorder="1" applyAlignment="1">
      <alignment horizontal="center" vertical="center"/>
    </xf>
    <xf numFmtId="0" fontId="5" fillId="0" borderId="30" xfId="23" applyFont="1" applyBorder="1" applyAlignment="1">
      <alignment horizontal="center" vertical="center"/>
    </xf>
    <xf numFmtId="1" fontId="0" fillId="0" borderId="9"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0" xfId="23" applyNumberFormat="1" applyFont="1" applyBorder="1" applyAlignment="1">
      <alignment horizontal="center" vertical="center"/>
    </xf>
    <xf numFmtId="2" fontId="12" fillId="0" borderId="13" xfId="23" applyNumberFormat="1" applyFont="1" applyFill="1" applyBorder="1" applyAlignment="1">
      <alignment horizontal="center"/>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9" fontId="5" fillId="0" borderId="48" xfId="23" applyNumberFormat="1" applyFont="1" applyFill="1" applyBorder="1" applyAlignment="1">
      <alignment horizontal="center"/>
    </xf>
    <xf numFmtId="9" fontId="5" fillId="0" borderId="42" xfId="23" applyNumberFormat="1" applyFont="1" applyFill="1" applyBorder="1" applyAlignment="1">
      <alignment horizontal="center"/>
    </xf>
    <xf numFmtId="9" fontId="5" fillId="0" borderId="48" xfId="23" applyNumberFormat="1" applyFont="1" applyFill="1" applyBorder="1" applyAlignment="1">
      <alignment horizontal="left"/>
    </xf>
    <xf numFmtId="9" fontId="5" fillId="0" borderId="42" xfId="23" applyNumberFormat="1" applyFont="1" applyFill="1" applyBorder="1" applyAlignment="1">
      <alignment horizontal="left"/>
    </xf>
    <xf numFmtId="0" fontId="5" fillId="0" borderId="0" xfId="23" applyFont="1" applyBorder="1" applyAlignment="1">
      <alignment horizontal="center" vertical="center" wrapText="1"/>
    </xf>
    <xf numFmtId="0" fontId="5" fillId="0" borderId="5" xfId="23" applyFont="1" applyBorder="1" applyAlignment="1">
      <alignment horizontal="center"/>
    </xf>
    <xf numFmtId="0" fontId="5" fillId="0" borderId="4" xfId="23" applyFont="1" applyBorder="1" applyAlignment="1">
      <alignment horizontal="center"/>
    </xf>
    <xf numFmtId="0" fontId="5" fillId="0" borderId="15" xfId="23" applyFont="1" applyBorder="1" applyAlignment="1">
      <alignment horizontal="center"/>
    </xf>
    <xf numFmtId="0" fontId="6" fillId="2" borderId="0" xfId="23" applyFont="1" applyFill="1" applyAlignment="1">
      <alignment horizontal="center" vertical="center"/>
    </xf>
    <xf numFmtId="1" fontId="0" fillId="0" borderId="9" xfId="23" applyNumberFormat="1" applyFont="1" applyBorder="1" applyAlignment="1">
      <alignment horizontal="center"/>
    </xf>
    <xf numFmtId="1" fontId="0" fillId="0" borderId="0" xfId="23" applyNumberFormat="1" applyFont="1" applyBorder="1" applyAlignment="1">
      <alignment horizontal="center"/>
    </xf>
    <xf numFmtId="1" fontId="0" fillId="0" borderId="30" xfId="23" applyNumberFormat="1" applyFont="1" applyBorder="1" applyAlignment="1">
      <alignment horizontal="center"/>
    </xf>
    <xf numFmtId="2" fontId="12" fillId="0" borderId="9" xfId="23" applyNumberFormat="1" applyFont="1" applyFill="1" applyBorder="1" applyAlignment="1">
      <alignment horizontal="center"/>
    </xf>
    <xf numFmtId="2" fontId="12" fillId="0" borderId="0" xfId="23" applyNumberFormat="1" applyFont="1" applyFill="1" applyBorder="1" applyAlignment="1">
      <alignment horizontal="center"/>
    </xf>
    <xf numFmtId="2" fontId="12" fillId="0" borderId="30" xfId="23" applyNumberFormat="1" applyFont="1" applyFill="1" applyBorder="1" applyAlignment="1">
      <alignment horizontal="center"/>
    </xf>
    <xf numFmtId="0" fontId="5" fillId="0" borderId="9" xfId="23" applyFont="1" applyBorder="1" applyAlignment="1">
      <alignment horizontal="center"/>
    </xf>
    <xf numFmtId="0" fontId="5" fillId="0" borderId="0" xfId="23" applyFont="1" applyBorder="1" applyAlignment="1">
      <alignment horizontal="center"/>
    </xf>
    <xf numFmtId="0" fontId="5" fillId="0" borderId="30" xfId="23" applyFont="1" applyBorder="1" applyAlignment="1">
      <alignment horizontal="center"/>
    </xf>
    <xf numFmtId="0" fontId="0" fillId="0" borderId="9" xfId="23" applyFont="1" applyBorder="1" applyAlignment="1">
      <alignment horizontal="center"/>
    </xf>
    <xf numFmtId="0" fontId="0" fillId="0" borderId="0" xfId="23" applyFont="1" applyBorder="1" applyAlignment="1">
      <alignment horizontal="center"/>
    </xf>
    <xf numFmtId="0" fontId="0" fillId="0" borderId="30" xfId="23" applyFont="1" applyBorder="1" applyAlignment="1">
      <alignment horizontal="center"/>
    </xf>
    <xf numFmtId="0" fontId="3" fillId="0" borderId="0" xfId="22" applyFont="1" applyAlignment="1">
      <alignment horizontal="left" vertical="center" wrapText="1"/>
      <protection/>
    </xf>
    <xf numFmtId="0" fontId="3" fillId="0" borderId="0" xfId="22" applyFont="1" applyAlignment="1">
      <alignment horizontal="left" vertical="center"/>
      <protection/>
    </xf>
    <xf numFmtId="0" fontId="5" fillId="0" borderId="48" xfId="23" applyFont="1" applyBorder="1" applyAlignment="1">
      <alignment horizontal="center"/>
    </xf>
    <xf numFmtId="0" fontId="5" fillId="0" borderId="7" xfId="23" applyFont="1" applyFill="1" applyBorder="1">
      <alignment/>
    </xf>
    <xf numFmtId="172" fontId="0" fillId="0" borderId="8" xfId="23" applyNumberFormat="1" applyFont="1" applyBorder="1" applyAlignment="1">
      <alignment horizontal="center"/>
    </xf>
    <xf numFmtId="0" fontId="5" fillId="0" borderId="42" xfId="23" applyFont="1" applyFill="1" applyBorder="1">
      <alignment/>
    </xf>
    <xf numFmtId="10" fontId="0" fillId="0" borderId="43" xfId="23" applyNumberFormat="1" applyFont="1" applyBorder="1" applyAlignment="1">
      <alignment horizontal="center"/>
    </xf>
    <xf numFmtId="10" fontId="0" fillId="0" borderId="41" xfId="23" applyNumberFormat="1" applyFont="1" applyBorder="1" applyAlignment="1">
      <alignment horizontal="center"/>
    </xf>
    <xf numFmtId="172" fontId="0" fillId="0" borderId="24" xfId="23" applyNumberFormat="1" applyFont="1" applyFill="1" applyBorder="1" applyAlignment="1">
      <alignment horizontal="center" vertical="top" wrapText="1"/>
    </xf>
    <xf numFmtId="1" fontId="0" fillId="0" borderId="0" xfId="23" applyNumberFormat="1" applyBorder="1">
      <alignment/>
    </xf>
    <xf numFmtId="2" fontId="0" fillId="0" borderId="38" xfId="23" applyNumberFormat="1" applyFill="1" applyBorder="1" applyAlignment="1">
      <alignment horizontal="center" wrapText="1"/>
    </xf>
    <xf numFmtId="1" fontId="0" fillId="0" borderId="12" xfId="23" applyNumberFormat="1" applyFont="1" applyFill="1" applyBorder="1" applyAlignment="1">
      <alignment horizontal="center"/>
    </xf>
    <xf numFmtId="0" fontId="5" fillId="0" borderId="42" xfId="23" applyFont="1" applyBorder="1" applyAlignment="1">
      <alignment horizontal="center"/>
    </xf>
    <xf numFmtId="0" fontId="5" fillId="0" borderId="43" xfId="23" applyFont="1" applyBorder="1" applyAlignment="1">
      <alignment horizontal="center"/>
    </xf>
    <xf numFmtId="182" fontId="0" fillId="0" borderId="0" xfId="23" applyNumberFormat="1" applyFill="1" applyBorder="1" applyAlignment="1">
      <alignment horizontal="center"/>
    </xf>
    <xf numFmtId="9" fontId="5" fillId="0" borderId="45" xfId="23" applyNumberFormat="1" applyFont="1" applyFill="1" applyBorder="1" applyAlignment="1">
      <alignment horizontal="center"/>
    </xf>
    <xf numFmtId="9" fontId="5" fillId="0" borderId="35" xfId="23" applyNumberFormat="1" applyFont="1" applyFill="1" applyBorder="1" applyAlignment="1">
      <alignment horizontal="center"/>
    </xf>
    <xf numFmtId="0" fontId="5" fillId="0" borderId="28" xfId="23" applyNumberFormat="1" applyFont="1" applyFill="1" applyBorder="1" applyAlignment="1">
      <alignment horizontal="center"/>
    </xf>
    <xf numFmtId="9" fontId="5" fillId="0" borderId="45" xfId="23" applyNumberFormat="1" applyFont="1" applyFill="1" applyBorder="1" applyAlignment="1">
      <alignment horizontal="left"/>
    </xf>
    <xf numFmtId="9" fontId="5" fillId="0" borderId="35" xfId="23" applyNumberFormat="1" applyFont="1" applyFill="1" applyBorder="1" applyAlignment="1">
      <alignment horizontal="left"/>
    </xf>
    <xf numFmtId="9" fontId="0" fillId="5" borderId="33" xfId="23" applyNumberFormat="1" applyFill="1" applyBorder="1" applyAlignment="1">
      <alignment horizontal="center"/>
    </xf>
    <xf numFmtId="187" fontId="0" fillId="0" borderId="41" xfId="23" applyNumberFormat="1" applyFont="1" applyBorder="1" applyAlignment="1">
      <alignment horizontal="center"/>
    </xf>
    <xf numFmtId="183" fontId="0" fillId="0" borderId="42" xfId="23" applyNumberFormat="1" applyFont="1" applyBorder="1" applyAlignment="1">
      <alignment horizontal="center"/>
    </xf>
    <xf numFmtId="172" fontId="0" fillId="0" borderId="13" xfId="23" applyNumberFormat="1" applyFont="1" applyFill="1" applyBorder="1" applyAlignment="1">
      <alignment horizontal="center" vertical="top" wrapText="1"/>
    </xf>
    <xf numFmtId="0" fontId="0" fillId="0" borderId="21" xfId="23" applyBorder="1">
      <alignment/>
    </xf>
    <xf numFmtId="0" fontId="0" fillId="0" borderId="21" xfId="23" applyBorder="1" applyAlignment="1">
      <alignment horizontal="left" wrapText="1"/>
    </xf>
    <xf numFmtId="0" fontId="0" fillId="0" borderId="21" xfId="23" applyBorder="1" applyAlignment="1">
      <alignment/>
    </xf>
    <xf numFmtId="0" fontId="0" fillId="0" borderId="38" xfId="23" applyBorder="1" applyAlignment="1">
      <alignment/>
    </xf>
    <xf numFmtId="0" fontId="0" fillId="0" borderId="9" xfId="23" applyBorder="1">
      <alignment/>
    </xf>
    <xf numFmtId="0" fontId="0" fillId="0" borderId="13" xfId="23" applyBorder="1">
      <alignment/>
    </xf>
    <xf numFmtId="2" fontId="0" fillId="0" borderId="8" xfId="23" applyNumberFormat="1" applyFont="1" applyBorder="1" applyAlignment="1">
      <alignment horizontal="center"/>
    </xf>
    <xf numFmtId="0" fontId="0" fillId="0" borderId="6" xfId="23" applyFont="1" applyBorder="1" applyAlignment="1">
      <alignment horizontal="center"/>
    </xf>
    <xf numFmtId="0" fontId="5" fillId="0" borderId="49" xfId="23" applyFont="1" applyFill="1" applyBorder="1">
      <alignment/>
    </xf>
    <xf numFmtId="10" fontId="0" fillId="0" borderId="50" xfId="23" applyNumberFormat="1" applyFont="1" applyBorder="1" applyAlignment="1">
      <alignment horizontal="center"/>
    </xf>
    <xf numFmtId="2" fontId="0" fillId="0" borderId="10" xfId="23" applyNumberFormat="1" applyFont="1" applyBorder="1" applyAlignment="1">
      <alignment horizontal="center"/>
    </xf>
    <xf numFmtId="2" fontId="0" fillId="0" borderId="12" xfId="23" applyNumberFormat="1" applyFont="1" applyBorder="1" applyAlignment="1">
      <alignment horizontal="center"/>
    </xf>
    <xf numFmtId="2" fontId="0" fillId="0" borderId="14" xfId="23" applyNumberFormat="1" applyFont="1" applyBorder="1" applyAlignment="1">
      <alignment horizontal="center"/>
    </xf>
    <xf numFmtId="0" fontId="15" fillId="0" borderId="1" xfId="23" applyFont="1" applyFill="1" applyBorder="1" applyAlignment="1">
      <alignment horizontal="center" vertical="center"/>
    </xf>
    <xf numFmtId="0" fontId="0" fillId="0" borderId="0" xfId="23" applyFont="1" applyFill="1" applyAlignment="1">
      <alignment horizontal="left" vertical="center"/>
    </xf>
    <xf numFmtId="0" fontId="3" fillId="0" borderId="7" xfId="23" applyFont="1" applyFill="1" applyBorder="1" applyAlignment="1">
      <alignment horizontal="right"/>
    </xf>
    <xf numFmtId="0" fontId="3" fillId="0" borderId="0" xfId="23" applyFont="1" applyFill="1" applyAlignment="1">
      <alignment horizontal="right"/>
    </xf>
    <xf numFmtId="173" fontId="0" fillId="0" borderId="8" xfId="23" applyNumberFormat="1" applyFont="1" applyBorder="1" applyAlignment="1">
      <alignment horizontal="center"/>
    </xf>
    <xf numFmtId="173" fontId="0" fillId="0" borderId="10" xfId="23" applyNumberFormat="1" applyFont="1" applyBorder="1" applyAlignment="1">
      <alignment horizontal="center"/>
    </xf>
    <xf numFmtId="9" fontId="0" fillId="0" borderId="0" xfId="23" applyNumberFormat="1" applyAlignment="1">
      <alignment horizontal="left"/>
    </xf>
    <xf numFmtId="0" fontId="0" fillId="0" borderId="0" xfId="23" applyFont="1" applyAlignment="1">
      <alignment horizontal="left"/>
    </xf>
    <xf numFmtId="0" fontId="3" fillId="0" borderId="0" xfId="23" applyFont="1" applyFill="1" applyBorder="1" applyAlignment="1">
      <alignment horizontal="right"/>
    </xf>
    <xf numFmtId="0" fontId="0" fillId="0" borderId="15" xfId="23" applyFont="1" applyFill="1" applyBorder="1" applyAlignment="1">
      <alignment horizontal="center" vertical="center"/>
    </xf>
    <xf numFmtId="0" fontId="0" fillId="0" borderId="7" xfId="23" applyFont="1" applyFill="1" applyBorder="1" applyAlignment="1">
      <alignment horizontal="left" vertical="center"/>
    </xf>
    <xf numFmtId="173" fontId="0" fillId="0" borderId="30" xfId="23" applyNumberFormat="1" applyFont="1" applyFill="1" applyBorder="1" applyAlignment="1">
      <alignment horizontal="center" vertical="center"/>
    </xf>
    <xf numFmtId="2" fontId="0" fillId="0" borderId="30" xfId="23" applyNumberFormat="1" applyFont="1" applyFill="1" applyBorder="1" applyAlignment="1">
      <alignment horizontal="center" vertical="center"/>
    </xf>
    <xf numFmtId="0" fontId="0" fillId="0" borderId="11" xfId="23" applyFont="1" applyFill="1" applyBorder="1" applyAlignment="1">
      <alignment horizontal="left" vertical="center"/>
    </xf>
    <xf numFmtId="2" fontId="0" fillId="0" borderId="29" xfId="23" applyNumberFormat="1" applyFont="1" applyFill="1" applyBorder="1" applyAlignment="1">
      <alignment horizontal="center" vertical="center"/>
    </xf>
    <xf numFmtId="0" fontId="5" fillId="0" borderId="11" xfId="23" applyFont="1" applyFill="1" applyBorder="1" applyAlignment="1">
      <alignment horizontal="left" vertical="center"/>
    </xf>
    <xf numFmtId="0" fontId="5" fillId="0" borderId="51" xfId="23" applyFont="1" applyFill="1" applyBorder="1" applyAlignment="1">
      <alignment horizontal="left" vertical="center"/>
    </xf>
    <xf numFmtId="0" fontId="0" fillId="0" borderId="3" xfId="23" applyFont="1" applyFill="1" applyBorder="1" applyAlignment="1">
      <alignment horizontal="center" vertical="center"/>
    </xf>
    <xf numFmtId="2" fontId="0" fillId="0" borderId="8" xfId="23" applyNumberFormat="1" applyFont="1" applyFill="1" applyBorder="1" applyAlignment="1">
      <alignment horizontal="center" vertical="center"/>
    </xf>
    <xf numFmtId="2" fontId="0" fillId="0" borderId="12" xfId="23" applyNumberFormat="1" applyFont="1" applyFill="1" applyBorder="1" applyAlignment="1">
      <alignment horizontal="center" vertical="center"/>
    </xf>
    <xf numFmtId="183" fontId="0" fillId="0" borderId="41" xfId="23" applyNumberFormat="1" applyFont="1" applyBorder="1" applyAlignment="1">
      <alignment horizontal="center"/>
    </xf>
    <xf numFmtId="173" fontId="0" fillId="0" borderId="8" xfId="23" applyNumberFormat="1" applyFont="1" applyFill="1" applyBorder="1" applyAlignment="1">
      <alignment horizontal="center" vertical="center"/>
    </xf>
    <xf numFmtId="10" fontId="0" fillId="0" borderId="52" xfId="23" applyNumberFormat="1" applyFont="1" applyBorder="1" applyAlignment="1">
      <alignment horizontal="center"/>
    </xf>
    <xf numFmtId="0" fontId="0" fillId="6" borderId="7" xfId="23" applyFont="1" applyFill="1" applyBorder="1" applyAlignment="1">
      <alignment horizontal="left" vertical="center"/>
    </xf>
    <xf numFmtId="2" fontId="0" fillId="6" borderId="8" xfId="23" applyNumberFormat="1" applyFont="1" applyFill="1" applyBorder="1" applyAlignment="1">
      <alignment horizontal="center" vertical="center"/>
    </xf>
    <xf numFmtId="173" fontId="0" fillId="6" borderId="8" xfId="23" applyNumberFormat="1" applyFont="1" applyFill="1" applyBorder="1" applyAlignment="1">
      <alignment horizontal="center" vertical="center"/>
    </xf>
    <xf numFmtId="173" fontId="0" fillId="6" borderId="30" xfId="23" applyNumberFormat="1" applyFont="1" applyFill="1" applyBorder="1" applyAlignment="1">
      <alignment horizontal="center" vertical="center"/>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571500</xdr:colOff>
      <xdr:row>35</xdr:row>
      <xdr:rowOff>57150</xdr:rowOff>
    </xdr:to>
    <xdr:sp>
      <xdr:nvSpPr>
        <xdr:cNvPr id="1" name="TextBox 1"/>
        <xdr:cNvSpPr txBox="1">
          <a:spLocks noChangeArrowheads="1"/>
        </xdr:cNvSpPr>
      </xdr:nvSpPr>
      <xdr:spPr>
        <a:xfrm>
          <a:off x="876300" y="541972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36</xdr:row>
      <xdr:rowOff>19050</xdr:rowOff>
    </xdr:from>
    <xdr:to>
      <xdr:col>8</xdr:col>
      <xdr:colOff>571500</xdr:colOff>
      <xdr:row>70</xdr:row>
      <xdr:rowOff>19050</xdr:rowOff>
    </xdr:to>
    <xdr:sp>
      <xdr:nvSpPr>
        <xdr:cNvPr id="2" name="TextBox 2"/>
        <xdr:cNvSpPr txBox="1">
          <a:spLocks noChangeArrowheads="1"/>
        </xdr:cNvSpPr>
      </xdr:nvSpPr>
      <xdr:spPr>
        <a:xfrm>
          <a:off x="876300" y="711517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36</xdr:row>
      <xdr:rowOff>0</xdr:rowOff>
    </xdr:from>
    <xdr:to>
      <xdr:col>9</xdr:col>
      <xdr:colOff>76200</xdr:colOff>
      <xdr:row>38</xdr:row>
      <xdr:rowOff>0</xdr:rowOff>
    </xdr:to>
    <xdr:pic>
      <xdr:nvPicPr>
        <xdr:cNvPr id="1" name="Picture 22"/>
        <xdr:cNvPicPr preferRelativeResize="1">
          <a:picLocks noChangeAspect="1"/>
        </xdr:cNvPicPr>
      </xdr:nvPicPr>
      <xdr:blipFill>
        <a:blip r:embed="rId1"/>
        <a:srcRect r="7044"/>
        <a:stretch>
          <a:fillRect/>
        </a:stretch>
      </xdr:blipFill>
      <xdr:spPr>
        <a:xfrm>
          <a:off x="6048375" y="6638925"/>
          <a:ext cx="2266950" cy="323850"/>
        </a:xfrm>
        <a:prstGeom prst="rect">
          <a:avLst/>
        </a:prstGeom>
        <a:noFill/>
        <a:ln w="9525" cmpd="sng">
          <a:solidFill>
            <a:srgbClr val="FF0000"/>
          </a:solidFill>
          <a:headEnd type="none"/>
          <a:tailEnd type="none"/>
        </a:ln>
      </xdr:spPr>
    </xdr:pic>
    <xdr:clientData/>
  </xdr:twoCellAnchor>
  <xdr:twoCellAnchor>
    <xdr:from>
      <xdr:col>9</xdr:col>
      <xdr:colOff>209550</xdr:colOff>
      <xdr:row>34</xdr:row>
      <xdr:rowOff>152400</xdr:rowOff>
    </xdr:from>
    <xdr:to>
      <xdr:col>9</xdr:col>
      <xdr:colOff>476250</xdr:colOff>
      <xdr:row>45</xdr:row>
      <xdr:rowOff>9525</xdr:rowOff>
    </xdr:to>
    <xdr:sp>
      <xdr:nvSpPr>
        <xdr:cNvPr id="2" name="Line 25"/>
        <xdr:cNvSpPr>
          <a:spLocks/>
        </xdr:cNvSpPr>
      </xdr:nvSpPr>
      <xdr:spPr>
        <a:xfrm flipH="1" flipV="1">
          <a:off x="8448675" y="6467475"/>
          <a:ext cx="266700" cy="1685925"/>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447675</xdr:colOff>
      <xdr:row>42</xdr:row>
      <xdr:rowOff>66675</xdr:rowOff>
    </xdr:from>
    <xdr:to>
      <xdr:col>9</xdr:col>
      <xdr:colOff>95250</xdr:colOff>
      <xdr:row>44</xdr:row>
      <xdr:rowOff>57150</xdr:rowOff>
    </xdr:to>
    <xdr:pic>
      <xdr:nvPicPr>
        <xdr:cNvPr id="3" name="Picture 28"/>
        <xdr:cNvPicPr preferRelativeResize="1">
          <a:picLocks noChangeAspect="1"/>
        </xdr:cNvPicPr>
      </xdr:nvPicPr>
      <xdr:blipFill>
        <a:blip r:embed="rId2"/>
        <a:stretch>
          <a:fillRect/>
        </a:stretch>
      </xdr:blipFill>
      <xdr:spPr>
        <a:xfrm>
          <a:off x="6057900" y="7677150"/>
          <a:ext cx="2276475" cy="323850"/>
        </a:xfrm>
        <a:prstGeom prst="rect">
          <a:avLst/>
        </a:prstGeom>
        <a:noFill/>
        <a:ln w="9525" cmpd="sng">
          <a:solidFill>
            <a:srgbClr val="FF0000"/>
          </a:solidFill>
          <a:headEnd type="none"/>
          <a:tailEnd type="none"/>
        </a:ln>
      </xdr:spPr>
    </xdr:pic>
    <xdr:clientData/>
  </xdr:twoCellAnchor>
  <xdr:twoCellAnchor>
    <xdr:from>
      <xdr:col>9</xdr:col>
      <xdr:colOff>219075</xdr:colOff>
      <xdr:row>41</xdr:row>
      <xdr:rowOff>57150</xdr:rowOff>
    </xdr:from>
    <xdr:to>
      <xdr:col>9</xdr:col>
      <xdr:colOff>476250</xdr:colOff>
      <xdr:row>45</xdr:row>
      <xdr:rowOff>0</xdr:rowOff>
    </xdr:to>
    <xdr:sp>
      <xdr:nvSpPr>
        <xdr:cNvPr id="4" name="Line 36"/>
        <xdr:cNvSpPr>
          <a:spLocks/>
        </xdr:cNvSpPr>
      </xdr:nvSpPr>
      <xdr:spPr>
        <a:xfrm flipH="1" flipV="1">
          <a:off x="8458200" y="7505700"/>
          <a:ext cx="257175" cy="63817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42"/>
  <sheetViews>
    <sheetView tabSelected="1"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111</v>
      </c>
    </row>
    <row r="4" spans="1:6" ht="18.75">
      <c r="A4" s="1" t="s">
        <v>3</v>
      </c>
      <c r="B4" s="3" t="s">
        <v>103</v>
      </c>
      <c r="F4" s="4"/>
    </row>
    <row r="5" spans="1:2" ht="15.75">
      <c r="A5" s="1" t="s">
        <v>4</v>
      </c>
      <c r="B5" s="5" t="s">
        <v>21</v>
      </c>
    </row>
    <row r="6" s="6" customFormat="1" ht="16.5" thickBot="1"/>
    <row r="7" spans="1:2" s="7" customFormat="1" ht="18.75">
      <c r="A7" s="7" t="s">
        <v>5</v>
      </c>
      <c r="B7" s="8" t="s">
        <v>22</v>
      </c>
    </row>
    <row r="8" spans="1:2" ht="15.75">
      <c r="A8" s="1" t="s">
        <v>6</v>
      </c>
      <c r="B8" s="5" t="s">
        <v>112</v>
      </c>
    </row>
    <row r="9" spans="1:9" ht="15.75">
      <c r="A9" s="1" t="s">
        <v>7</v>
      </c>
      <c r="B9" s="5" t="s">
        <v>8</v>
      </c>
      <c r="C9" s="5" t="s">
        <v>9</v>
      </c>
      <c r="D9" s="5"/>
      <c r="E9" s="5"/>
      <c r="F9" s="5"/>
      <c r="G9" s="5"/>
      <c r="H9" s="5"/>
      <c r="I9" s="5"/>
    </row>
    <row r="10" spans="2:9" ht="15.75">
      <c r="B10" s="5" t="s">
        <v>10</v>
      </c>
      <c r="C10" s="5" t="s">
        <v>24</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5" t="s">
        <v>18</v>
      </c>
      <c r="D14" s="5"/>
      <c r="E14" s="5"/>
      <c r="F14" s="5"/>
      <c r="G14" s="5"/>
      <c r="H14" s="5"/>
      <c r="I14" s="5"/>
    </row>
    <row r="15" spans="2:9" ht="15.75">
      <c r="B15" s="5" t="s">
        <v>8</v>
      </c>
      <c r="C15" s="5" t="s">
        <v>23</v>
      </c>
      <c r="D15" s="5"/>
      <c r="E15" s="5"/>
      <c r="F15" s="5"/>
      <c r="G15" s="5"/>
      <c r="H15" s="5"/>
      <c r="I15" s="5"/>
    </row>
    <row r="16" spans="2:9" ht="15.75">
      <c r="B16" s="5" t="s">
        <v>10</v>
      </c>
      <c r="C16" s="5" t="s">
        <v>25</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s="5" t="s">
        <v>26</v>
      </c>
      <c r="D20" s="5"/>
      <c r="E20" s="5"/>
      <c r="F20" s="5"/>
      <c r="G20" s="5"/>
      <c r="H20" s="5"/>
      <c r="I20" s="5"/>
    </row>
    <row r="21" spans="2:9" ht="15.75">
      <c r="B21" s="5" t="s">
        <v>8</v>
      </c>
      <c r="C21" s="5" t="s">
        <v>105</v>
      </c>
      <c r="D21" s="5"/>
      <c r="E21" s="5"/>
      <c r="F21" s="5"/>
      <c r="G21" s="5"/>
      <c r="H21" s="5"/>
      <c r="I21" s="5"/>
    </row>
    <row r="22" spans="2:9" ht="15.75">
      <c r="B22" s="5" t="s">
        <v>10</v>
      </c>
      <c r="C22" s="5" t="s">
        <v>104</v>
      </c>
      <c r="D22" s="5"/>
      <c r="E22" s="5"/>
      <c r="F22" s="5"/>
      <c r="G22" s="5"/>
      <c r="H22" s="5"/>
      <c r="I22" s="5"/>
    </row>
    <row r="23" spans="2:9" ht="15.75">
      <c r="B23" s="5" t="s">
        <v>11</v>
      </c>
      <c r="C23" s="5" t="s">
        <v>106</v>
      </c>
      <c r="D23" s="5"/>
      <c r="E23" s="5"/>
      <c r="F23" s="5"/>
      <c r="G23" s="5"/>
      <c r="H23" s="5"/>
      <c r="I23" s="5"/>
    </row>
    <row r="24" spans="2:9" ht="15.75">
      <c r="B24" s="5" t="s">
        <v>13</v>
      </c>
      <c r="C24" s="5"/>
      <c r="D24" s="5"/>
      <c r="E24" s="5"/>
      <c r="F24" s="5"/>
      <c r="G24" s="5"/>
      <c r="H24" s="5"/>
      <c r="I24" s="5"/>
    </row>
    <row r="25" spans="2:9" ht="15.75">
      <c r="B25" s="5" t="s">
        <v>15</v>
      </c>
      <c r="C25" s="5"/>
      <c r="D25" s="5"/>
      <c r="E25" s="5"/>
      <c r="F25" s="5"/>
      <c r="G25" s="5"/>
      <c r="H25" s="5"/>
      <c r="I25" s="5"/>
    </row>
    <row r="26" spans="2:9" ht="15.75">
      <c r="B26" s="5" t="s">
        <v>17</v>
      </c>
      <c r="C26" s="5" t="s">
        <v>107</v>
      </c>
      <c r="D26" s="5"/>
      <c r="E26" s="5"/>
      <c r="F26" s="5"/>
      <c r="G26" s="5"/>
      <c r="H26" s="5"/>
      <c r="I26" s="5"/>
    </row>
    <row r="27" ht="15.75">
      <c r="A27" s="1" t="s">
        <v>19</v>
      </c>
    </row>
    <row r="37" spans="1:5" ht="15.75" customHeight="1">
      <c r="A37" s="9"/>
      <c r="B37" s="259"/>
      <c r="C37" s="259"/>
      <c r="D37" s="259"/>
      <c r="E37" s="259"/>
    </row>
    <row r="38" spans="1:5" ht="15.75" customHeight="1">
      <c r="A38" s="7"/>
      <c r="B38" s="10"/>
      <c r="C38" s="10"/>
      <c r="D38" s="10"/>
      <c r="E38" s="10"/>
    </row>
    <row r="39" spans="1:5" ht="15.75" customHeight="1">
      <c r="A39" s="7"/>
      <c r="B39" s="258"/>
      <c r="C39" s="258"/>
      <c r="D39" s="258"/>
      <c r="E39" s="258"/>
    </row>
    <row r="40" spans="1:5" ht="15.75" customHeight="1">
      <c r="A40" s="7"/>
      <c r="B40" s="10"/>
      <c r="C40" s="10"/>
      <c r="D40" s="10"/>
      <c r="E40" s="10"/>
    </row>
    <row r="41" spans="1:5" ht="15.75" customHeight="1">
      <c r="A41" s="7"/>
      <c r="B41" s="258"/>
      <c r="C41" s="258"/>
      <c r="D41" s="258"/>
      <c r="E41" s="258"/>
    </row>
    <row r="42" spans="2:5" ht="15.75" customHeight="1">
      <c r="B42" s="258"/>
      <c r="C42" s="258"/>
      <c r="D42" s="258"/>
      <c r="E42" s="258"/>
    </row>
    <row r="43" ht="15.75" customHeight="1"/>
    <row r="44" ht="15.75" customHeight="1"/>
    <row r="45" ht="15.75" customHeight="1"/>
  </sheetData>
  <mergeCells count="3">
    <mergeCell ref="B39:E39"/>
    <mergeCell ref="B37:E37"/>
    <mergeCell ref="B41:E4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Roman,Bold"&amp;14May 2006&amp;R&amp;"Times New Roman,Bold"&amp;14doc.: IEEE 802.22-06/0051r3</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99"/>
  <sheetViews>
    <sheetView zoomScale="75" zoomScaleNormal="75" workbookViewId="0" topLeftCell="A1">
      <selection activeCell="I2" sqref="I2"/>
    </sheetView>
  </sheetViews>
  <sheetFormatPr defaultColWidth="9.140625" defaultRowHeight="12.75"/>
  <cols>
    <col min="1" max="1" width="42.57421875" style="13" customWidth="1"/>
    <col min="2" max="2" width="10.140625" style="13" customWidth="1"/>
    <col min="3" max="3" width="10.57421875" style="13" customWidth="1"/>
    <col min="4" max="4" width="10.28125" style="13" customWidth="1"/>
    <col min="5" max="5" width="10.57421875" style="13" customWidth="1"/>
    <col min="6" max="6" width="10.421875" style="13" customWidth="1"/>
    <col min="7" max="7" width="8.8515625" style="13" customWidth="1"/>
    <col min="8" max="8" width="10.00390625" style="13" customWidth="1"/>
    <col min="9" max="9" width="10.140625" style="13" customWidth="1"/>
    <col min="10" max="11" width="11.00390625" style="13" customWidth="1"/>
    <col min="12" max="12" width="5.140625" style="13" customWidth="1"/>
    <col min="13" max="13" width="10.140625" style="13" customWidth="1"/>
    <col min="14" max="14" width="11.421875" style="14" customWidth="1"/>
    <col min="15" max="15" width="7.57421875" style="13" customWidth="1"/>
    <col min="16" max="16" width="8.8515625" style="13" customWidth="1"/>
    <col min="17" max="21" width="7.57421875" style="13" customWidth="1"/>
    <col min="22" max="22" width="10.28125" style="13" customWidth="1"/>
    <col min="23" max="26" width="7.57421875" style="13" customWidth="1"/>
    <col min="27" max="16384" width="9.140625" style="13" customWidth="1"/>
  </cols>
  <sheetData>
    <row r="1" spans="1:10" ht="28.5" customHeight="1">
      <c r="A1" s="283" t="s">
        <v>27</v>
      </c>
      <c r="B1" s="283"/>
      <c r="C1" s="283"/>
      <c r="D1" s="283"/>
      <c r="E1" s="283"/>
      <c r="F1" s="283"/>
      <c r="G1" s="283"/>
      <c r="H1" s="283"/>
      <c r="I1" s="11"/>
      <c r="J1" s="12"/>
    </row>
    <row r="2" spans="1:26" ht="13.5" customHeight="1">
      <c r="A2" s="15" t="s">
        <v>28</v>
      </c>
      <c r="B2" s="16">
        <f>IF(AND(E2&gt;13,E2&lt;52),$E$2*6+389,"ERROR")</f>
        <v>617</v>
      </c>
      <c r="D2" s="17" t="s">
        <v>29</v>
      </c>
      <c r="E2" s="18">
        <v>38</v>
      </c>
      <c r="J2" s="19"/>
      <c r="K2" s="20"/>
      <c r="L2" s="20"/>
      <c r="M2" s="20"/>
      <c r="N2" s="21"/>
      <c r="O2" s="19"/>
      <c r="P2" s="19"/>
      <c r="Q2" s="19"/>
      <c r="R2" s="19"/>
      <c r="S2" s="19"/>
      <c r="T2" s="19"/>
      <c r="U2" s="19"/>
      <c r="V2" s="19"/>
      <c r="W2" s="19"/>
      <c r="X2" s="19"/>
      <c r="Y2" s="19"/>
      <c r="Z2" s="19"/>
    </row>
    <row r="3" spans="1:26" ht="13.5" customHeight="1">
      <c r="A3" s="15"/>
      <c r="B3" s="22"/>
      <c r="J3" s="19"/>
      <c r="K3" s="23"/>
      <c r="U3" s="24"/>
      <c r="V3" s="24"/>
      <c r="W3" s="24"/>
      <c r="X3" s="24"/>
      <c r="Y3" s="24"/>
      <c r="Z3" s="24"/>
    </row>
    <row r="4" spans="1:26" ht="13.5" customHeight="1" thickBot="1">
      <c r="A4" s="22" t="s">
        <v>30</v>
      </c>
      <c r="B4" s="207" t="s">
        <v>31</v>
      </c>
      <c r="C4" s="208" t="s">
        <v>32</v>
      </c>
      <c r="D4" s="207" t="s">
        <v>33</v>
      </c>
      <c r="E4" s="209" t="s">
        <v>34</v>
      </c>
      <c r="J4" s="19"/>
      <c r="K4" s="23"/>
      <c r="U4" s="24"/>
      <c r="V4" s="24"/>
      <c r="W4" s="24"/>
      <c r="X4" s="24"/>
      <c r="Y4" s="24"/>
      <c r="Z4" s="24"/>
    </row>
    <row r="5" spans="1:26" ht="13.5" customHeight="1">
      <c r="A5" s="25" t="s">
        <v>35</v>
      </c>
      <c r="B5" s="26">
        <v>-116</v>
      </c>
      <c r="C5" s="27">
        <v>-94</v>
      </c>
      <c r="D5" s="28">
        <v>-107</v>
      </c>
      <c r="E5" s="29">
        <v>-120</v>
      </c>
      <c r="J5" s="19"/>
      <c r="K5" s="23"/>
      <c r="U5" s="24"/>
      <c r="V5" s="24"/>
      <c r="W5" s="24"/>
      <c r="X5" s="24"/>
      <c r="Y5" s="24"/>
      <c r="Z5" s="24"/>
    </row>
    <row r="6" spans="1:26" ht="13.5" customHeight="1">
      <c r="A6" s="30" t="s">
        <v>36</v>
      </c>
      <c r="B6" s="31">
        <v>6</v>
      </c>
      <c r="C6" s="32">
        <v>6</v>
      </c>
      <c r="D6" s="33">
        <v>0.2</v>
      </c>
      <c r="E6" s="34">
        <v>0.01</v>
      </c>
      <c r="J6" s="19"/>
      <c r="K6" s="23"/>
      <c r="U6" s="24"/>
      <c r="V6" s="24"/>
      <c r="W6" s="24"/>
      <c r="X6" s="24"/>
      <c r="Y6" s="24"/>
      <c r="Z6" s="24"/>
    </row>
    <row r="7" spans="1:26" ht="13.5" customHeight="1">
      <c r="A7" s="30" t="s">
        <v>37</v>
      </c>
      <c r="B7" s="31">
        <v>0</v>
      </c>
      <c r="C7" s="32">
        <v>0</v>
      </c>
      <c r="D7" s="33">
        <v>0</v>
      </c>
      <c r="E7" s="34">
        <v>0</v>
      </c>
      <c r="J7" s="19"/>
      <c r="K7" s="23"/>
      <c r="U7" s="24"/>
      <c r="V7" s="24"/>
      <c r="W7" s="24"/>
      <c r="X7" s="24"/>
      <c r="Y7" s="24"/>
      <c r="Z7" s="24"/>
    </row>
    <row r="8" spans="1:26" ht="13.5" customHeight="1">
      <c r="A8" s="35" t="s">
        <v>38</v>
      </c>
      <c r="B8" s="36">
        <f>(300/$B$2)^2/(4*PI())</f>
        <v>0.01881318461824558</v>
      </c>
      <c r="C8" s="37">
        <f>(300/$B$2)^2/(4*PI())</f>
        <v>0.01881318461824558</v>
      </c>
      <c r="D8" s="38">
        <f>(300/$B$2)^2/(4*PI())</f>
        <v>0.01881318461824558</v>
      </c>
      <c r="E8" s="39">
        <f>(300/$B$2)^2/(4*PI())</f>
        <v>0.01881318461824558</v>
      </c>
      <c r="J8" s="19"/>
      <c r="K8" s="23"/>
      <c r="U8" s="24"/>
      <c r="V8" s="24"/>
      <c r="W8" s="24"/>
      <c r="X8" s="24"/>
      <c r="Y8" s="24"/>
      <c r="Z8" s="24"/>
    </row>
    <row r="9" spans="1:26" ht="13.5" customHeight="1">
      <c r="A9" s="40" t="s">
        <v>39</v>
      </c>
      <c r="B9" s="41">
        <f>(B5-30)-B7-10*LOG10(B8)</f>
        <v>-128.74462317350745</v>
      </c>
      <c r="C9" s="42">
        <f>(C5-30)-C7-10*LOG10(C8)</f>
        <v>-106.74462317350745</v>
      </c>
      <c r="D9" s="43">
        <f>(D5-30)-D7-10*LOG10(D8)</f>
        <v>-119.74462317350745</v>
      </c>
      <c r="E9" s="44">
        <f>(E5-30)-E7-10*LOG10(E8)</f>
        <v>-132.74462317350745</v>
      </c>
      <c r="K9" s="23"/>
      <c r="U9" s="24"/>
      <c r="V9" s="24"/>
      <c r="W9" s="24"/>
      <c r="X9" s="24"/>
      <c r="Y9" s="24"/>
      <c r="Z9" s="24"/>
    </row>
    <row r="10" spans="1:26" ht="13.5" customHeight="1" thickBot="1">
      <c r="A10" s="45" t="s">
        <v>40</v>
      </c>
      <c r="B10" s="46">
        <f>B9+145.8</f>
        <v>17.055376826492562</v>
      </c>
      <c r="C10" s="47">
        <f>C9+145.8</f>
        <v>39.05537682649256</v>
      </c>
      <c r="D10" s="48">
        <f>D9+145.8</f>
        <v>26.055376826492562</v>
      </c>
      <c r="E10" s="49">
        <f>E9+145.8</f>
        <v>13.055376826492562</v>
      </c>
      <c r="J10" s="19"/>
      <c r="K10" s="23"/>
      <c r="U10" s="24"/>
      <c r="V10" s="24"/>
      <c r="W10" s="24"/>
      <c r="X10" s="24"/>
      <c r="Y10" s="24"/>
      <c r="Z10" s="24"/>
    </row>
    <row r="11" spans="1:26" ht="13.5" customHeight="1" thickBot="1">
      <c r="A11" s="15"/>
      <c r="B11" s="22"/>
      <c r="C11" s="50"/>
      <c r="D11" s="50"/>
      <c r="E11" s="50"/>
      <c r="J11" s="19"/>
      <c r="K11" s="23"/>
      <c r="U11" s="24"/>
      <c r="V11" s="24"/>
      <c r="W11" s="24"/>
      <c r="X11" s="24"/>
      <c r="Y11" s="24"/>
      <c r="Z11" s="24"/>
    </row>
    <row r="12" spans="1:26" ht="13.5" customHeight="1">
      <c r="A12" s="51" t="s">
        <v>41</v>
      </c>
      <c r="B12" s="191">
        <f>41-20*LOG10(615/$B$2)</f>
        <v>41.0282009651565</v>
      </c>
      <c r="C12" s="170">
        <f>64-20*LOG10(615/$B$2)</f>
        <v>64.0282009651565</v>
      </c>
      <c r="D12" s="52">
        <f>(-26.8-30)-(6+10*LOG10(200/6000))-107.8-20+145.8</f>
        <v>-30.028787452803357</v>
      </c>
      <c r="E12" s="53">
        <f>(16.3-30)-(6+10*LOG10(200/6000))-107.8-20+145.8</f>
        <v>13.071212547196637</v>
      </c>
      <c r="F12" s="54" t="s">
        <v>42</v>
      </c>
      <c r="U12" s="24"/>
      <c r="V12" s="24"/>
      <c r="W12" s="24"/>
      <c r="X12" s="24"/>
      <c r="Y12" s="24"/>
      <c r="Z12" s="24"/>
    </row>
    <row r="13" spans="1:26" ht="13.5" customHeight="1">
      <c r="A13" s="55" t="s">
        <v>43</v>
      </c>
      <c r="B13" s="56">
        <f>B10</f>
        <v>17.055376826492562</v>
      </c>
      <c r="C13" s="57">
        <f>C10</f>
        <v>39.05537682649256</v>
      </c>
      <c r="D13" s="58">
        <f>D10</f>
        <v>26.055376826492562</v>
      </c>
      <c r="E13" s="59">
        <f>E10</f>
        <v>13.055376826492562</v>
      </c>
      <c r="F13" s="60" t="s">
        <v>42</v>
      </c>
      <c r="U13" s="24"/>
      <c r="V13" s="24"/>
      <c r="W13" s="24"/>
      <c r="X13" s="24"/>
      <c r="Y13" s="24"/>
      <c r="Z13" s="24"/>
    </row>
    <row r="14" spans="1:26" ht="13.5" customHeight="1" thickBot="1">
      <c r="A14" s="61" t="s">
        <v>44</v>
      </c>
      <c r="B14" s="46">
        <f>B12-B10</f>
        <v>23.97282413866394</v>
      </c>
      <c r="C14" s="48">
        <f>C12-C10</f>
        <v>24.97282413866394</v>
      </c>
      <c r="D14" s="48">
        <f>D12-D10</f>
        <v>-56.08416427929592</v>
      </c>
      <c r="E14" s="49">
        <f>E12-E10</f>
        <v>0.01583572070407513</v>
      </c>
      <c r="F14" s="62" t="s">
        <v>20</v>
      </c>
      <c r="U14" s="24"/>
      <c r="V14" s="24"/>
      <c r="W14" s="24"/>
      <c r="X14" s="24"/>
      <c r="Y14" s="24"/>
      <c r="Z14" s="24"/>
    </row>
    <row r="15" spans="1:26" ht="13.5" customHeight="1">
      <c r="A15" s="63"/>
      <c r="B15" s="15"/>
      <c r="C15" s="64"/>
      <c r="J15" s="19"/>
      <c r="K15" s="23"/>
      <c r="U15" s="20"/>
      <c r="V15" s="65"/>
      <c r="W15" s="65"/>
      <c r="X15" s="65"/>
      <c r="Y15" s="65"/>
      <c r="Z15" s="65"/>
    </row>
    <row r="16" spans="1:26" ht="13.5" customHeight="1" thickBot="1">
      <c r="A16" s="66" t="s">
        <v>45</v>
      </c>
      <c r="B16" s="207" t="s">
        <v>31</v>
      </c>
      <c r="C16" s="208" t="s">
        <v>32</v>
      </c>
      <c r="D16" s="207" t="s">
        <v>33</v>
      </c>
      <c r="E16" s="209" t="s">
        <v>34</v>
      </c>
      <c r="G16" s="67"/>
      <c r="J16" s="19"/>
      <c r="K16" s="23"/>
      <c r="V16" s="65"/>
      <c r="W16" s="65"/>
      <c r="X16" s="68"/>
      <c r="Y16" s="65"/>
      <c r="Z16" s="65"/>
    </row>
    <row r="17" spans="1:26" ht="13.5" customHeight="1">
      <c r="A17" s="69" t="s">
        <v>46</v>
      </c>
      <c r="B17" s="280">
        <v>0</v>
      </c>
      <c r="C17" s="281"/>
      <c r="D17" s="281"/>
      <c r="E17" s="282"/>
      <c r="F17" s="70"/>
      <c r="G17" s="70"/>
      <c r="H17" s="70"/>
      <c r="I17" s="70"/>
      <c r="J17" s="19"/>
      <c r="K17" s="23"/>
      <c r="V17" s="71"/>
      <c r="W17" s="71"/>
      <c r="X17" s="71"/>
      <c r="Y17" s="71"/>
      <c r="Z17" s="71"/>
    </row>
    <row r="18" spans="1:26" ht="13.5" customHeight="1">
      <c r="A18" s="35" t="s">
        <v>38</v>
      </c>
      <c r="B18" s="263">
        <f>(300/$B$2)^2/(4*PI())</f>
        <v>0.01881318461824558</v>
      </c>
      <c r="C18" s="264"/>
      <c r="D18" s="264"/>
      <c r="E18" s="265"/>
      <c r="F18" s="72"/>
      <c r="V18" s="73"/>
      <c r="W18" s="74"/>
      <c r="X18" s="19"/>
      <c r="Y18" s="19"/>
      <c r="Z18" s="19"/>
    </row>
    <row r="19" spans="1:26" ht="13.5" customHeight="1">
      <c r="A19" s="35" t="s">
        <v>47</v>
      </c>
      <c r="B19" s="284">
        <f>90*(1/3)+290*(2/3)</f>
        <v>223.33333333333331</v>
      </c>
      <c r="C19" s="285"/>
      <c r="D19" s="285"/>
      <c r="E19" s="286"/>
      <c r="V19" s="74"/>
      <c r="W19" s="74"/>
      <c r="X19" s="74"/>
      <c r="Y19" s="74"/>
      <c r="Z19" s="74"/>
    </row>
    <row r="20" spans="1:26" ht="27.75" customHeight="1">
      <c r="A20" s="190" t="s">
        <v>48</v>
      </c>
      <c r="B20" s="266">
        <v>-99</v>
      </c>
      <c r="C20" s="267"/>
      <c r="D20" s="267"/>
      <c r="E20" s="268"/>
      <c r="F20" s="76"/>
      <c r="G20" s="77"/>
      <c r="H20" s="77"/>
      <c r="I20" s="77"/>
      <c r="J20" s="77"/>
      <c r="W20" s="74"/>
      <c r="X20" s="74"/>
      <c r="Y20" s="74"/>
      <c r="Z20" s="74"/>
    </row>
    <row r="21" spans="1:26" ht="26.25" customHeight="1">
      <c r="A21" s="75" t="s">
        <v>49</v>
      </c>
      <c r="B21" s="269">
        <f>10^((B20-145.8+10*LOG(B18)+B17+168.6-10*LOG10(B6))/10)</f>
        <v>7.521614428973094E-11</v>
      </c>
      <c r="C21" s="270"/>
      <c r="D21" s="270"/>
      <c r="E21" s="271"/>
      <c r="F21" s="76"/>
      <c r="J21" s="77"/>
      <c r="K21" s="77"/>
      <c r="W21" s="74"/>
      <c r="X21" s="74"/>
      <c r="Y21" s="74"/>
      <c r="Z21" s="74"/>
    </row>
    <row r="22" spans="1:26" ht="13.5" customHeight="1">
      <c r="A22" s="210" t="s">
        <v>94</v>
      </c>
      <c r="B22" s="293">
        <v>10</v>
      </c>
      <c r="C22" s="294"/>
      <c r="D22" s="294"/>
      <c r="E22" s="295"/>
      <c r="K22" s="203"/>
      <c r="L22" s="77"/>
      <c r="M22" s="19"/>
      <c r="W22" s="74"/>
      <c r="X22" s="74"/>
      <c r="Y22" s="74"/>
      <c r="Z22" s="74"/>
    </row>
    <row r="23" spans="1:26" ht="13.5" customHeight="1">
      <c r="A23" s="78" t="s">
        <v>50</v>
      </c>
      <c r="B23" s="290">
        <v>0.5</v>
      </c>
      <c r="C23" s="291"/>
      <c r="D23" s="291"/>
      <c r="E23" s="292"/>
      <c r="K23" s="203"/>
      <c r="M23" s="19"/>
      <c r="W23" s="74"/>
      <c r="X23" s="74"/>
      <c r="Y23" s="74"/>
      <c r="Z23" s="74"/>
    </row>
    <row r="24" spans="1:26" ht="13.5" customHeight="1">
      <c r="A24" s="35" t="s">
        <v>51</v>
      </c>
      <c r="B24" s="290">
        <v>4</v>
      </c>
      <c r="C24" s="291"/>
      <c r="D24" s="291"/>
      <c r="E24" s="292"/>
      <c r="G24" s="77"/>
      <c r="H24" s="77"/>
      <c r="I24" s="77"/>
      <c r="J24" s="77"/>
      <c r="K24" s="203"/>
      <c r="L24" s="65"/>
      <c r="M24" s="19"/>
      <c r="W24" s="74"/>
      <c r="X24" s="74"/>
      <c r="Y24" s="74"/>
      <c r="Z24" s="74"/>
    </row>
    <row r="25" spans="1:26" ht="13.5" customHeight="1">
      <c r="A25" s="78" t="s">
        <v>52</v>
      </c>
      <c r="B25" s="290">
        <v>2</v>
      </c>
      <c r="C25" s="291"/>
      <c r="D25" s="291"/>
      <c r="E25" s="292"/>
      <c r="L25" s="71"/>
      <c r="M25" s="19"/>
      <c r="W25" s="74"/>
      <c r="X25" s="74"/>
      <c r="Y25" s="74"/>
      <c r="Z25" s="74"/>
    </row>
    <row r="26" spans="1:26" ht="13.5" customHeight="1">
      <c r="A26" s="78" t="s">
        <v>53</v>
      </c>
      <c r="B26" s="290">
        <v>6</v>
      </c>
      <c r="C26" s="291"/>
      <c r="D26" s="291"/>
      <c r="E26" s="292"/>
      <c r="I26" s="20"/>
      <c r="J26" s="19"/>
      <c r="K26" s="23"/>
      <c r="L26" s="73"/>
      <c r="W26" s="74"/>
      <c r="X26" s="74"/>
      <c r="Y26" s="74"/>
      <c r="Z26" s="74"/>
    </row>
    <row r="27" spans="1:26" ht="13.5" customHeight="1">
      <c r="A27" s="78" t="s">
        <v>54</v>
      </c>
      <c r="B27" s="287">
        <f>B17-(B23+B24+B25)-10*LOG10((B19+B21)*10^(-(B23+B24+B25)/10)+290*(1-10^(-(B23+B24+B25)/10))+290*(10^(B26/10)-1))</f>
        <v>-37.06747100272945</v>
      </c>
      <c r="C27" s="288"/>
      <c r="D27" s="288"/>
      <c r="E27" s="289"/>
      <c r="H27" s="70"/>
      <c r="I27" s="70"/>
      <c r="J27" s="19"/>
      <c r="K27" s="19"/>
      <c r="L27" s="72"/>
      <c r="W27" s="74"/>
      <c r="X27" s="74"/>
      <c r="Y27" s="74"/>
      <c r="Z27" s="74"/>
    </row>
    <row r="28" spans="1:26" ht="13.5" customHeight="1" thickBot="1">
      <c r="A28" s="196" t="s">
        <v>88</v>
      </c>
      <c r="B28" s="272">
        <f>10*LOG10(((B19+B21)*10^(-(B23+B24+B25)/10)+290*(1-10^(-(B23+B24+B25)/10))+290*(10^(B26/10)-1)+290)/290)</f>
        <v>6.9281228460925295</v>
      </c>
      <c r="C28" s="273"/>
      <c r="D28" s="273"/>
      <c r="E28" s="274"/>
      <c r="H28" s="70"/>
      <c r="I28" s="70"/>
      <c r="J28" s="19"/>
      <c r="K28" s="19"/>
      <c r="L28" s="72"/>
      <c r="W28" s="74"/>
      <c r="X28" s="74"/>
      <c r="Y28" s="74"/>
      <c r="Z28" s="74"/>
    </row>
    <row r="29" spans="1:26" ht="12.75" customHeight="1" thickBot="1">
      <c r="A29" s="79" t="s">
        <v>55</v>
      </c>
      <c r="B29" s="80">
        <f>B9+168.6-10*LOG10(B6)+10*LOG10($B18)+$B27</f>
        <v>-22.248983506565885</v>
      </c>
      <c r="C29" s="81">
        <f>C9+168.6-10*LOG10(C6)+10*LOG10($B18)+$B27</f>
        <v>-0.2489835065658852</v>
      </c>
      <c r="D29" s="82">
        <f>D9+168.6-10*LOG10(D6)+10*LOG10($B18)+$B27</f>
        <v>1.5222290406307408</v>
      </c>
      <c r="E29" s="83">
        <f>E9+168.6-10*LOG10(E6)+10*LOG10($B18)+$B27</f>
        <v>1.5325289972705534</v>
      </c>
      <c r="F29" s="84" t="s">
        <v>20</v>
      </c>
      <c r="M29" s="85"/>
      <c r="Q29" s="86"/>
      <c r="W29" s="74"/>
      <c r="X29" s="19"/>
      <c r="Y29" s="19"/>
      <c r="Z29" s="19"/>
    </row>
    <row r="30" spans="1:26" ht="12.75" customHeight="1">
      <c r="A30" s="87"/>
      <c r="B30" s="88"/>
      <c r="C30" s="88"/>
      <c r="D30" s="88"/>
      <c r="E30" s="88"/>
      <c r="M30" s="85"/>
      <c r="Q30" s="89"/>
      <c r="W30" s="74"/>
      <c r="X30" s="19"/>
      <c r="Y30" s="19"/>
      <c r="Z30" s="19"/>
    </row>
    <row r="31" spans="1:26" ht="13.5" customHeight="1">
      <c r="A31" s="23"/>
      <c r="B31" s="72"/>
      <c r="C31" s="72"/>
      <c r="D31" s="72"/>
      <c r="E31" s="72"/>
      <c r="H31" s="72"/>
      <c r="I31" s="72"/>
      <c r="J31" s="91"/>
      <c r="K31" s="85"/>
      <c r="M31" s="19"/>
      <c r="Q31" s="89"/>
      <c r="W31" s="19"/>
      <c r="X31" s="19"/>
      <c r="Y31" s="19"/>
      <c r="Z31" s="19"/>
    </row>
    <row r="32" spans="1:26" ht="12.75" customHeight="1" thickBot="1">
      <c r="A32" s="92" t="s">
        <v>91</v>
      </c>
      <c r="B32" s="72"/>
      <c r="C32" s="72"/>
      <c r="D32" s="72"/>
      <c r="E32" s="72"/>
      <c r="H32" s="72"/>
      <c r="I32" s="72"/>
      <c r="J32" s="91"/>
      <c r="K32" s="85"/>
      <c r="M32" s="23"/>
      <c r="Q32" s="93"/>
      <c r="W32" s="19"/>
      <c r="X32" s="19"/>
      <c r="Y32" s="19"/>
      <c r="Z32" s="19"/>
    </row>
    <row r="33" spans="1:26" ht="12.75" customHeight="1">
      <c r="A33" s="94" t="s">
        <v>56</v>
      </c>
      <c r="B33" s="95">
        <v>0.9</v>
      </c>
      <c r="C33" s="96">
        <v>0.9</v>
      </c>
      <c r="D33" s="95">
        <v>0.9</v>
      </c>
      <c r="E33" s="97">
        <v>0.9</v>
      </c>
      <c r="I33" s="72"/>
      <c r="J33" s="91"/>
      <c r="K33" s="74"/>
      <c r="M33" s="19"/>
      <c r="Q33" s="98"/>
      <c r="W33" s="19"/>
      <c r="X33" s="19"/>
      <c r="Y33" s="19"/>
      <c r="Z33" s="19"/>
    </row>
    <row r="34" spans="1:26" ht="12.75" customHeight="1" thickBot="1">
      <c r="A34" s="99" t="s">
        <v>95</v>
      </c>
      <c r="B34" s="100">
        <v>0.1</v>
      </c>
      <c r="C34" s="101">
        <v>0.1</v>
      </c>
      <c r="D34" s="100">
        <v>0.1</v>
      </c>
      <c r="E34" s="102">
        <v>0.1</v>
      </c>
      <c r="H34" s="72"/>
      <c r="I34" s="72"/>
      <c r="J34" s="19"/>
      <c r="K34" s="19"/>
      <c r="M34" s="19"/>
      <c r="Q34" s="93"/>
      <c r="W34" s="19"/>
      <c r="X34" s="19"/>
      <c r="Y34" s="19"/>
      <c r="Z34" s="19"/>
    </row>
    <row r="35" spans="1:26" ht="12.75" customHeight="1">
      <c r="A35" s="103"/>
      <c r="B35" s="104"/>
      <c r="C35" s="104"/>
      <c r="D35" s="104"/>
      <c r="E35" s="104"/>
      <c r="F35" s="23"/>
      <c r="H35" s="72"/>
      <c r="I35" s="72"/>
      <c r="J35" s="19"/>
      <c r="K35" s="19"/>
      <c r="M35" s="19"/>
      <c r="Q35" s="93"/>
      <c r="W35" s="19"/>
      <c r="X35" s="19"/>
      <c r="Y35" s="19"/>
      <c r="Z35" s="19"/>
    </row>
    <row r="36" spans="1:26" ht="12.75" customHeight="1" thickBot="1">
      <c r="A36" s="92" t="s">
        <v>89</v>
      </c>
      <c r="B36" s="275" t="s">
        <v>92</v>
      </c>
      <c r="C36" s="276"/>
      <c r="D36" s="276"/>
      <c r="E36" s="197">
        <v>2</v>
      </c>
      <c r="G36" s="70"/>
      <c r="H36" s="72"/>
      <c r="I36" s="72"/>
      <c r="J36" s="19"/>
      <c r="K36" s="19"/>
      <c r="M36" s="19"/>
      <c r="W36" s="19"/>
      <c r="X36" s="19"/>
      <c r="Y36" s="19"/>
      <c r="Z36" s="19"/>
    </row>
    <row r="37" spans="1:26" ht="12.75" customHeight="1">
      <c r="A37" s="94" t="s">
        <v>56</v>
      </c>
      <c r="B37" s="95">
        <f>1-(1-B33)/$E$36</f>
        <v>0.95</v>
      </c>
      <c r="C37" s="95">
        <f>1-(1-C33)/$E$36</f>
        <v>0.95</v>
      </c>
      <c r="D37" s="95">
        <f>1-(1-D33)/$E$36</f>
        <v>0.95</v>
      </c>
      <c r="E37" s="95">
        <f>1-(1-E33)/$E$36</f>
        <v>0.95</v>
      </c>
      <c r="H37" s="72"/>
      <c r="I37" s="72"/>
      <c r="J37" s="19"/>
      <c r="K37" s="19"/>
      <c r="M37" s="19"/>
      <c r="W37" s="19"/>
      <c r="X37" s="19"/>
      <c r="Y37" s="19"/>
      <c r="Z37" s="19"/>
    </row>
    <row r="38" spans="1:26" ht="12.75" customHeight="1" thickBot="1">
      <c r="A38" s="99" t="s">
        <v>95</v>
      </c>
      <c r="B38" s="205">
        <f>B34/$E$36</f>
        <v>0.05</v>
      </c>
      <c r="C38" s="205">
        <f>C34/$E$36</f>
        <v>0.05</v>
      </c>
      <c r="D38" s="205">
        <f>D34/$E$36</f>
        <v>0.05</v>
      </c>
      <c r="E38" s="205">
        <f>E34/$E$36</f>
        <v>0.05</v>
      </c>
      <c r="H38" s="72"/>
      <c r="I38" s="72"/>
      <c r="J38" s="19"/>
      <c r="K38" s="19"/>
      <c r="M38" s="19"/>
      <c r="Q38" s="93"/>
      <c r="W38" s="19"/>
      <c r="X38" s="19"/>
      <c r="Y38" s="19"/>
      <c r="Z38" s="19"/>
    </row>
    <row r="39" spans="1:26" ht="12.75" customHeight="1">
      <c r="A39" s="103"/>
      <c r="E39" s="104"/>
      <c r="G39" s="90"/>
      <c r="H39" s="72"/>
      <c r="I39" s="72"/>
      <c r="J39" s="19"/>
      <c r="K39" s="19"/>
      <c r="M39" s="19"/>
      <c r="Q39" s="93"/>
      <c r="W39" s="19"/>
      <c r="X39" s="19"/>
      <c r="Y39" s="19"/>
      <c r="Z39" s="19"/>
    </row>
    <row r="40" spans="1:26" ht="12.75" customHeight="1" thickBot="1">
      <c r="A40" s="92" t="s">
        <v>90</v>
      </c>
      <c r="B40" s="277" t="s">
        <v>93</v>
      </c>
      <c r="C40" s="278"/>
      <c r="D40" s="278"/>
      <c r="E40" s="197">
        <v>5</v>
      </c>
      <c r="G40" s="90"/>
      <c r="H40" s="72"/>
      <c r="I40" s="72"/>
      <c r="J40" s="19"/>
      <c r="K40" s="19"/>
      <c r="M40" s="19"/>
      <c r="Q40" s="93"/>
      <c r="W40" s="19"/>
      <c r="X40" s="19"/>
      <c r="Y40" s="19"/>
      <c r="Z40" s="19"/>
    </row>
    <row r="41" spans="1:26" ht="12.75" customHeight="1">
      <c r="A41" s="94" t="s">
        <v>56</v>
      </c>
      <c r="B41" s="95">
        <f aca="true" t="shared" si="0" ref="B41:E42">1-(1-B37)^(1/$E$40)</f>
        <v>0.45071972834694096</v>
      </c>
      <c r="C41" s="95">
        <f t="shared" si="0"/>
        <v>0.45071972834694096</v>
      </c>
      <c r="D41" s="95">
        <f t="shared" si="0"/>
        <v>0.45071972834694096</v>
      </c>
      <c r="E41" s="95">
        <f t="shared" si="0"/>
        <v>0.45071972834694096</v>
      </c>
      <c r="F41" s="72"/>
      <c r="H41" s="72"/>
      <c r="I41" s="72"/>
      <c r="J41" s="19"/>
      <c r="K41" s="19"/>
      <c r="M41" s="19"/>
      <c r="Q41" s="93"/>
      <c r="W41" s="19"/>
      <c r="X41" s="19"/>
      <c r="Y41" s="19"/>
      <c r="Z41" s="19"/>
    </row>
    <row r="42" spans="1:26" ht="12.75" customHeight="1" thickBot="1">
      <c r="A42" s="99" t="s">
        <v>95</v>
      </c>
      <c r="B42" s="204">
        <f t="shared" si="0"/>
        <v>0.010206218313011495</v>
      </c>
      <c r="C42" s="204">
        <f t="shared" si="0"/>
        <v>0.010206218313011495</v>
      </c>
      <c r="D42" s="204">
        <f t="shared" si="0"/>
        <v>0.010206218313011495</v>
      </c>
      <c r="E42" s="204">
        <f t="shared" si="0"/>
        <v>0.010206218313011495</v>
      </c>
      <c r="G42" s="72"/>
      <c r="H42" s="72"/>
      <c r="I42" s="72"/>
      <c r="J42" s="19"/>
      <c r="K42" s="19"/>
      <c r="M42" s="19"/>
      <c r="Q42" s="93"/>
      <c r="W42" s="19"/>
      <c r="X42" s="19"/>
      <c r="Y42" s="19"/>
      <c r="Z42" s="19"/>
    </row>
    <row r="43" spans="1:26" ht="12.75" customHeight="1">
      <c r="A43" s="103"/>
      <c r="B43" s="104"/>
      <c r="C43" s="104"/>
      <c r="D43" s="104"/>
      <c r="E43" s="104"/>
      <c r="G43" s="72"/>
      <c r="H43" s="72"/>
      <c r="I43" s="72"/>
      <c r="J43" s="19"/>
      <c r="K43" s="19"/>
      <c r="M43" s="19"/>
      <c r="Q43" s="93"/>
      <c r="W43" s="19"/>
      <c r="X43" s="19"/>
      <c r="Y43" s="19"/>
      <c r="Z43" s="19"/>
    </row>
    <row r="44" spans="1:26" ht="13.5" customHeight="1">
      <c r="A44" s="23"/>
      <c r="B44" s="72"/>
      <c r="C44" s="72"/>
      <c r="D44" s="72"/>
      <c r="E44" s="72"/>
      <c r="F44" s="105"/>
      <c r="G44" s="72"/>
      <c r="H44" s="72"/>
      <c r="I44" s="72"/>
      <c r="J44" s="19"/>
      <c r="K44" s="19"/>
      <c r="M44" s="19"/>
      <c r="Q44" s="93"/>
      <c r="T44" s="19"/>
      <c r="U44" s="19"/>
      <c r="V44" s="106"/>
      <c r="W44" s="19"/>
      <c r="X44" s="19"/>
      <c r="Y44" s="19"/>
      <c r="Z44" s="19"/>
    </row>
    <row r="45" spans="1:26" ht="15.75" customHeight="1">
      <c r="A45" s="261" t="s">
        <v>57</v>
      </c>
      <c r="B45" s="261"/>
      <c r="C45" s="261"/>
      <c r="D45" s="261"/>
      <c r="E45" s="261"/>
      <c r="F45" s="19"/>
      <c r="N45" s="13"/>
      <c r="T45" s="19"/>
      <c r="U45" s="19"/>
      <c r="V45" s="106"/>
      <c r="W45" s="19"/>
      <c r="X45" s="19"/>
      <c r="Y45" s="19"/>
      <c r="Z45" s="19"/>
    </row>
    <row r="46" spans="1:26" s="110" customFormat="1" ht="39.75" customHeight="1" thickBot="1">
      <c r="A46" s="107" t="s">
        <v>58</v>
      </c>
      <c r="B46" s="108" t="s">
        <v>59</v>
      </c>
      <c r="C46" s="108" t="s">
        <v>60</v>
      </c>
      <c r="D46" s="108" t="s">
        <v>61</v>
      </c>
      <c r="E46" s="109" t="s">
        <v>63</v>
      </c>
      <c r="F46" s="109" t="s">
        <v>64</v>
      </c>
      <c r="G46" s="109" t="s">
        <v>65</v>
      </c>
      <c r="H46" s="262" t="s">
        <v>66</v>
      </c>
      <c r="I46" s="262"/>
      <c r="J46" s="240" t="s">
        <v>62</v>
      </c>
      <c r="K46" s="109"/>
      <c r="L46" s="239"/>
      <c r="M46" s="240"/>
      <c r="U46" s="19"/>
      <c r="V46" s="19"/>
      <c r="W46" s="19"/>
      <c r="X46" s="19"/>
      <c r="Y46" s="19"/>
      <c r="Z46" s="19"/>
    </row>
    <row r="47" spans="1:14" ht="12.75">
      <c r="A47" s="111" t="s">
        <v>67</v>
      </c>
      <c r="B47" s="112">
        <f>B29</f>
        <v>-22.248983506565885</v>
      </c>
      <c r="C47" s="113">
        <v>0</v>
      </c>
      <c r="D47" s="112">
        <f aca="true" t="shared" si="1" ref="D47:D60">B47-C47</f>
        <v>-22.248983506565885</v>
      </c>
      <c r="E47" s="115"/>
      <c r="F47" s="229">
        <f>2*(NORMSINV($B$42)-(10^(D47/10)+1)*NORMSINV($B$41))^2/10^(D47/5)</f>
        <v>271231.7473038611</v>
      </c>
      <c r="G47" s="116">
        <f>ROUNDUP(F47,0)/($B$6*1000)</f>
        <v>45.205333333333336</v>
      </c>
      <c r="H47" s="110"/>
      <c r="I47" s="110"/>
      <c r="J47" s="143">
        <v>1</v>
      </c>
      <c r="K47" s="20"/>
      <c r="L47" s="154"/>
      <c r="M47" s="98"/>
      <c r="N47" s="13"/>
    </row>
    <row r="48" spans="1:14" ht="12.75">
      <c r="A48" s="117" t="s">
        <v>69</v>
      </c>
      <c r="B48" s="118">
        <f>B$29-11.2+10*LOG10(B6/0.01)</f>
        <v>-5.667471002729446</v>
      </c>
      <c r="C48" s="118">
        <f>(4.5-1.3)*NORMSINV($C$61)</f>
        <v>5.263529601506889</v>
      </c>
      <c r="D48" s="118">
        <f t="shared" si="1"/>
        <v>-10.931000604236335</v>
      </c>
      <c r="E48" s="241"/>
      <c r="F48" s="242">
        <f>2*(NORMSINV($B$42*$C$61)-(10^(D48/10)+1)*NORMSINV($B$41/$C$61))^2/10^(D48/5)</f>
        <v>1580.3636156446426</v>
      </c>
      <c r="G48" s="243">
        <f>ROUNDUP(F48,0)/(0.01*1000)</f>
        <v>158.1</v>
      </c>
      <c r="H48" s="237"/>
      <c r="I48" s="72"/>
      <c r="J48" s="114">
        <v>1</v>
      </c>
      <c r="K48" s="20"/>
      <c r="L48" s="154"/>
      <c r="M48" s="98"/>
      <c r="N48" s="13"/>
    </row>
    <row r="49" spans="1:14" ht="12.75">
      <c r="A49" s="117" t="s">
        <v>87</v>
      </c>
      <c r="B49" s="118">
        <f>B$29</f>
        <v>-22.248983506565885</v>
      </c>
      <c r="C49" s="118">
        <f>(4.5-1.3)*NORMSINV($C$61)</f>
        <v>5.263529601506889</v>
      </c>
      <c r="D49" s="118">
        <f t="shared" si="1"/>
        <v>-27.512513108072774</v>
      </c>
      <c r="E49" s="161">
        <f>10^(-11.2/10)</f>
        <v>0.07585775750291839</v>
      </c>
      <c r="F49" s="242">
        <f>(NORMSINV($B$42*$C$61)-SQRT(10^(D49/10)+1)*NORMSINV($B$41/$C$61))^2/(E49*(10^(D49/10)))</f>
        <v>38435.732436531915</v>
      </c>
      <c r="G49" s="243">
        <f>ROUNDUP(F49,0)/($B$6*1000)</f>
        <v>6.406</v>
      </c>
      <c r="H49" s="238"/>
      <c r="I49" s="72"/>
      <c r="J49" s="114">
        <v>2</v>
      </c>
      <c r="K49" s="20"/>
      <c r="L49" s="154"/>
      <c r="M49" s="98"/>
      <c r="N49" s="13"/>
    </row>
    <row r="50" spans="1:26" ht="12.75" customHeight="1">
      <c r="A50" s="117" t="s">
        <v>101</v>
      </c>
      <c r="B50" s="122">
        <f>B29</f>
        <v>-22.248983506565885</v>
      </c>
      <c r="C50" s="72">
        <f>C47</f>
        <v>0</v>
      </c>
      <c r="D50" s="118">
        <f t="shared" si="1"/>
        <v>-22.248983506565885</v>
      </c>
      <c r="E50" s="123">
        <v>1</v>
      </c>
      <c r="F50" s="230">
        <f>(1/4)*(NORMSINV($B$42)-SQRT(10^(D50/10)+1)*NORMSINV($B$41))^2/(E50*(10^(D50/10)))</f>
        <v>202.06841692230404</v>
      </c>
      <c r="G50" s="120">
        <f>ROUNDUP(F50,0)*(4/$J$82)/1000</f>
        <v>0.07544899285250163</v>
      </c>
      <c r="H50" s="124">
        <f>(ROUNDUP(F50,0)*832/$J$82+4/$J$82)/1000</f>
        <v>15.693762183235869</v>
      </c>
      <c r="I50" s="125" t="s">
        <v>68</v>
      </c>
      <c r="J50" s="114">
        <v>2</v>
      </c>
      <c r="K50" s="20"/>
      <c r="L50" s="20"/>
      <c r="M50" s="155"/>
      <c r="N50" s="13"/>
      <c r="U50" s="126"/>
      <c r="V50" s="19"/>
      <c r="W50" s="19"/>
      <c r="X50" s="19"/>
      <c r="Y50" s="19"/>
      <c r="Z50" s="19"/>
    </row>
    <row r="51" spans="1:14" ht="12.75">
      <c r="A51" s="117" t="s">
        <v>99</v>
      </c>
      <c r="B51" s="122">
        <f>B29</f>
        <v>-22.248983506565885</v>
      </c>
      <c r="C51" s="72">
        <f>C47</f>
        <v>0</v>
      </c>
      <c r="D51" s="118">
        <f t="shared" si="1"/>
        <v>-22.248983506565885</v>
      </c>
      <c r="E51" s="123">
        <v>1</v>
      </c>
      <c r="F51" s="230">
        <f>(1/511)*(NORMSINV($B$42)-SQRT(10^(D51/10)+1)*NORMSINV($B$41))^2/(E51*(10^(D51/10)))</f>
        <v>1.5817488604485639</v>
      </c>
      <c r="G51" s="120">
        <f>ROUNDUP(F51,0)*(511/$J$82)/1000</f>
        <v>0.09496166341780378</v>
      </c>
      <c r="H51" s="127">
        <f>(ROUNDUP(F51,0)*(313*832/$J$82)+511/$J$82)/1000</f>
        <v>48.44187719298247</v>
      </c>
      <c r="I51" s="72" t="s">
        <v>68</v>
      </c>
      <c r="J51" s="114">
        <v>2</v>
      </c>
      <c r="K51" s="20"/>
      <c r="L51" s="154"/>
      <c r="M51" s="98"/>
      <c r="N51" s="13"/>
    </row>
    <row r="52" spans="1:14" ht="12.75">
      <c r="A52" s="117" t="s">
        <v>100</v>
      </c>
      <c r="B52" s="118">
        <f>B29</f>
        <v>-22.248983506565885</v>
      </c>
      <c r="C52" s="153">
        <f>C47</f>
        <v>0</v>
      </c>
      <c r="D52" s="118">
        <f t="shared" si="1"/>
        <v>-22.248983506565885</v>
      </c>
      <c r="E52" s="123">
        <v>1</v>
      </c>
      <c r="F52" s="230">
        <f>(1/(3*63))*(NORMSINV($B$42)-SQRT(10^(D52/10)+1)*NORMSINV($B$41))^2/(E52*(10^(D52/10)))</f>
        <v>4.276580252323895</v>
      </c>
      <c r="G52" s="120">
        <f>ROUNDUP(F52,0)*(3*63/$J$82)/1000</f>
        <v>0.08780701754385965</v>
      </c>
      <c r="H52" s="255">
        <f>(ROUNDUP(F52,0)*(313*832/$J$82)+3*63/$J$82)/1000</f>
        <v>121.00355230669268</v>
      </c>
      <c r="I52" s="72" t="s">
        <v>68</v>
      </c>
      <c r="J52" s="114">
        <v>2</v>
      </c>
      <c r="K52" s="20"/>
      <c r="L52" s="154"/>
      <c r="M52" s="98"/>
      <c r="N52" s="13"/>
    </row>
    <row r="53" spans="1:14" ht="12.75">
      <c r="A53" s="117" t="s">
        <v>102</v>
      </c>
      <c r="B53" s="118">
        <f>B29</f>
        <v>-22.248983506565885</v>
      </c>
      <c r="C53" s="153">
        <f>C47</f>
        <v>0</v>
      </c>
      <c r="D53" s="118">
        <f t="shared" si="1"/>
        <v>-22.248983506565885</v>
      </c>
      <c r="E53" s="123"/>
      <c r="F53" s="230"/>
      <c r="G53" s="120"/>
      <c r="H53" s="256"/>
      <c r="I53" s="72"/>
      <c r="J53" s="114"/>
      <c r="K53" s="20"/>
      <c r="L53" s="154"/>
      <c r="M53" s="98"/>
      <c r="N53" s="13"/>
    </row>
    <row r="54" spans="1:14" ht="12.75">
      <c r="A54" s="117" t="s">
        <v>70</v>
      </c>
      <c r="B54" s="118">
        <f>B29</f>
        <v>-22.248983506565885</v>
      </c>
      <c r="C54" s="153">
        <f>C47</f>
        <v>0</v>
      </c>
      <c r="D54" s="118">
        <f t="shared" si="1"/>
        <v>-22.248983506565885</v>
      </c>
      <c r="E54" s="123"/>
      <c r="F54" s="230"/>
      <c r="G54" s="120"/>
      <c r="H54" s="256"/>
      <c r="I54" s="72"/>
      <c r="J54" s="114"/>
      <c r="K54" s="20"/>
      <c r="L54" s="154"/>
      <c r="M54" s="98"/>
      <c r="N54" s="13"/>
    </row>
    <row r="55" spans="1:14" ht="12.75">
      <c r="A55" s="128" t="s">
        <v>71</v>
      </c>
      <c r="B55" s="129">
        <f>B29</f>
        <v>-22.248983506565885</v>
      </c>
      <c r="C55" s="130">
        <f>C47</f>
        <v>0</v>
      </c>
      <c r="D55" s="129">
        <f t="shared" si="1"/>
        <v>-22.248983506565885</v>
      </c>
      <c r="E55" s="132"/>
      <c r="F55" s="231"/>
      <c r="G55" s="133"/>
      <c r="H55" s="257"/>
      <c r="I55" s="121"/>
      <c r="J55" s="131"/>
      <c r="K55" s="20"/>
      <c r="L55" s="154"/>
      <c r="M55" s="98"/>
      <c r="N55" s="13"/>
    </row>
    <row r="56" spans="1:14" ht="13.5" customHeight="1">
      <c r="A56" s="117" t="s">
        <v>72</v>
      </c>
      <c r="B56" s="122">
        <f>C$29+10*LOG10(30%)+10*LOG10(B6/0.02)</f>
        <v>19.293441587827367</v>
      </c>
      <c r="C56" s="122">
        <f>(4-1.3)*NORMSINV($C$61)</f>
        <v>4.4411031012714375</v>
      </c>
      <c r="D56" s="118">
        <f t="shared" si="1"/>
        <v>14.85233848655593</v>
      </c>
      <c r="E56" s="119"/>
      <c r="F56" s="136">
        <f>2*(NORMSINV($C$42*$C$61)-(10^(D56/10)+1)*NORMSINV($C$41/$C$61))^2/10^(D56/5)</f>
        <v>0.00021146950823486784</v>
      </c>
      <c r="G56" s="137">
        <f>ROUNDUP(F56*$C$6/0.02,0)/($C$6*1000)</f>
        <v>0.00016666666666666666</v>
      </c>
      <c r="J56" s="114">
        <v>1</v>
      </c>
      <c r="K56" s="20"/>
      <c r="L56" s="154"/>
      <c r="M56" s="98"/>
      <c r="N56" s="13"/>
    </row>
    <row r="57" spans="1:14" ht="12.75" customHeight="1">
      <c r="A57" s="128" t="s">
        <v>73</v>
      </c>
      <c r="B57" s="138">
        <f>C$29+10*LOG10(10%)+10*LOG10(B6/0.02)</f>
        <v>14.52222904063074</v>
      </c>
      <c r="C57" s="121">
        <f>(4-1.3)*NORMSINV($C$61)</f>
        <v>4.4411031012714375</v>
      </c>
      <c r="D57" s="118">
        <f t="shared" si="1"/>
        <v>10.081125939359303</v>
      </c>
      <c r="E57" s="119"/>
      <c r="F57" s="136">
        <f>2*(NORMSINV($C$42*$C$61)-(10^(D57/10)+1)*NORMSINV($C$41/$C$61))^2/10^(D57/5)</f>
        <v>0.05060286321609841</v>
      </c>
      <c r="G57" s="137">
        <f>ROUNDUP(F57*$C$6/0.02,0)/($C$6*1000)</f>
        <v>0.0026666666666666666</v>
      </c>
      <c r="J57" s="114">
        <v>1</v>
      </c>
      <c r="K57" s="20"/>
      <c r="L57" s="162"/>
      <c r="M57" s="155"/>
      <c r="N57" s="13"/>
    </row>
    <row r="58" spans="1:14" ht="12.75">
      <c r="A58" s="128" t="s">
        <v>74</v>
      </c>
      <c r="B58" s="138">
        <f>D29</f>
        <v>1.5222290406307408</v>
      </c>
      <c r="C58" s="121">
        <f>(2.5-1.3)*NORMSINV($C$61)</f>
        <v>1.9738236005650833</v>
      </c>
      <c r="D58" s="139">
        <f t="shared" si="1"/>
        <v>-0.4515945599343425</v>
      </c>
      <c r="E58" s="141"/>
      <c r="F58" s="232">
        <f>2*(NORMSINV($D$42*$C$61)-(10^(D58/10)+1)*NORMSINV($D$41/$C$61))^2/10^(D58/5)</f>
        <v>12.092012935632559</v>
      </c>
      <c r="G58" s="142">
        <f>ROUNDUP(F58,0)/($D$6*1000)</f>
        <v>0.065</v>
      </c>
      <c r="J58" s="140">
        <v>1</v>
      </c>
      <c r="K58" s="20"/>
      <c r="L58" s="154"/>
      <c r="M58" s="98"/>
      <c r="N58" s="13"/>
    </row>
    <row r="59" spans="1:14" ht="12.75">
      <c r="A59" s="117" t="s">
        <v>75</v>
      </c>
      <c r="B59" s="122">
        <f>E29</f>
        <v>1.5325289972705534</v>
      </c>
      <c r="C59" s="72">
        <f>(4.5-1.3)*NORMSINV($C$61)</f>
        <v>5.263529601506889</v>
      </c>
      <c r="D59" s="118">
        <f t="shared" si="1"/>
        <v>-3.7310006042363355</v>
      </c>
      <c r="E59" s="119"/>
      <c r="F59" s="233">
        <f>2*(NORMSINV($E$42*$C$61)-(10^(D59/10)+1)*NORMSINV($E$41/$C$61))^2/10^(D59/5)</f>
        <v>56.27311719574012</v>
      </c>
      <c r="G59" s="120">
        <f>ROUNDUP(F59,0)/($E$6*1000)</f>
        <v>5.7</v>
      </c>
      <c r="J59" s="143">
        <v>1</v>
      </c>
      <c r="K59" s="20"/>
      <c r="L59" s="154"/>
      <c r="M59" s="98"/>
      <c r="N59" s="13"/>
    </row>
    <row r="60" spans="1:14" ht="13.5" thickBot="1">
      <c r="A60" s="144" t="s">
        <v>76</v>
      </c>
      <c r="B60" s="145">
        <f>E29</f>
        <v>1.5325289972705534</v>
      </c>
      <c r="C60" s="146">
        <f>(4.5-1.3)*NORMSINV($C$61)</f>
        <v>5.263529601506889</v>
      </c>
      <c r="D60" s="147">
        <f t="shared" si="1"/>
        <v>-3.7310006042363355</v>
      </c>
      <c r="E60" s="148">
        <v>1</v>
      </c>
      <c r="F60" s="234">
        <f>(NORMSINV($E$42*$C$61)-SQRT(10^(D60/10)+1)*NORMSINV($E$41/$C$61))^2/(E60*10^(D60/10))</f>
        <v>12.074335576061504</v>
      </c>
      <c r="G60" s="149">
        <f>ROUNDUP(F60,0)/($E$6*1000)</f>
        <v>1.3</v>
      </c>
      <c r="J60" s="131">
        <v>2</v>
      </c>
      <c r="K60" s="20"/>
      <c r="L60" s="154"/>
      <c r="M60" s="98"/>
      <c r="N60" s="13"/>
    </row>
    <row r="61" spans="1:8" ht="12.75">
      <c r="A61" s="150"/>
      <c r="B61" s="151" t="s">
        <v>77</v>
      </c>
      <c r="C61" s="211">
        <v>0.95</v>
      </c>
      <c r="D61" s="153"/>
      <c r="E61" s="20"/>
      <c r="F61" s="154"/>
      <c r="G61" s="155"/>
      <c r="H61" s="98"/>
    </row>
    <row r="62" spans="1:8" ht="12.75">
      <c r="A62" s="150"/>
      <c r="B62" s="151"/>
      <c r="C62" s="104"/>
      <c r="D62" s="153"/>
      <c r="E62" s="20"/>
      <c r="F62" s="154"/>
      <c r="G62" s="155"/>
      <c r="H62" s="98"/>
    </row>
    <row r="63" spans="1:26" ht="13.5" customHeight="1">
      <c r="A63" s="23"/>
      <c r="B63" s="72"/>
      <c r="C63" s="72"/>
      <c r="D63" s="72"/>
      <c r="E63" s="72"/>
      <c r="F63" s="72"/>
      <c r="G63" s="72"/>
      <c r="H63" s="72"/>
      <c r="I63" s="72"/>
      <c r="J63" s="91"/>
      <c r="K63" s="74"/>
      <c r="Q63" s="156"/>
      <c r="R63" s="19"/>
      <c r="S63" s="19"/>
      <c r="T63" s="19"/>
      <c r="U63" s="19"/>
      <c r="V63" s="106"/>
      <c r="W63" s="19"/>
      <c r="X63" s="19"/>
      <c r="Y63" s="19"/>
      <c r="Z63" s="19"/>
    </row>
    <row r="64" spans="1:26" ht="15.75" customHeight="1">
      <c r="A64" s="260" t="s">
        <v>78</v>
      </c>
      <c r="B64" s="260"/>
      <c r="C64" s="260"/>
      <c r="D64" s="260"/>
      <c r="E64" s="260"/>
      <c r="F64" s="157"/>
      <c r="G64" s="72"/>
      <c r="H64" s="72"/>
      <c r="I64" s="72"/>
      <c r="J64" s="19"/>
      <c r="K64" s="19"/>
      <c r="U64" s="156"/>
      <c r="V64" s="106"/>
      <c r="W64" s="19"/>
      <c r="X64" s="19"/>
      <c r="Y64" s="19"/>
      <c r="Z64" s="19"/>
    </row>
    <row r="65" spans="1:26" ht="27.75" customHeight="1" thickBot="1">
      <c r="A65" s="158" t="s">
        <v>96</v>
      </c>
      <c r="B65" s="108" t="s">
        <v>79</v>
      </c>
      <c r="C65" s="108" t="s">
        <v>80</v>
      </c>
      <c r="D65" s="279" t="s">
        <v>97</v>
      </c>
      <c r="E65" s="279"/>
      <c r="F65" s="72"/>
      <c r="H65" s="72"/>
      <c r="I65" s="72"/>
      <c r="J65" s="19"/>
      <c r="K65" s="159"/>
      <c r="U65" s="19"/>
      <c r="V65" s="19"/>
      <c r="W65" s="19"/>
      <c r="X65" s="19"/>
      <c r="Y65" s="19"/>
      <c r="Z65" s="19"/>
    </row>
    <row r="66" spans="1:26" ht="12.75" customHeight="1">
      <c r="A66" s="111" t="s">
        <v>67</v>
      </c>
      <c r="B66" s="198">
        <f aca="true" t="shared" si="2" ref="B66:B74">$B$42*$C$61</f>
        <v>0.00969590739736092</v>
      </c>
      <c r="C66" s="195">
        <f aca="true" t="shared" si="3" ref="C66:C74">$B$41/$C$61</f>
        <v>0.47444181931256946</v>
      </c>
      <c r="D66" s="212">
        <v>5</v>
      </c>
      <c r="E66" s="218">
        <f>D66</f>
        <v>5</v>
      </c>
      <c r="G66" s="160"/>
      <c r="H66" s="160"/>
      <c r="I66" s="160"/>
      <c r="J66" s="19"/>
      <c r="K66" s="19"/>
      <c r="U66" s="19"/>
      <c r="V66" s="19"/>
      <c r="W66" s="19"/>
      <c r="X66" s="19"/>
      <c r="Y66" s="19"/>
      <c r="Z66" s="19"/>
    </row>
    <row r="67" spans="1:26" ht="12.75" customHeight="1">
      <c r="A67" s="117" t="s">
        <v>69</v>
      </c>
      <c r="B67" s="244">
        <f t="shared" si="2"/>
        <v>0.00969590739736092</v>
      </c>
      <c r="C67" s="161">
        <f t="shared" si="3"/>
        <v>0.47444181931256946</v>
      </c>
      <c r="D67" s="213">
        <v>5</v>
      </c>
      <c r="E67" s="217">
        <f>D67+11.2-10*LOG10($B$6/0.01)</f>
        <v>-11.581512503836436</v>
      </c>
      <c r="G67" s="126"/>
      <c r="H67" s="126"/>
      <c r="I67" s="126"/>
      <c r="J67" s="159"/>
      <c r="K67" s="162"/>
      <c r="U67" s="126"/>
      <c r="V67" s="19"/>
      <c r="W67" s="19"/>
      <c r="X67" s="19"/>
      <c r="Y67" s="19"/>
      <c r="Z67" s="19"/>
    </row>
    <row r="68" spans="1:26" ht="12.75" customHeight="1">
      <c r="A68" s="117" t="s">
        <v>87</v>
      </c>
      <c r="B68" s="244">
        <f t="shared" si="2"/>
        <v>0.00969590739736092</v>
      </c>
      <c r="C68" s="161">
        <f t="shared" si="3"/>
        <v>0.47444181931256946</v>
      </c>
      <c r="D68" s="213">
        <v>18</v>
      </c>
      <c r="E68" s="217">
        <f>D68+11.2</f>
        <v>29.2</v>
      </c>
      <c r="G68" s="126"/>
      <c r="H68" s="126"/>
      <c r="I68" s="126"/>
      <c r="J68" s="159"/>
      <c r="K68" s="162"/>
      <c r="U68" s="126"/>
      <c r="V68" s="19"/>
      <c r="W68" s="19"/>
      <c r="X68" s="19"/>
      <c r="Y68" s="19"/>
      <c r="Z68" s="19"/>
    </row>
    <row r="69" spans="1:26" ht="12.75" customHeight="1">
      <c r="A69" s="117" t="s">
        <v>101</v>
      </c>
      <c r="B69" s="200">
        <f t="shared" si="2"/>
        <v>0.00969590739736092</v>
      </c>
      <c r="C69" s="206">
        <f t="shared" si="3"/>
        <v>0.47444181931256946</v>
      </c>
      <c r="D69" s="213">
        <v>1</v>
      </c>
      <c r="E69" s="217">
        <f>D69</f>
        <v>1</v>
      </c>
      <c r="G69" s="126"/>
      <c r="H69" s="126"/>
      <c r="I69" s="126"/>
      <c r="J69" s="159"/>
      <c r="K69" s="162"/>
      <c r="U69" s="126"/>
      <c r="V69" s="19"/>
      <c r="W69" s="19"/>
      <c r="X69" s="19"/>
      <c r="Y69" s="19"/>
      <c r="Z69" s="19"/>
    </row>
    <row r="70" spans="1:26" ht="12.75" customHeight="1">
      <c r="A70" s="117" t="s">
        <v>99</v>
      </c>
      <c r="B70" s="200">
        <f t="shared" si="2"/>
        <v>0.00969590739736092</v>
      </c>
      <c r="C70" s="206">
        <f t="shared" si="3"/>
        <v>0.47444181931256946</v>
      </c>
      <c r="D70" s="213">
        <v>-20</v>
      </c>
      <c r="E70" s="217">
        <f>D70</f>
        <v>-20</v>
      </c>
      <c r="G70" s="23"/>
      <c r="H70" s="23"/>
      <c r="I70" s="23"/>
      <c r="J70" s="163"/>
      <c r="K70" s="20"/>
      <c r="U70" s="126"/>
      <c r="V70" s="19"/>
      <c r="W70" s="19"/>
      <c r="X70" s="19"/>
      <c r="Y70" s="19"/>
      <c r="Z70" s="19"/>
    </row>
    <row r="71" spans="1:26" ht="12.75" customHeight="1">
      <c r="A71" s="117" t="s">
        <v>100</v>
      </c>
      <c r="B71" s="200">
        <f t="shared" si="2"/>
        <v>0.00969590739736092</v>
      </c>
      <c r="C71" s="206">
        <f t="shared" si="3"/>
        <v>0.47444181931256946</v>
      </c>
      <c r="D71" s="214">
        <v>-15.5</v>
      </c>
      <c r="E71" s="217">
        <f>D71</f>
        <v>-15.5</v>
      </c>
      <c r="G71" s="160"/>
      <c r="H71" s="160"/>
      <c r="I71" s="160"/>
      <c r="J71" s="19"/>
      <c r="K71" s="160"/>
      <c r="U71" s="126"/>
      <c r="V71" s="19"/>
      <c r="W71" s="19"/>
      <c r="X71" s="19"/>
      <c r="Y71" s="19"/>
      <c r="Z71" s="19"/>
    </row>
    <row r="72" spans="1:26" ht="12.75" customHeight="1">
      <c r="A72" s="117" t="s">
        <v>102</v>
      </c>
      <c r="B72" s="200">
        <f t="shared" si="2"/>
        <v>0.00969590739736092</v>
      </c>
      <c r="C72" s="206">
        <f t="shared" si="3"/>
        <v>0.47444181931256946</v>
      </c>
      <c r="D72" s="214"/>
      <c r="E72" s="217"/>
      <c r="G72" s="160"/>
      <c r="H72" s="160"/>
      <c r="I72" s="160"/>
      <c r="J72" s="19"/>
      <c r="K72" s="160"/>
      <c r="U72" s="126"/>
      <c r="V72" s="19"/>
      <c r="W72" s="19"/>
      <c r="X72" s="19"/>
      <c r="Y72" s="19"/>
      <c r="Z72" s="19"/>
    </row>
    <row r="73" spans="1:26" ht="12.75" customHeight="1">
      <c r="A73" s="117" t="s">
        <v>70</v>
      </c>
      <c r="B73" s="200">
        <f t="shared" si="2"/>
        <v>0.00969590739736092</v>
      </c>
      <c r="C73" s="206">
        <f t="shared" si="3"/>
        <v>0.47444181931256946</v>
      </c>
      <c r="D73" s="214"/>
      <c r="E73" s="217"/>
      <c r="G73" s="160"/>
      <c r="H73" s="160"/>
      <c r="I73" s="160"/>
      <c r="J73" s="19"/>
      <c r="K73" s="160"/>
      <c r="U73" s="126"/>
      <c r="V73" s="19"/>
      <c r="W73" s="19"/>
      <c r="X73" s="19"/>
      <c r="Y73" s="19"/>
      <c r="Z73" s="19"/>
    </row>
    <row r="74" spans="1:26" ht="12.75" customHeight="1">
      <c r="A74" s="252" t="s">
        <v>71</v>
      </c>
      <c r="B74" s="200">
        <f t="shared" si="2"/>
        <v>0.00969590739736092</v>
      </c>
      <c r="C74" s="206">
        <f t="shared" si="3"/>
        <v>0.47444181931256946</v>
      </c>
      <c r="D74" s="214"/>
      <c r="E74" s="220"/>
      <c r="G74" s="160"/>
      <c r="H74" s="160"/>
      <c r="I74" s="160"/>
      <c r="J74" s="19"/>
      <c r="K74" s="160"/>
      <c r="U74" s="126"/>
      <c r="V74" s="19"/>
      <c r="W74" s="19"/>
      <c r="X74" s="19"/>
      <c r="Y74" s="19"/>
      <c r="Z74" s="19"/>
    </row>
    <row r="75" spans="1:26" ht="12.75" customHeight="1">
      <c r="A75" s="117" t="s">
        <v>72</v>
      </c>
      <c r="B75" s="199">
        <f>$C$42*$C$61</f>
        <v>0.00969590739736092</v>
      </c>
      <c r="C75" s="192">
        <f>$C$41/$C$61</f>
        <v>0.47444181931256946</v>
      </c>
      <c r="D75" s="215">
        <v>1</v>
      </c>
      <c r="E75" s="217">
        <f>D75-10*LOG10(30%)-10*LOG10($B$6/0.02)</f>
        <v>-18.542425094393252</v>
      </c>
      <c r="G75" s="23"/>
      <c r="H75" s="23"/>
      <c r="I75" s="23"/>
      <c r="J75" s="19"/>
      <c r="K75" s="23"/>
      <c r="U75" s="126"/>
      <c r="V75" s="19"/>
      <c r="W75" s="19"/>
      <c r="X75" s="19"/>
      <c r="Y75" s="19"/>
      <c r="Z75" s="19"/>
    </row>
    <row r="76" spans="1:26" ht="12.75" customHeight="1" thickBot="1">
      <c r="A76" s="128" t="s">
        <v>73</v>
      </c>
      <c r="B76" s="200">
        <f>$C$42*$C$61</f>
        <v>0.00969590739736092</v>
      </c>
      <c r="C76" s="161">
        <f>$C$41/$C$61</f>
        <v>0.47444181931256946</v>
      </c>
      <c r="D76" s="216">
        <v>4.5</v>
      </c>
      <c r="E76" s="219">
        <f>D76-10*LOG10(10%)-10*LOG10($B$6/0.02)</f>
        <v>-10.271212547196626</v>
      </c>
      <c r="G76" s="72"/>
      <c r="H76" s="72"/>
      <c r="I76" s="72"/>
      <c r="J76" s="19"/>
      <c r="K76" s="23"/>
      <c r="U76" s="126"/>
      <c r="V76" s="19"/>
      <c r="W76" s="19"/>
      <c r="X76" s="19"/>
      <c r="Y76" s="19"/>
      <c r="Z76" s="19"/>
    </row>
    <row r="77" spans="1:26" ht="12.75" customHeight="1">
      <c r="A77" s="128" t="s">
        <v>74</v>
      </c>
      <c r="B77" s="199">
        <f>$D$42*$C$61</f>
        <v>0.00969590739736092</v>
      </c>
      <c r="C77" s="164">
        <f>$D$41/$C$61</f>
        <v>0.47444181931256946</v>
      </c>
      <c r="D77" s="165">
        <v>5</v>
      </c>
      <c r="E77" s="166"/>
      <c r="G77" s="72"/>
      <c r="H77" s="72"/>
      <c r="I77" s="72"/>
      <c r="J77" s="167"/>
      <c r="K77" s="23"/>
      <c r="U77" s="126"/>
      <c r="V77" s="19"/>
      <c r="W77" s="19"/>
      <c r="X77" s="19"/>
      <c r="Y77" s="19"/>
      <c r="Z77" s="19"/>
    </row>
    <row r="78" spans="1:26" ht="12.75">
      <c r="A78" s="117" t="s">
        <v>75</v>
      </c>
      <c r="B78" s="199">
        <f>$E$42*$C$61</f>
        <v>0.00969590739736092</v>
      </c>
      <c r="C78" s="164">
        <f>$E$41/$C$61</f>
        <v>0.47444181931256946</v>
      </c>
      <c r="D78" s="165">
        <v>5</v>
      </c>
      <c r="E78" s="32"/>
      <c r="G78" s="72"/>
      <c r="H78" s="72"/>
      <c r="I78" s="72"/>
      <c r="J78" s="19"/>
      <c r="K78" s="23"/>
      <c r="U78" s="19"/>
      <c r="V78" s="19"/>
      <c r="W78" s="19"/>
      <c r="X78" s="19"/>
      <c r="Y78" s="19"/>
      <c r="Z78" s="19"/>
    </row>
    <row r="79" spans="1:26" ht="14.25" customHeight="1" thickBot="1">
      <c r="A79" s="144" t="s">
        <v>76</v>
      </c>
      <c r="B79" s="201">
        <f>$E$42*$C$61</f>
        <v>0.00969590739736092</v>
      </c>
      <c r="C79" s="193">
        <f>$E$41/$C$61</f>
        <v>0.47444181931256946</v>
      </c>
      <c r="D79" s="168">
        <v>7</v>
      </c>
      <c r="E79" s="32"/>
      <c r="G79" s="72"/>
      <c r="H79" s="72"/>
      <c r="I79" s="72"/>
      <c r="J79" s="19"/>
      <c r="K79" s="23"/>
      <c r="U79" s="19"/>
      <c r="V79" s="19"/>
      <c r="W79" s="19"/>
      <c r="X79" s="19"/>
      <c r="Y79" s="19"/>
      <c r="Z79" s="19"/>
    </row>
    <row r="80" spans="1:26" ht="13.5" customHeight="1">
      <c r="A80" s="23"/>
      <c r="B80" s="72"/>
      <c r="C80" s="72"/>
      <c r="D80" s="72"/>
      <c r="E80" s="72"/>
      <c r="F80" s="72"/>
      <c r="G80" s="72"/>
      <c r="H80" s="72"/>
      <c r="I80" s="72"/>
      <c r="J80" s="19"/>
      <c r="K80" s="23"/>
      <c r="L80" s="72"/>
      <c r="M80" s="72"/>
      <c r="N80" s="98"/>
      <c r="O80" s="19"/>
      <c r="P80" s="19"/>
      <c r="Q80" s="19"/>
      <c r="R80" s="19"/>
      <c r="S80" s="19"/>
      <c r="T80" s="19"/>
      <c r="U80" s="19"/>
      <c r="V80" s="19"/>
      <c r="W80" s="19"/>
      <c r="X80" s="19"/>
      <c r="Y80" s="19"/>
      <c r="Z80" s="19"/>
    </row>
    <row r="81" spans="1:26" s="110" customFormat="1" ht="39.75" customHeight="1" thickBot="1">
      <c r="A81" s="107" t="s">
        <v>58</v>
      </c>
      <c r="B81" s="108" t="s">
        <v>59</v>
      </c>
      <c r="C81" s="108" t="s">
        <v>60</v>
      </c>
      <c r="D81" s="108" t="s">
        <v>61</v>
      </c>
      <c r="E81" s="108" t="s">
        <v>81</v>
      </c>
      <c r="F81" s="109" t="s">
        <v>64</v>
      </c>
      <c r="G81" s="108" t="s">
        <v>65</v>
      </c>
      <c r="H81" s="262" t="s">
        <v>66</v>
      </c>
      <c r="I81" s="262"/>
      <c r="J81" s="109" t="s">
        <v>82</v>
      </c>
      <c r="O81" s="105"/>
      <c r="P81" s="169"/>
      <c r="Q81" s="156"/>
      <c r="R81" s="19"/>
      <c r="S81" s="19"/>
      <c r="T81" s="19"/>
      <c r="U81" s="19"/>
      <c r="V81" s="19"/>
      <c r="W81" s="19"/>
      <c r="X81" s="19"/>
      <c r="Y81" s="19"/>
      <c r="Z81" s="19"/>
    </row>
    <row r="82" spans="1:17" ht="12.75">
      <c r="A82" s="111" t="s">
        <v>67</v>
      </c>
      <c r="B82" s="112">
        <f>B29</f>
        <v>-22.248983506565885</v>
      </c>
      <c r="C82" s="112">
        <v>0</v>
      </c>
      <c r="D82" s="113">
        <f aca="true" t="shared" si="4" ref="D82:D95">B82-C82</f>
        <v>-22.248983506565885</v>
      </c>
      <c r="E82" s="170">
        <f aca="true" t="shared" si="5" ref="E82:E87">D66</f>
        <v>5</v>
      </c>
      <c r="F82" s="223">
        <f>10^((E82-D82)/5)</f>
        <v>281706.391965912</v>
      </c>
      <c r="G82" s="221">
        <f>ROUNDUP(F82,0)/($B$6*1000)</f>
        <v>46.951166666666666</v>
      </c>
      <c r="H82" s="110"/>
      <c r="I82" s="110"/>
      <c r="J82" s="171">
        <f>4.5*684/286</f>
        <v>10.762237762237762</v>
      </c>
      <c r="O82" s="19"/>
      <c r="P82" s="19"/>
      <c r="Q82" s="19"/>
    </row>
    <row r="83" spans="1:16" ht="12.75">
      <c r="A83" s="117" t="s">
        <v>69</v>
      </c>
      <c r="B83" s="118">
        <f>B$29-11.2+10*LOG10(B6/0.01)</f>
        <v>-5.667471002729446</v>
      </c>
      <c r="C83" s="118">
        <f>(4.5-1.3)*NORMSINV($C$96)</f>
        <v>5.263529601506889</v>
      </c>
      <c r="D83" s="153">
        <f t="shared" si="4"/>
        <v>-10.931000604236335</v>
      </c>
      <c r="E83" s="72">
        <f t="shared" si="5"/>
        <v>5</v>
      </c>
      <c r="F83" s="74">
        <f>10^((E83-D83)/5)</f>
        <v>1535.3242900105354</v>
      </c>
      <c r="G83" s="243">
        <f>ROUNDUP(F83,0)/(0.01*1000)</f>
        <v>153.6</v>
      </c>
      <c r="H83" s="237"/>
      <c r="I83" s="72"/>
      <c r="J83" s="174" t="s">
        <v>83</v>
      </c>
      <c r="O83" s="175"/>
      <c r="P83" s="175"/>
    </row>
    <row r="84" spans="1:16" ht="12.75">
      <c r="A84" s="117" t="s">
        <v>87</v>
      </c>
      <c r="B84" s="118">
        <f>B29</f>
        <v>-22.248983506565885</v>
      </c>
      <c r="C84" s="118">
        <f>(4.5-1.3)*NORMSINV($C$96)</f>
        <v>5.263529601506889</v>
      </c>
      <c r="D84" s="153">
        <f t="shared" si="4"/>
        <v>-27.512513108072774</v>
      </c>
      <c r="E84" s="72">
        <f t="shared" si="5"/>
        <v>18</v>
      </c>
      <c r="F84" s="74">
        <f>10^((E84-D84)/10)</f>
        <v>35583.71693482518</v>
      </c>
      <c r="G84" s="243">
        <f>ROUNDUP(F84,0)/($B$6*1000)</f>
        <v>5.930666666666666</v>
      </c>
      <c r="H84" s="238"/>
      <c r="I84" s="72"/>
      <c r="J84" s="72"/>
      <c r="O84" s="175"/>
      <c r="P84" s="175"/>
    </row>
    <row r="85" spans="1:26" ht="12.75" customHeight="1">
      <c r="A85" s="117" t="s">
        <v>101</v>
      </c>
      <c r="B85" s="118">
        <f>B29</f>
        <v>-22.248983506565885</v>
      </c>
      <c r="C85" s="122">
        <f>C82</f>
        <v>0</v>
      </c>
      <c r="D85" s="153">
        <f t="shared" si="4"/>
        <v>-22.248983506565885</v>
      </c>
      <c r="E85" s="172">
        <f t="shared" si="5"/>
        <v>1</v>
      </c>
      <c r="F85" s="224">
        <f>10^((E85-D85)/10)</f>
        <v>211.29944223768192</v>
      </c>
      <c r="G85" s="173">
        <f>ROUNDUP(F85,0)*(4/$J$82)/1000</f>
        <v>0.07879402209226771</v>
      </c>
      <c r="H85" s="124">
        <f>(ROUNDUP(F85,0)*832/$J$82+4/$J$82)/1000</f>
        <v>16.389528265107216</v>
      </c>
      <c r="I85" s="176" t="s">
        <v>68</v>
      </c>
      <c r="O85" s="175"/>
      <c r="P85" s="175"/>
      <c r="R85" s="126"/>
      <c r="S85" s="126"/>
      <c r="T85" s="126"/>
      <c r="U85" s="126"/>
      <c r="V85" s="19"/>
      <c r="W85" s="19"/>
      <c r="X85" s="19"/>
      <c r="Y85" s="19"/>
      <c r="Z85" s="19"/>
    </row>
    <row r="86" spans="1:17" ht="12.75">
      <c r="A86" s="117" t="s">
        <v>99</v>
      </c>
      <c r="B86" s="118">
        <f>B29</f>
        <v>-22.248983506565885</v>
      </c>
      <c r="C86" s="122">
        <f>C82</f>
        <v>0</v>
      </c>
      <c r="D86" s="153">
        <f t="shared" si="4"/>
        <v>-22.248983506565885</v>
      </c>
      <c r="E86" s="172">
        <f t="shared" si="5"/>
        <v>-20</v>
      </c>
      <c r="F86" s="224">
        <f>10^((E86-D86)/10)</f>
        <v>1.678411129508832</v>
      </c>
      <c r="G86" s="173">
        <f>ROUNDUP(F86,0)*(511/$J$82)/1000</f>
        <v>0.09496166341780378</v>
      </c>
      <c r="H86" s="127">
        <f>(ROUNDUP(F86,0)*(313*832/$J$82)+511/$J$82)/1000</f>
        <v>48.44187719298247</v>
      </c>
      <c r="I86" s="177" t="s">
        <v>68</v>
      </c>
      <c r="O86" s="19"/>
      <c r="P86" s="178"/>
      <c r="Q86" s="19"/>
    </row>
    <row r="87" spans="1:16" ht="12.75">
      <c r="A87" s="117" t="s">
        <v>100</v>
      </c>
      <c r="B87" s="118">
        <f>B29</f>
        <v>-22.248983506565885</v>
      </c>
      <c r="C87" s="118">
        <f>C82</f>
        <v>0</v>
      </c>
      <c r="D87" s="153">
        <f t="shared" si="4"/>
        <v>-22.248983506565885</v>
      </c>
      <c r="E87" s="172">
        <f t="shared" si="5"/>
        <v>-15.5</v>
      </c>
      <c r="F87" s="224">
        <f>10^((E87-D87)/10)</f>
        <v>4.730405279051984</v>
      </c>
      <c r="G87" s="173">
        <f>ROUNDUP(F87,0)*(3*63/$J$82)/1000</f>
        <v>0.08780701754385965</v>
      </c>
      <c r="H87" s="134">
        <f>(ROUNDUP(F87,0)*(313*832/$J$82)+3*63/$J$82)/1000</f>
        <v>121.00355230669268</v>
      </c>
      <c r="I87" s="179" t="s">
        <v>68</v>
      </c>
      <c r="O87" s="175"/>
      <c r="P87" s="175"/>
    </row>
    <row r="88" spans="1:16" ht="12.75">
      <c r="A88" s="117" t="s">
        <v>102</v>
      </c>
      <c r="B88" s="118">
        <f>B29</f>
        <v>-22.248983506565885</v>
      </c>
      <c r="C88" s="254">
        <f>C82</f>
        <v>0</v>
      </c>
      <c r="D88" s="153">
        <f t="shared" si="4"/>
        <v>-22.248983506565885</v>
      </c>
      <c r="E88" s="172"/>
      <c r="F88" s="224"/>
      <c r="G88" s="173"/>
      <c r="H88" s="253"/>
      <c r="I88" s="72"/>
      <c r="O88" s="175"/>
      <c r="P88" s="175"/>
    </row>
    <row r="89" spans="1:16" ht="12.75">
      <c r="A89" s="251" t="s">
        <v>70</v>
      </c>
      <c r="B89" s="118">
        <f>B29</f>
        <v>-22.248983506565885</v>
      </c>
      <c r="C89" s="118">
        <f>C82</f>
        <v>0</v>
      </c>
      <c r="D89" s="153">
        <f t="shared" si="4"/>
        <v>-22.248983506565885</v>
      </c>
      <c r="E89" s="172"/>
      <c r="F89" s="224"/>
      <c r="G89" s="173"/>
      <c r="H89" s="253"/>
      <c r="I89" s="72"/>
      <c r="O89" s="175"/>
      <c r="P89" s="175"/>
    </row>
    <row r="90" spans="1:16" ht="12.75">
      <c r="A90" s="252" t="s">
        <v>71</v>
      </c>
      <c r="B90" s="118">
        <f>B29</f>
        <v>-22.248983506565885</v>
      </c>
      <c r="C90" s="118">
        <f>C82</f>
        <v>0</v>
      </c>
      <c r="D90" s="153">
        <f t="shared" si="4"/>
        <v>-22.248983506565885</v>
      </c>
      <c r="E90" s="172"/>
      <c r="F90" s="225"/>
      <c r="G90" s="235"/>
      <c r="H90" s="253"/>
      <c r="I90" s="72"/>
      <c r="O90" s="175"/>
      <c r="P90" s="175"/>
    </row>
    <row r="91" spans="1:16" ht="13.5" customHeight="1">
      <c r="A91" s="117" t="s">
        <v>72</v>
      </c>
      <c r="B91" s="202">
        <f>C$29+10*LOG10(30%)+10*LOG10(B6/0.02)</f>
        <v>19.293441587827367</v>
      </c>
      <c r="C91" s="135">
        <f>(4-1.3)*NORMSINV($C$96)</f>
        <v>4.4411031012714375</v>
      </c>
      <c r="D91" s="180">
        <f t="shared" si="4"/>
        <v>14.85233848655593</v>
      </c>
      <c r="E91" s="181">
        <f>D75</f>
        <v>1</v>
      </c>
      <c r="F91" s="228">
        <f>10^((E91-D91)/5)</f>
        <v>0.0016964157764467259</v>
      </c>
      <c r="G91" s="137">
        <f>ROUNDUP(F91*$C$6/0.02,0)/($C$6*1000)</f>
        <v>0.00016666666666666666</v>
      </c>
      <c r="H91" s="72"/>
      <c r="I91" s="72"/>
      <c r="O91" s="175"/>
      <c r="P91" s="175"/>
    </row>
    <row r="92" spans="1:16" ht="12.75" customHeight="1">
      <c r="A92" s="128" t="s">
        <v>73</v>
      </c>
      <c r="B92" s="129">
        <f>C$29+10*LOG10(10%)+10*LOG10(B6/0.02)</f>
        <v>14.52222904063074</v>
      </c>
      <c r="C92" s="138">
        <f>(4-1.3)*NORMSINV($C$96)</f>
        <v>4.4411031012714375</v>
      </c>
      <c r="D92" s="130">
        <f t="shared" si="4"/>
        <v>10.081125939359303</v>
      </c>
      <c r="E92" s="182">
        <f>D76</f>
        <v>4.5</v>
      </c>
      <c r="F92" s="228">
        <f>10^((E92-D92)/5)</f>
        <v>0.07651997370710965</v>
      </c>
      <c r="G92" s="137">
        <f>ROUNDUP(F92*$C$6/0.02,0)/($C$6*1000)</f>
        <v>0.003833333333333333</v>
      </c>
      <c r="H92" s="19"/>
      <c r="I92" s="19"/>
      <c r="O92" s="175"/>
      <c r="P92" s="175"/>
    </row>
    <row r="93" spans="1:16" ht="12.75">
      <c r="A93" s="128" t="s">
        <v>74</v>
      </c>
      <c r="B93" s="118">
        <f>D29</f>
        <v>1.5222290406307408</v>
      </c>
      <c r="C93" s="138">
        <f>(2.5-1.3)*NORMSINV($C$96)</f>
        <v>1.9738236005650833</v>
      </c>
      <c r="D93" s="153">
        <f t="shared" si="4"/>
        <v>-0.4515945599343425</v>
      </c>
      <c r="E93" s="172">
        <f>D77</f>
        <v>5</v>
      </c>
      <c r="F93" s="226">
        <f>10^((E93-D93)/5)</f>
        <v>12.311725160000064</v>
      </c>
      <c r="G93" s="142">
        <f>ROUNDUP(F93,0)/($D$6*1000)</f>
        <v>0.065</v>
      </c>
      <c r="H93" s="175"/>
      <c r="I93" s="175"/>
      <c r="O93" s="175"/>
      <c r="P93" s="175"/>
    </row>
    <row r="94" spans="1:16" ht="12.75">
      <c r="A94" s="117" t="s">
        <v>75</v>
      </c>
      <c r="B94" s="202">
        <f>E29</f>
        <v>1.5325289972705534</v>
      </c>
      <c r="C94" s="122">
        <f>(4.5-1.3)*NORMSINV($C$96)</f>
        <v>5.263529601506889</v>
      </c>
      <c r="D94" s="180">
        <f t="shared" si="4"/>
        <v>-3.7310006042363355</v>
      </c>
      <c r="E94" s="181">
        <f>D78</f>
        <v>5</v>
      </c>
      <c r="F94" s="224">
        <f>10^((E94-D94)/5)</f>
        <v>55.74425566583118</v>
      </c>
      <c r="G94" s="120">
        <f>ROUNDUP(F94,0)/($E$6*1000)</f>
        <v>5.6</v>
      </c>
      <c r="H94" s="175"/>
      <c r="I94" s="175"/>
      <c r="O94" s="175"/>
      <c r="P94" s="175"/>
    </row>
    <row r="95" spans="1:16" ht="13.5" thickBot="1">
      <c r="A95" s="144" t="s">
        <v>76</v>
      </c>
      <c r="B95" s="147">
        <f>E29</f>
        <v>1.5325289972705534</v>
      </c>
      <c r="C95" s="145">
        <f>(4.5-1.3)*NORMSINV($C$96)</f>
        <v>5.263529601506889</v>
      </c>
      <c r="D95" s="183">
        <f t="shared" si="4"/>
        <v>-3.7310006042363355</v>
      </c>
      <c r="E95" s="184">
        <f>D79</f>
        <v>7</v>
      </c>
      <c r="F95" s="227">
        <f>10^((E95-D95)/10)</f>
        <v>11.83314157109609</v>
      </c>
      <c r="G95" s="149">
        <f>ROUNDUP(F95,0)/($E$6*1000)</f>
        <v>1.2</v>
      </c>
      <c r="H95" s="175"/>
      <c r="I95" s="175"/>
      <c r="O95" s="175"/>
      <c r="P95" s="175"/>
    </row>
    <row r="96" spans="1:16" ht="12.75">
      <c r="A96" s="175"/>
      <c r="B96" s="151" t="s">
        <v>77</v>
      </c>
      <c r="C96" s="152">
        <f>$C$61</f>
        <v>0.95</v>
      </c>
      <c r="D96" s="175"/>
      <c r="E96" s="175"/>
      <c r="F96" s="175"/>
      <c r="G96" s="175"/>
      <c r="H96" s="175"/>
      <c r="I96" s="175"/>
      <c r="J96" s="23"/>
      <c r="K96" s="20"/>
      <c r="L96" s="154"/>
      <c r="M96" s="155"/>
      <c r="N96" s="98"/>
      <c r="O96" s="175"/>
      <c r="P96" s="175"/>
    </row>
    <row r="97" spans="8:17" ht="12.75">
      <c r="H97" s="194"/>
      <c r="J97" s="175"/>
      <c r="K97" s="175"/>
      <c r="L97" s="175"/>
      <c r="M97" s="175"/>
      <c r="N97" s="185"/>
      <c r="O97" s="175"/>
      <c r="P97" s="175"/>
      <c r="Q97" s="175"/>
    </row>
    <row r="98" spans="8:17" ht="12.75">
      <c r="H98" s="194"/>
      <c r="J98" s="175"/>
      <c r="K98" s="175"/>
      <c r="L98" s="175"/>
      <c r="M98" s="175"/>
      <c r="N98" s="185"/>
      <c r="O98" s="175"/>
      <c r="P98" s="175"/>
      <c r="Q98" s="175"/>
    </row>
    <row r="99" spans="10:17" ht="12.75">
      <c r="J99" s="175"/>
      <c r="K99" s="175"/>
      <c r="L99" s="175"/>
      <c r="M99" s="175"/>
      <c r="N99" s="185"/>
      <c r="O99" s="175"/>
      <c r="P99" s="175"/>
      <c r="Q99" s="175"/>
    </row>
    <row r="100" ht="12.75"/>
    <row r="101" ht="12.75"/>
    <row r="102" ht="12.75"/>
    <row r="103" ht="12.75"/>
    <row r="104" ht="12.75"/>
    <row r="105" ht="12.75"/>
    <row r="106" ht="12.75"/>
    <row r="108" ht="12.75"/>
    <row r="110" ht="12.75"/>
  </sheetData>
  <mergeCells count="20">
    <mergeCell ref="H46:I46"/>
    <mergeCell ref="B17:E17"/>
    <mergeCell ref="A1:H1"/>
    <mergeCell ref="B19:E19"/>
    <mergeCell ref="B27:E27"/>
    <mergeCell ref="B26:E26"/>
    <mergeCell ref="B25:E25"/>
    <mergeCell ref="B24:E24"/>
    <mergeCell ref="B23:E23"/>
    <mergeCell ref="B22:E22"/>
    <mergeCell ref="A64:E64"/>
    <mergeCell ref="A45:E45"/>
    <mergeCell ref="H81:I81"/>
    <mergeCell ref="B18:E18"/>
    <mergeCell ref="B20:E20"/>
    <mergeCell ref="B21:E21"/>
    <mergeCell ref="B28:E28"/>
    <mergeCell ref="B36:D36"/>
    <mergeCell ref="B40:D40"/>
    <mergeCell ref="D65:E65"/>
  </mergeCells>
  <printOptions/>
  <pageMargins left="0.75" right="0.75" top="1" bottom="1" header="0.5" footer="0.5"/>
  <pageSetup horizontalDpi="600" verticalDpi="600" orientation="portrait" r:id="rId4"/>
  <ignoredErrors>
    <ignoredError sqref="G48 G77"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Z139"/>
  <sheetViews>
    <sheetView zoomScale="75" zoomScaleNormal="75" workbookViewId="0" topLeftCell="A1">
      <selection activeCell="I2" sqref="I2"/>
    </sheetView>
  </sheetViews>
  <sheetFormatPr defaultColWidth="9.140625" defaultRowHeight="12.75"/>
  <cols>
    <col min="1" max="1" width="42.57421875" style="13" customWidth="1"/>
    <col min="2" max="2" width="10.140625" style="13" customWidth="1"/>
    <col min="3" max="3" width="10.57421875" style="13" customWidth="1"/>
    <col min="4" max="4" width="10.28125" style="13" customWidth="1"/>
    <col min="5" max="5" width="10.57421875" style="13" customWidth="1"/>
    <col min="6" max="6" width="10.421875" style="13" customWidth="1"/>
    <col min="7" max="7" width="8.8515625" style="13" customWidth="1"/>
    <col min="8" max="9" width="10.00390625" style="13" customWidth="1"/>
    <col min="10" max="11" width="11.00390625" style="13" customWidth="1"/>
    <col min="12" max="12" width="5.140625" style="13" customWidth="1"/>
    <col min="13" max="13" width="10.140625" style="13" customWidth="1"/>
    <col min="14" max="14" width="11.421875" style="14" customWidth="1"/>
    <col min="15" max="15" width="7.57421875" style="13" customWidth="1"/>
    <col min="16" max="16" width="8.8515625" style="13" customWidth="1"/>
    <col min="17" max="21" width="7.57421875" style="13" customWidth="1"/>
    <col min="22" max="22" width="10.28125" style="13" customWidth="1"/>
    <col min="23" max="26" width="7.57421875" style="13" customWidth="1"/>
    <col min="27" max="16384" width="9.140625" style="13" customWidth="1"/>
  </cols>
  <sheetData>
    <row r="1" spans="1:10" ht="28.5" customHeight="1">
      <c r="A1" s="283" t="s">
        <v>27</v>
      </c>
      <c r="B1" s="283"/>
      <c r="C1" s="283"/>
      <c r="D1" s="283"/>
      <c r="E1" s="283"/>
      <c r="F1" s="283"/>
      <c r="G1" s="283"/>
      <c r="H1" s="283"/>
      <c r="I1" s="11"/>
      <c r="J1" s="12"/>
    </row>
    <row r="2" spans="1:10" ht="13.5" customHeight="1">
      <c r="A2" s="12"/>
      <c r="B2" s="12"/>
      <c r="C2" s="12"/>
      <c r="D2" s="12"/>
      <c r="E2" s="12"/>
      <c r="F2" s="12"/>
      <c r="G2" s="12"/>
      <c r="H2" s="12"/>
      <c r="I2" s="12"/>
      <c r="J2" s="12"/>
    </row>
    <row r="3" spans="1:10" ht="13.5" customHeight="1" thickBot="1">
      <c r="A3" s="333" t="s">
        <v>110</v>
      </c>
      <c r="B3" s="333"/>
      <c r="C3" s="333"/>
      <c r="D3" s="333"/>
      <c r="E3" s="333"/>
      <c r="F3" s="333"/>
      <c r="G3" s="333"/>
      <c r="H3" s="333"/>
      <c r="I3" s="12"/>
      <c r="J3" s="12"/>
    </row>
    <row r="4" spans="1:10" ht="13.5" customHeight="1">
      <c r="A4" s="25" t="s">
        <v>35</v>
      </c>
      <c r="B4" s="26">
        <f>B30</f>
        <v>-116</v>
      </c>
      <c r="C4" s="26">
        <f aca="true" t="shared" si="0" ref="C4:H4">C30</f>
        <v>-112.5</v>
      </c>
      <c r="D4" s="26">
        <f t="shared" si="0"/>
        <v>-109</v>
      </c>
      <c r="E4" s="26">
        <f t="shared" si="0"/>
        <v>-104.82</v>
      </c>
      <c r="F4" s="26">
        <f t="shared" si="0"/>
        <v>-99.08</v>
      </c>
      <c r="G4" s="26">
        <f t="shared" si="0"/>
        <v>-95.74</v>
      </c>
      <c r="H4" s="327">
        <f>H30</f>
        <v>-92.03</v>
      </c>
      <c r="I4" s="12"/>
      <c r="J4" s="12"/>
    </row>
    <row r="5" spans="1:11" ht="13.5" customHeight="1" thickBot="1">
      <c r="A5" s="328" t="s">
        <v>108</v>
      </c>
      <c r="B5" s="317">
        <f>B40</f>
        <v>0.9999934529366782</v>
      </c>
      <c r="C5" s="318">
        <f aca="true" t="shared" si="1" ref="C5:H5">C40</f>
        <v>0.9999012752450184</v>
      </c>
      <c r="D5" s="303">
        <f t="shared" si="1"/>
        <v>0.9989854784360485</v>
      </c>
      <c r="E5" s="303">
        <f t="shared" si="1"/>
        <v>0.9899898951201553</v>
      </c>
      <c r="F5" s="303">
        <f t="shared" si="1"/>
        <v>0.9001367715440094</v>
      </c>
      <c r="G5" s="303">
        <f t="shared" si="1"/>
        <v>0.7501809100752412</v>
      </c>
      <c r="H5" s="329">
        <f t="shared" si="1"/>
        <v>0.5002048498664098</v>
      </c>
      <c r="I5" s="335" t="s">
        <v>109</v>
      </c>
      <c r="J5" s="336"/>
      <c r="K5" s="339">
        <f>C79</f>
        <v>0.95</v>
      </c>
    </row>
    <row r="6" spans="1:10" ht="13.5" customHeight="1">
      <c r="A6" s="111" t="s">
        <v>67</v>
      </c>
      <c r="B6" s="326">
        <f>G73</f>
        <v>45.205666666666666</v>
      </c>
      <c r="C6" s="326">
        <f>G83</f>
        <v>9.0135</v>
      </c>
      <c r="D6" s="326">
        <f>G93</f>
        <v>1.7975</v>
      </c>
      <c r="E6" s="326">
        <f>G103</f>
        <v>0.2643333333333333</v>
      </c>
      <c r="F6" s="337">
        <f>G113</f>
        <v>0.021666666666666667</v>
      </c>
      <c r="G6" s="337">
        <f>G123</f>
        <v>0.006833333333333334</v>
      </c>
      <c r="H6" s="338">
        <f>G133</f>
        <v>0.005166666666666667</v>
      </c>
      <c r="I6" s="12"/>
      <c r="J6" s="12"/>
    </row>
    <row r="7" spans="1:8" ht="13.5" customHeight="1">
      <c r="A7" s="117" t="s">
        <v>69</v>
      </c>
      <c r="B7" s="326">
        <f>G74</f>
        <v>158.1</v>
      </c>
      <c r="C7" s="326">
        <f>G84</f>
        <v>31.4</v>
      </c>
      <c r="D7" s="326">
        <f>G94</f>
        <v>6.2</v>
      </c>
      <c r="E7" s="326">
        <f>G104</f>
        <v>0.9</v>
      </c>
      <c r="F7" s="326">
        <f>G104</f>
        <v>0.9</v>
      </c>
      <c r="G7" s="337">
        <f>G124</f>
        <v>0.1</v>
      </c>
      <c r="H7" s="338">
        <f>G134</f>
        <v>0.7</v>
      </c>
    </row>
    <row r="8" spans="1:10" ht="13.5" customHeight="1">
      <c r="A8" s="117" t="s">
        <v>87</v>
      </c>
      <c r="B8" s="326">
        <f>G75</f>
        <v>6.406</v>
      </c>
      <c r="C8" s="326">
        <f>G85</f>
        <v>2.861666666666667</v>
      </c>
      <c r="D8" s="326">
        <f>G95</f>
        <v>1.2798333333333334</v>
      </c>
      <c r="E8" s="326">
        <f>G105</f>
        <v>0.49483333333333335</v>
      </c>
      <c r="F8" s="326">
        <f>G105</f>
        <v>0.49483333333333335</v>
      </c>
      <c r="G8" s="337">
        <f>G125</f>
        <v>0.09233333333333334</v>
      </c>
      <c r="H8" s="338">
        <f>G135</f>
        <v>0.10266666666666667</v>
      </c>
      <c r="I8" s="12"/>
      <c r="J8" s="12"/>
    </row>
    <row r="9" spans="1:10" ht="13.5" customHeight="1">
      <c r="A9" s="117" t="s">
        <v>101</v>
      </c>
      <c r="B9" s="326">
        <f>H76</f>
        <v>15.693762183235869</v>
      </c>
      <c r="C9" s="326">
        <f>H86</f>
        <v>7.0353398310591295</v>
      </c>
      <c r="D9" s="326">
        <f>H96</f>
        <v>3.1699727095516574</v>
      </c>
      <c r="E9" s="326">
        <f>H106</f>
        <v>1.2372891487979207</v>
      </c>
      <c r="F9" s="326">
        <f>H106</f>
        <v>1.2372891487979207</v>
      </c>
      <c r="G9" s="326">
        <f>H126</f>
        <v>0.23229369720597792</v>
      </c>
      <c r="H9" s="330">
        <f>H136</f>
        <v>0.30960103963612734</v>
      </c>
      <c r="I9" s="12"/>
      <c r="J9" s="12"/>
    </row>
    <row r="10" spans="1:10" ht="13.5" customHeight="1">
      <c r="A10" s="117" t="s">
        <v>99</v>
      </c>
      <c r="B10" s="326">
        <f>H77</f>
        <v>48.44187719298247</v>
      </c>
      <c r="C10" s="326">
        <f>H87</f>
        <v>24.24467901234568</v>
      </c>
      <c r="D10" s="326">
        <f>H97</f>
        <v>24.24467901234568</v>
      </c>
      <c r="E10" s="326">
        <f>H107</f>
        <v>24.24467901234568</v>
      </c>
      <c r="F10" s="326">
        <f>H107</f>
        <v>24.24467901234568</v>
      </c>
      <c r="G10" s="326">
        <f>H127</f>
        <v>24.24467901234568</v>
      </c>
      <c r="H10" s="330">
        <f>H137</f>
        <v>24.24467901234568</v>
      </c>
      <c r="I10" s="12"/>
      <c r="J10" s="12"/>
    </row>
    <row r="11" spans="1:10" ht="13.5" customHeight="1" thickBot="1">
      <c r="A11" s="144" t="s">
        <v>100</v>
      </c>
      <c r="B11" s="331">
        <f>H78</f>
        <v>121.00355230669268</v>
      </c>
      <c r="C11" s="331">
        <f>H88</f>
        <v>48.41195776478233</v>
      </c>
      <c r="D11" s="331">
        <f>H98</f>
        <v>24.21475958414555</v>
      </c>
      <c r="E11" s="331">
        <f>H108</f>
        <v>24.21475958414555</v>
      </c>
      <c r="F11" s="331">
        <f>H108</f>
        <v>24.21475958414555</v>
      </c>
      <c r="G11" s="331">
        <f>H128</f>
        <v>24.21475958414555</v>
      </c>
      <c r="H11" s="332">
        <f>H138</f>
        <v>24.21475958414555</v>
      </c>
      <c r="I11" s="12"/>
      <c r="J11" s="12"/>
    </row>
    <row r="12" spans="1:10" ht="13.5" customHeight="1">
      <c r="A12" s="12"/>
      <c r="B12" s="12"/>
      <c r="C12" s="12"/>
      <c r="D12" s="12"/>
      <c r="E12" s="12"/>
      <c r="F12" s="12"/>
      <c r="G12" s="12"/>
      <c r="H12" s="12"/>
      <c r="I12" s="12"/>
      <c r="J12" s="12"/>
    </row>
    <row r="13" spans="1:10" ht="13.5" customHeight="1">
      <c r="A13" s="12"/>
      <c r="B13" s="12"/>
      <c r="C13" s="12"/>
      <c r="D13" s="12"/>
      <c r="E13" s="12"/>
      <c r="F13" s="12"/>
      <c r="G13" s="12"/>
      <c r="H13" s="12"/>
      <c r="I13" s="12"/>
      <c r="J13" s="12"/>
    </row>
    <row r="14" spans="1:11" ht="13.5" customHeight="1" thickBot="1">
      <c r="A14" s="333" t="s">
        <v>110</v>
      </c>
      <c r="B14" s="333"/>
      <c r="C14" s="333"/>
      <c r="D14" s="333"/>
      <c r="E14" s="333"/>
      <c r="F14" s="333"/>
      <c r="G14" s="333"/>
      <c r="H14" s="333"/>
      <c r="I14" s="334"/>
      <c r="J14" s="334"/>
      <c r="K14" s="340"/>
    </row>
    <row r="15" spans="1:11" ht="13.5" customHeight="1">
      <c r="A15" s="349" t="s">
        <v>35</v>
      </c>
      <c r="B15" s="350">
        <v>-116</v>
      </c>
      <c r="C15" s="350">
        <v>-112.5</v>
      </c>
      <c r="D15" s="350">
        <v>-109</v>
      </c>
      <c r="E15" s="350">
        <v>-104.82</v>
      </c>
      <c r="F15" s="350">
        <v>-99.08</v>
      </c>
      <c r="G15" s="350">
        <v>-95.74</v>
      </c>
      <c r="H15" s="342">
        <v>-92.04</v>
      </c>
      <c r="I15" s="334"/>
      <c r="J15" s="334"/>
      <c r="K15" s="340"/>
    </row>
    <row r="16" spans="1:11" ht="13.5" customHeight="1" thickBot="1">
      <c r="A16" s="348" t="s">
        <v>108</v>
      </c>
      <c r="B16" s="317">
        <v>0.9999934529366782</v>
      </c>
      <c r="C16" s="353">
        <v>0.9999012752450184</v>
      </c>
      <c r="D16" s="303">
        <v>0.9989854784360485</v>
      </c>
      <c r="E16" s="303">
        <v>0.9899898951201553</v>
      </c>
      <c r="F16" s="303">
        <v>0.9001367715440094</v>
      </c>
      <c r="G16" s="303">
        <v>0.7501809100752412</v>
      </c>
      <c r="H16" s="355">
        <v>0.5009302031424225</v>
      </c>
      <c r="I16" s="341" t="s">
        <v>109</v>
      </c>
      <c r="J16" s="336"/>
      <c r="K16" s="339">
        <v>0.9</v>
      </c>
    </row>
    <row r="17" spans="1:11" ht="13.5" customHeight="1">
      <c r="A17" s="343" t="s">
        <v>67</v>
      </c>
      <c r="B17" s="351">
        <v>45.205666666666666</v>
      </c>
      <c r="C17" s="351">
        <v>9.0135</v>
      </c>
      <c r="D17" s="351">
        <v>1.7975</v>
      </c>
      <c r="E17" s="351">
        <v>0.2643333333333333</v>
      </c>
      <c r="F17" s="354">
        <v>0.021666666666666667</v>
      </c>
      <c r="G17" s="354">
        <v>0.006833333333333334</v>
      </c>
      <c r="H17" s="344">
        <v>0.005166666666666667</v>
      </c>
      <c r="I17" s="334"/>
      <c r="J17" s="334"/>
      <c r="K17" s="340"/>
    </row>
    <row r="18" spans="1:11" ht="13.5" customHeight="1">
      <c r="A18" s="356" t="s">
        <v>69</v>
      </c>
      <c r="B18" s="357">
        <v>100.2</v>
      </c>
      <c r="C18" s="357">
        <v>20</v>
      </c>
      <c r="D18" s="357">
        <v>4</v>
      </c>
      <c r="E18" s="357">
        <v>0.6</v>
      </c>
      <c r="F18" s="357">
        <v>0.6</v>
      </c>
      <c r="G18" s="358">
        <v>0.1</v>
      </c>
      <c r="H18" s="359">
        <v>2.8</v>
      </c>
      <c r="I18" s="334"/>
      <c r="J18" s="334"/>
      <c r="K18" s="340"/>
    </row>
    <row r="19" spans="1:11" ht="13.5" customHeight="1">
      <c r="A19" s="356" t="s">
        <v>87</v>
      </c>
      <c r="B19" s="357">
        <v>5.280833333333334</v>
      </c>
      <c r="C19" s="357">
        <v>2.359166666666667</v>
      </c>
      <c r="D19" s="357">
        <v>1.0551666666666666</v>
      </c>
      <c r="E19" s="357">
        <v>0.4081666666666667</v>
      </c>
      <c r="F19" s="357">
        <v>0.4081666666666667</v>
      </c>
      <c r="G19" s="358">
        <v>0.07766666666666666</v>
      </c>
      <c r="H19" s="359">
        <v>0.18466666666666667</v>
      </c>
      <c r="I19" s="334"/>
      <c r="J19" s="334"/>
      <c r="K19" s="340"/>
    </row>
    <row r="20" spans="1:11" ht="13.5" customHeight="1">
      <c r="A20" s="343" t="s">
        <v>101</v>
      </c>
      <c r="B20" s="351">
        <v>15.693762183235869</v>
      </c>
      <c r="C20" s="351">
        <v>7.0353398310591295</v>
      </c>
      <c r="D20" s="351">
        <v>3.1699727095516574</v>
      </c>
      <c r="E20" s="351">
        <v>1.2372891487979207</v>
      </c>
      <c r="F20" s="351">
        <v>1.2372891487979207</v>
      </c>
      <c r="G20" s="351">
        <v>0.23229369720597792</v>
      </c>
      <c r="H20" s="345">
        <v>0.30960103963612734</v>
      </c>
      <c r="I20" s="334"/>
      <c r="J20" s="334"/>
      <c r="K20" s="340"/>
    </row>
    <row r="21" spans="1:11" ht="13.5" customHeight="1">
      <c r="A21" s="343" t="s">
        <v>99</v>
      </c>
      <c r="B21" s="351">
        <v>48.44187719298247</v>
      </c>
      <c r="C21" s="351">
        <v>24.24467901234568</v>
      </c>
      <c r="D21" s="351">
        <v>24.24467901234568</v>
      </c>
      <c r="E21" s="351">
        <v>24.24467901234568</v>
      </c>
      <c r="F21" s="351">
        <v>24.24467901234568</v>
      </c>
      <c r="G21" s="351">
        <v>24.24467901234568</v>
      </c>
      <c r="H21" s="345">
        <v>24.24467901234568</v>
      </c>
      <c r="I21" s="334"/>
      <c r="J21" s="334"/>
      <c r="K21" s="340"/>
    </row>
    <row r="22" spans="1:11" ht="13.5" customHeight="1" thickBot="1">
      <c r="A22" s="346" t="s">
        <v>100</v>
      </c>
      <c r="B22" s="352">
        <v>121.00355230669268</v>
      </c>
      <c r="C22" s="352">
        <v>48.41195776478233</v>
      </c>
      <c r="D22" s="352">
        <v>24.21475958414555</v>
      </c>
      <c r="E22" s="352">
        <v>24.21475958414555</v>
      </c>
      <c r="F22" s="352">
        <v>24.21475958414555</v>
      </c>
      <c r="G22" s="352">
        <v>24.21475958414555</v>
      </c>
      <c r="H22" s="347">
        <v>24.21475958414555</v>
      </c>
      <c r="I22" s="334"/>
      <c r="J22" s="334"/>
      <c r="K22" s="340"/>
    </row>
    <row r="23" spans="1:10" ht="13.5" customHeight="1">
      <c r="A23" s="12"/>
      <c r="B23" s="12"/>
      <c r="C23" s="12"/>
      <c r="D23" s="12"/>
      <c r="E23" s="12"/>
      <c r="F23" s="12"/>
      <c r="G23" s="12"/>
      <c r="H23" s="12"/>
      <c r="I23" s="12"/>
      <c r="J23" s="12"/>
    </row>
    <row r="24" spans="1:10" ht="13.5" customHeight="1">
      <c r="A24" s="12"/>
      <c r="B24" s="12"/>
      <c r="C24" s="12"/>
      <c r="D24" s="12"/>
      <c r="E24" s="12"/>
      <c r="F24" s="12"/>
      <c r="G24" s="12"/>
      <c r="H24" s="12"/>
      <c r="I24" s="12"/>
      <c r="J24" s="12"/>
    </row>
    <row r="25" spans="1:10" ht="13.5" customHeight="1">
      <c r="A25" s="12"/>
      <c r="B25" s="12"/>
      <c r="C25" s="12"/>
      <c r="D25" s="12"/>
      <c r="E25" s="12"/>
      <c r="F25" s="12"/>
      <c r="G25" s="12"/>
      <c r="H25" s="12"/>
      <c r="I25" s="12"/>
      <c r="J25" s="12"/>
    </row>
    <row r="26" spans="1:10" ht="13.5" customHeight="1">
      <c r="A26" s="12"/>
      <c r="B26" s="12"/>
      <c r="C26" s="12"/>
      <c r="D26" s="12"/>
      <c r="E26" s="12"/>
      <c r="F26" s="12"/>
      <c r="G26" s="12"/>
      <c r="H26" s="12"/>
      <c r="I26" s="12"/>
      <c r="J26" s="12"/>
    </row>
    <row r="27" spans="1:26" ht="13.5" customHeight="1">
      <c r="A27" s="15" t="s">
        <v>28</v>
      </c>
      <c r="B27" s="16">
        <f>IF(AND(E27&gt;13,E27&lt;52),$E$27*6+389,"ERROR")</f>
        <v>617</v>
      </c>
      <c r="D27" s="17" t="s">
        <v>29</v>
      </c>
      <c r="E27" s="18">
        <v>38</v>
      </c>
      <c r="J27" s="19"/>
      <c r="K27" s="20"/>
      <c r="L27" s="20"/>
      <c r="M27" s="20"/>
      <c r="N27" s="21"/>
      <c r="O27" s="19"/>
      <c r="P27" s="19"/>
      <c r="Q27" s="19"/>
      <c r="R27" s="19"/>
      <c r="S27" s="19"/>
      <c r="T27" s="19"/>
      <c r="U27" s="19"/>
      <c r="V27" s="19"/>
      <c r="W27" s="19"/>
      <c r="X27" s="19"/>
      <c r="Y27" s="19"/>
      <c r="Z27" s="19"/>
    </row>
    <row r="28" spans="1:26" ht="13.5" customHeight="1">
      <c r="A28" s="15"/>
      <c r="B28" s="22"/>
      <c r="J28" s="19"/>
      <c r="K28" s="23"/>
      <c r="U28" s="24"/>
      <c r="V28" s="24"/>
      <c r="W28" s="24"/>
      <c r="X28" s="24"/>
      <c r="Y28" s="24"/>
      <c r="Z28" s="24"/>
    </row>
    <row r="29" spans="1:26" ht="13.5" customHeight="1" thickBot="1">
      <c r="A29" s="22" t="s">
        <v>30</v>
      </c>
      <c r="B29" s="298" t="s">
        <v>31</v>
      </c>
      <c r="C29" s="308"/>
      <c r="D29" s="308"/>
      <c r="E29" s="308"/>
      <c r="F29" s="308"/>
      <c r="G29" s="308"/>
      <c r="H29" s="309"/>
      <c r="J29" s="19"/>
      <c r="K29" s="23"/>
      <c r="U29" s="24"/>
      <c r="V29" s="24"/>
      <c r="W29" s="24"/>
      <c r="X29" s="24"/>
      <c r="Y29" s="24"/>
      <c r="Z29" s="24"/>
    </row>
    <row r="30" spans="1:26" ht="13.5" customHeight="1">
      <c r="A30" s="25" t="s">
        <v>35</v>
      </c>
      <c r="B30" s="31">
        <v>-116</v>
      </c>
      <c r="C30" s="31">
        <v>-112.5</v>
      </c>
      <c r="D30" s="31">
        <v>-109</v>
      </c>
      <c r="E30" s="31">
        <v>-104.82</v>
      </c>
      <c r="F30" s="31">
        <v>-99.08</v>
      </c>
      <c r="G30" s="31">
        <v>-95.74</v>
      </c>
      <c r="H30" s="31">
        <v>-92.03</v>
      </c>
      <c r="J30" s="19"/>
      <c r="K30" s="23"/>
      <c r="U30" s="24"/>
      <c r="V30" s="24"/>
      <c r="W30" s="24"/>
      <c r="X30" s="24"/>
      <c r="Y30" s="24"/>
      <c r="Z30" s="24"/>
    </row>
    <row r="31" spans="1:26" ht="13.5" customHeight="1">
      <c r="A31" s="30" t="s">
        <v>36</v>
      </c>
      <c r="B31" s="31">
        <v>6</v>
      </c>
      <c r="C31" s="31">
        <v>6</v>
      </c>
      <c r="D31" s="31">
        <v>6</v>
      </c>
      <c r="E31" s="31">
        <v>6</v>
      </c>
      <c r="F31" s="31">
        <v>6</v>
      </c>
      <c r="G31" s="31">
        <v>6</v>
      </c>
      <c r="H31" s="31">
        <v>6</v>
      </c>
      <c r="J31" s="19"/>
      <c r="K31" s="23"/>
      <c r="U31" s="24"/>
      <c r="V31" s="24"/>
      <c r="W31" s="24"/>
      <c r="X31" s="24"/>
      <c r="Y31" s="24"/>
      <c r="Z31" s="24"/>
    </row>
    <row r="32" spans="1:26" ht="13.5" customHeight="1">
      <c r="A32" s="30" t="s">
        <v>37</v>
      </c>
      <c r="B32" s="31">
        <v>0</v>
      </c>
      <c r="C32" s="31">
        <v>0</v>
      </c>
      <c r="D32" s="31">
        <v>0</v>
      </c>
      <c r="E32" s="31">
        <v>0</v>
      </c>
      <c r="F32" s="31">
        <v>0</v>
      </c>
      <c r="G32" s="31">
        <v>0</v>
      </c>
      <c r="H32" s="31">
        <v>0</v>
      </c>
      <c r="J32" s="19"/>
      <c r="K32" s="23"/>
      <c r="U32" s="24"/>
      <c r="V32" s="24"/>
      <c r="W32" s="24"/>
      <c r="X32" s="24"/>
      <c r="Y32" s="24"/>
      <c r="Z32" s="24"/>
    </row>
    <row r="33" spans="1:26" ht="13.5" customHeight="1">
      <c r="A33" s="35" t="s">
        <v>38</v>
      </c>
      <c r="B33" s="36">
        <f>(300/$B$27)^2/(4*PI())</f>
        <v>0.01881318461824558</v>
      </c>
      <c r="C33" s="36">
        <f>(300/$B$27)^2/(4*PI())</f>
        <v>0.01881318461824558</v>
      </c>
      <c r="D33" s="36">
        <f>(300/$B$27)^2/(4*PI())</f>
        <v>0.01881318461824558</v>
      </c>
      <c r="E33" s="36">
        <f>(300/$B$27)^2/(4*PI())</f>
        <v>0.01881318461824558</v>
      </c>
      <c r="F33" s="36">
        <f>(300/$B$27)^2/(4*PI())</f>
        <v>0.01881318461824558</v>
      </c>
      <c r="G33" s="36">
        <f>(300/$B$27)^2/(4*PI())</f>
        <v>0.01881318461824558</v>
      </c>
      <c r="H33" s="36">
        <f>(300/$B$27)^2/(4*PI())</f>
        <v>0.01881318461824558</v>
      </c>
      <c r="J33" s="19"/>
      <c r="K33" s="23"/>
      <c r="U33" s="24"/>
      <c r="V33" s="24"/>
      <c r="W33" s="24"/>
      <c r="X33" s="24"/>
      <c r="Y33" s="24"/>
      <c r="Z33" s="24"/>
    </row>
    <row r="34" spans="1:26" ht="13.5" customHeight="1">
      <c r="A34" s="40" t="s">
        <v>39</v>
      </c>
      <c r="B34" s="41">
        <f>(B30-30)-B32-10*LOG10(B33)</f>
        <v>-128.74462317350745</v>
      </c>
      <c r="C34" s="41">
        <f>(C30-30)-C32-10*LOG10(C33)</f>
        <v>-125.24462317350745</v>
      </c>
      <c r="D34" s="41">
        <f>(D30-30)-D32-10*LOG10(D33)</f>
        <v>-121.74462317350745</v>
      </c>
      <c r="E34" s="41">
        <f>(E30-30)-E32-10*LOG10(E33)</f>
        <v>-117.56462317350744</v>
      </c>
      <c r="F34" s="41">
        <f>(F30-30)-F32-10*LOG10(F33)</f>
        <v>-111.82462317350743</v>
      </c>
      <c r="G34" s="41">
        <f>(G30-30)-G32-10*LOG10(G33)</f>
        <v>-108.48462317350746</v>
      </c>
      <c r="H34" s="41">
        <f>(H30-30)-H32-10*LOG10(H33)</f>
        <v>-104.77462317350745</v>
      </c>
      <c r="K34" s="23"/>
      <c r="U34" s="24"/>
      <c r="V34" s="24"/>
      <c r="W34" s="24"/>
      <c r="X34" s="24"/>
      <c r="Y34" s="24"/>
      <c r="Z34" s="24"/>
    </row>
    <row r="35" spans="1:26" ht="13.5" customHeight="1" thickBot="1">
      <c r="A35" s="45" t="s">
        <v>40</v>
      </c>
      <c r="B35" s="46">
        <f>B34+145.8</f>
        <v>17.055376826492562</v>
      </c>
      <c r="C35" s="46">
        <f>C34+145.8</f>
        <v>20.555376826492562</v>
      </c>
      <c r="D35" s="46">
        <f>D34+145.8</f>
        <v>24.055376826492562</v>
      </c>
      <c r="E35" s="46">
        <f>E34+145.8</f>
        <v>28.23537682649257</v>
      </c>
      <c r="F35" s="46">
        <f>F34+145.8</f>
        <v>33.97537682649258</v>
      </c>
      <c r="G35" s="46">
        <f>G34+145.8</f>
        <v>37.31537682649255</v>
      </c>
      <c r="H35" s="46">
        <f>H34+145.8</f>
        <v>41.02537682649256</v>
      </c>
      <c r="J35" s="19"/>
      <c r="K35" s="23"/>
      <c r="U35" s="24"/>
      <c r="V35" s="24"/>
      <c r="W35" s="24"/>
      <c r="X35" s="24"/>
      <c r="Y35" s="24"/>
      <c r="Z35" s="24"/>
    </row>
    <row r="36" spans="1:26" ht="13.5" customHeight="1" thickBot="1">
      <c r="A36" s="15"/>
      <c r="B36" s="22"/>
      <c r="C36" s="22"/>
      <c r="D36" s="22"/>
      <c r="E36" s="22"/>
      <c r="F36" s="22"/>
      <c r="G36" s="22"/>
      <c r="H36" s="22"/>
      <c r="J36" s="19"/>
      <c r="K36" s="23"/>
      <c r="N36" s="305"/>
      <c r="U36" s="24"/>
      <c r="V36" s="24"/>
      <c r="W36" s="24"/>
      <c r="X36" s="24"/>
      <c r="Y36" s="24"/>
      <c r="Z36" s="24"/>
    </row>
    <row r="37" spans="1:26" ht="13.5" customHeight="1">
      <c r="A37" s="51" t="s">
        <v>41</v>
      </c>
      <c r="B37" s="191">
        <f>41-20*LOG10(615/$B$27)</f>
        <v>41.0282009651565</v>
      </c>
      <c r="C37" s="191">
        <f>41-20*LOG10(615/$B$27)</f>
        <v>41.0282009651565</v>
      </c>
      <c r="D37" s="191">
        <f>41-20*LOG10(615/$B$27)</f>
        <v>41.0282009651565</v>
      </c>
      <c r="E37" s="191">
        <f>41-20*LOG10(615/$B$27)</f>
        <v>41.0282009651565</v>
      </c>
      <c r="F37" s="191">
        <f>41-20*LOG10(615/$B$27)</f>
        <v>41.0282009651565</v>
      </c>
      <c r="G37" s="191">
        <f>41-20*LOG10(615/$B$27)</f>
        <v>41.0282009651565</v>
      </c>
      <c r="H37" s="191">
        <f>41-20*LOG10(615/$B$27)</f>
        <v>41.0282009651565</v>
      </c>
      <c r="I37" s="54" t="s">
        <v>42</v>
      </c>
      <c r="U37" s="24"/>
      <c r="V37" s="24"/>
      <c r="W37" s="24"/>
      <c r="X37" s="24"/>
      <c r="Y37" s="24"/>
      <c r="Z37" s="24"/>
    </row>
    <row r="38" spans="1:26" ht="13.5" customHeight="1">
      <c r="A38" s="55" t="s">
        <v>43</v>
      </c>
      <c r="B38" s="56">
        <f>B35</f>
        <v>17.055376826492562</v>
      </c>
      <c r="C38" s="56">
        <f>C35</f>
        <v>20.555376826492562</v>
      </c>
      <c r="D38" s="56">
        <f>D35</f>
        <v>24.055376826492562</v>
      </c>
      <c r="E38" s="56">
        <f>E35</f>
        <v>28.23537682649257</v>
      </c>
      <c r="F38" s="56">
        <f>F35</f>
        <v>33.97537682649258</v>
      </c>
      <c r="G38" s="56">
        <f>G35</f>
        <v>37.31537682649255</v>
      </c>
      <c r="H38" s="56">
        <f>H35</f>
        <v>41.02537682649256</v>
      </c>
      <c r="I38" s="60" t="s">
        <v>42</v>
      </c>
      <c r="U38" s="24"/>
      <c r="V38" s="24"/>
      <c r="W38" s="24"/>
      <c r="X38" s="24"/>
      <c r="Y38" s="24"/>
      <c r="Z38" s="24"/>
    </row>
    <row r="39" spans="1:26" ht="13.5" customHeight="1">
      <c r="A39" s="299" t="s">
        <v>44</v>
      </c>
      <c r="B39" s="300">
        <f>B37-B35</f>
        <v>23.97282413866394</v>
      </c>
      <c r="C39" s="300">
        <f>C37-C35</f>
        <v>20.47282413866394</v>
      </c>
      <c r="D39" s="300">
        <f>D37-D35</f>
        <v>16.97282413866394</v>
      </c>
      <c r="E39" s="300">
        <f>E37-E35</f>
        <v>12.792824138663931</v>
      </c>
      <c r="F39" s="300">
        <f>F37-F35</f>
        <v>7.052824138663922</v>
      </c>
      <c r="G39" s="300">
        <f>G37-G35</f>
        <v>3.7128241386639473</v>
      </c>
      <c r="H39" s="300">
        <f>H37-H35</f>
        <v>0.0028241386639393795</v>
      </c>
      <c r="I39" s="62" t="s">
        <v>20</v>
      </c>
      <c r="U39" s="24"/>
      <c r="V39" s="24"/>
      <c r="W39" s="24"/>
      <c r="X39" s="24"/>
      <c r="Y39" s="24"/>
      <c r="Z39" s="24"/>
    </row>
    <row r="40" spans="1:26" ht="13.5" customHeight="1" thickBot="1">
      <c r="A40" s="301" t="s">
        <v>108</v>
      </c>
      <c r="B40" s="317">
        <f>NORMSDIST(B39/5.5)</f>
        <v>0.9999934529366782</v>
      </c>
      <c r="C40" s="318">
        <f>NORMSDIST(C39/5.5)</f>
        <v>0.9999012752450184</v>
      </c>
      <c r="D40" s="303">
        <f>NORMSDIST(D39/5.5)</f>
        <v>0.9989854784360485</v>
      </c>
      <c r="E40" s="303">
        <f>NORMSDIST(E39/5.5)</f>
        <v>0.9899898951201553</v>
      </c>
      <c r="F40" s="302">
        <f>NORMSDIST(F39/5.5)</f>
        <v>0.9001367715440094</v>
      </c>
      <c r="G40" s="303">
        <f>NORMSDIST(G39/5.5)</f>
        <v>0.7501809100752412</v>
      </c>
      <c r="H40" s="303">
        <f>NORMSDIST(H39/5.5)</f>
        <v>0.5002048498664098</v>
      </c>
      <c r="U40" s="24"/>
      <c r="V40" s="24"/>
      <c r="W40" s="24"/>
      <c r="X40" s="24"/>
      <c r="Y40" s="24"/>
      <c r="Z40" s="24"/>
    </row>
    <row r="41" spans="1:26" ht="13.5" customHeight="1">
      <c r="A41" s="63"/>
      <c r="B41" s="15"/>
      <c r="C41" s="64"/>
      <c r="J41" s="19"/>
      <c r="K41" s="23"/>
      <c r="U41" s="20"/>
      <c r="V41" s="65"/>
      <c r="W41" s="65"/>
      <c r="X41" s="65"/>
      <c r="Y41" s="65"/>
      <c r="Z41" s="65"/>
    </row>
    <row r="42" spans="1:26" ht="13.5" customHeight="1" thickBot="1">
      <c r="A42" s="66" t="s">
        <v>45</v>
      </c>
      <c r="B42" s="298" t="s">
        <v>31</v>
      </c>
      <c r="C42" s="308"/>
      <c r="D42" s="308"/>
      <c r="E42" s="308"/>
      <c r="F42" s="308"/>
      <c r="G42" s="308"/>
      <c r="H42" s="309"/>
      <c r="J42" s="19"/>
      <c r="K42" s="23"/>
      <c r="V42" s="65"/>
      <c r="W42" s="65"/>
      <c r="X42" s="68"/>
      <c r="Y42" s="65"/>
      <c r="Z42" s="65"/>
    </row>
    <row r="43" spans="1:26" ht="13.5" customHeight="1">
      <c r="A43" s="69" t="s">
        <v>46</v>
      </c>
      <c r="B43" s="324"/>
      <c r="C43" s="246"/>
      <c r="E43" s="246">
        <v>0</v>
      </c>
      <c r="F43" s="70"/>
      <c r="G43" s="70"/>
      <c r="H43" s="322"/>
      <c r="I43" s="70"/>
      <c r="J43" s="19"/>
      <c r="K43" s="23"/>
      <c r="V43" s="71"/>
      <c r="W43" s="71"/>
      <c r="X43" s="71"/>
      <c r="Y43" s="71"/>
      <c r="Z43" s="71"/>
    </row>
    <row r="44" spans="1:26" ht="13.5" customHeight="1">
      <c r="A44" s="35" t="s">
        <v>38</v>
      </c>
      <c r="B44" s="324"/>
      <c r="C44" s="37"/>
      <c r="E44" s="37">
        <f>(300/$B$27)^2/(4*PI())</f>
        <v>0.01881318461824558</v>
      </c>
      <c r="F44" s="72"/>
      <c r="H44" s="320"/>
      <c r="V44" s="73"/>
      <c r="W44" s="74"/>
      <c r="X44" s="19"/>
      <c r="Y44" s="19"/>
      <c r="Z44" s="19"/>
    </row>
    <row r="45" spans="1:26" ht="13.5" customHeight="1">
      <c r="A45" s="35" t="s">
        <v>47</v>
      </c>
      <c r="B45" s="324"/>
      <c r="C45" s="245"/>
      <c r="E45" s="245">
        <f>90*(1/3)+290*(2/3)</f>
        <v>223.33333333333331</v>
      </c>
      <c r="H45" s="320"/>
      <c r="V45" s="74"/>
      <c r="W45" s="74"/>
      <c r="X45" s="74"/>
      <c r="Y45" s="74"/>
      <c r="Z45" s="74"/>
    </row>
    <row r="46" spans="1:26" ht="27.75" customHeight="1">
      <c r="A46" s="190" t="s">
        <v>48</v>
      </c>
      <c r="B46" s="324"/>
      <c r="C46" s="248"/>
      <c r="E46" s="248">
        <v>-99</v>
      </c>
      <c r="F46" s="77"/>
      <c r="G46" s="77"/>
      <c r="H46" s="321"/>
      <c r="I46" s="77"/>
      <c r="J46" s="77"/>
      <c r="W46" s="74"/>
      <c r="X46" s="74"/>
      <c r="Y46" s="74"/>
      <c r="Z46" s="74"/>
    </row>
    <row r="47" spans="1:26" ht="26.25" customHeight="1">
      <c r="A47" s="75" t="s">
        <v>49</v>
      </c>
      <c r="B47" s="324"/>
      <c r="C47" s="249"/>
      <c r="E47" s="249">
        <f>10^((E46-145.8+10*LOG(E44)+E43+168.6-10*LOG10(B31))/10)</f>
        <v>7.521614428973094E-11</v>
      </c>
      <c r="F47" s="77"/>
      <c r="H47" s="320"/>
      <c r="J47" s="77"/>
      <c r="K47" s="77"/>
      <c r="W47" s="74"/>
      <c r="X47" s="74"/>
      <c r="Y47" s="74"/>
      <c r="Z47" s="74"/>
    </row>
    <row r="48" spans="1:26" ht="13.5" customHeight="1">
      <c r="A48" s="210" t="s">
        <v>94</v>
      </c>
      <c r="B48" s="324"/>
      <c r="C48" s="247"/>
      <c r="E48" s="247">
        <v>10</v>
      </c>
      <c r="H48" s="320"/>
      <c r="K48" s="203"/>
      <c r="L48" s="77"/>
      <c r="M48" s="19"/>
      <c r="W48" s="74"/>
      <c r="X48" s="74"/>
      <c r="Y48" s="74"/>
      <c r="Z48" s="74"/>
    </row>
    <row r="49" spans="1:26" ht="13.5" customHeight="1">
      <c r="A49" s="78" t="s">
        <v>50</v>
      </c>
      <c r="B49" s="324"/>
      <c r="C49" s="246"/>
      <c r="E49" s="246">
        <v>0.5</v>
      </c>
      <c r="H49" s="320"/>
      <c r="K49" s="203"/>
      <c r="M49" s="19"/>
      <c r="W49" s="74"/>
      <c r="X49" s="74"/>
      <c r="Y49" s="74"/>
      <c r="Z49" s="74"/>
    </row>
    <row r="50" spans="1:26" ht="13.5" customHeight="1">
      <c r="A50" s="35" t="s">
        <v>51</v>
      </c>
      <c r="B50" s="324"/>
      <c r="C50" s="246"/>
      <c r="E50" s="246">
        <v>4</v>
      </c>
      <c r="G50" s="77"/>
      <c r="H50" s="321"/>
      <c r="I50" s="77"/>
      <c r="J50" s="77"/>
      <c r="K50" s="203"/>
      <c r="L50" s="65"/>
      <c r="M50" s="19"/>
      <c r="W50" s="74"/>
      <c r="X50" s="74"/>
      <c r="Y50" s="74"/>
      <c r="Z50" s="74"/>
    </row>
    <row r="51" spans="1:26" ht="13.5" customHeight="1">
      <c r="A51" s="78" t="s">
        <v>52</v>
      </c>
      <c r="B51" s="324"/>
      <c r="C51" s="246"/>
      <c r="E51" s="246">
        <v>2</v>
      </c>
      <c r="H51" s="320"/>
      <c r="L51" s="71"/>
      <c r="M51" s="19"/>
      <c r="W51" s="74"/>
      <c r="X51" s="74"/>
      <c r="Y51" s="74"/>
      <c r="Z51" s="74"/>
    </row>
    <row r="52" spans="1:26" ht="13.5" customHeight="1">
      <c r="A52" s="78" t="s">
        <v>53</v>
      </c>
      <c r="B52" s="324"/>
      <c r="C52" s="246"/>
      <c r="E52" s="246">
        <v>6</v>
      </c>
      <c r="H52" s="320"/>
      <c r="I52" s="20"/>
      <c r="J52" s="19"/>
      <c r="K52" s="23"/>
      <c r="L52" s="73"/>
      <c r="W52" s="74"/>
      <c r="X52" s="74"/>
      <c r="Y52" s="74"/>
      <c r="Z52" s="74"/>
    </row>
    <row r="53" spans="1:26" ht="13.5" customHeight="1">
      <c r="A53" s="78" t="s">
        <v>54</v>
      </c>
      <c r="B53" s="324"/>
      <c r="C53" s="236"/>
      <c r="E53" s="236">
        <f>E43-(E49+E50+E51)-10*LOG10((E45+E47)*10^(-(E49+E50+E51)/10)+290*(1-10^(-(E49+E50+E51)/10))+290*(10^(E52/10)-1))</f>
        <v>-37.06747100272945</v>
      </c>
      <c r="H53" s="322"/>
      <c r="I53" s="70"/>
      <c r="J53" s="19"/>
      <c r="K53" s="19"/>
      <c r="L53" s="72"/>
      <c r="W53" s="74"/>
      <c r="X53" s="74"/>
      <c r="Y53" s="74"/>
      <c r="Z53" s="74"/>
    </row>
    <row r="54" spans="1:26" ht="13.5" customHeight="1" thickBot="1">
      <c r="A54" s="196" t="s">
        <v>88</v>
      </c>
      <c r="B54" s="325"/>
      <c r="C54" s="250"/>
      <c r="E54" s="250">
        <f>10*LOG10(((E45+E47)*10^(-(E49+E50+E51)/10)+290*(1-10^(-(E49+E50+E51)/10))+290*(10^(E52/10)-1)+290)/290)</f>
        <v>6.9281228460925295</v>
      </c>
      <c r="H54" s="323"/>
      <c r="I54" s="70"/>
      <c r="J54" s="19"/>
      <c r="K54" s="19"/>
      <c r="L54" s="72"/>
      <c r="W54" s="74"/>
      <c r="X54" s="74"/>
      <c r="Y54" s="74"/>
      <c r="Z54" s="74"/>
    </row>
    <row r="55" spans="1:26" ht="12.75" customHeight="1" thickBot="1">
      <c r="A55" s="79" t="s">
        <v>55</v>
      </c>
      <c r="B55" s="80">
        <f>B34+168.6-10*LOG10(B31)+10*LOG10($E44)+$E53</f>
        <v>-22.248983506565885</v>
      </c>
      <c r="C55" s="81">
        <f>C34+168.6-10*LOG10(C31)+10*LOG10($E44)+$E53</f>
        <v>-18.748983506565885</v>
      </c>
      <c r="D55" s="82">
        <f>D34+168.6-10*LOG10(D31)+10*LOG10($E44)+$E53</f>
        <v>-15.248983506565885</v>
      </c>
      <c r="E55" s="319">
        <f>E34+168.6-10*LOG10(E31)+10*LOG10($E44)+$E53</f>
        <v>-11.068983506565878</v>
      </c>
      <c r="F55" s="304">
        <f>F34+168.6-10*LOG10(F31)+10*LOG10($E44)+$E53</f>
        <v>-5.328983506565869</v>
      </c>
      <c r="G55" s="304">
        <f>G34+168.6-10*LOG10(G31)+10*LOG10($E44)+$E53</f>
        <v>-1.9889835065658943</v>
      </c>
      <c r="H55" s="304">
        <f>H34+168.6-10*LOG10(H31)+10*LOG10($E44)+$E53</f>
        <v>1.7210164934341137</v>
      </c>
      <c r="I55" s="84" t="s">
        <v>20</v>
      </c>
      <c r="M55" s="85"/>
      <c r="Q55" s="86"/>
      <c r="W55" s="74"/>
      <c r="X55" s="19"/>
      <c r="Y55" s="19"/>
      <c r="Z55" s="19"/>
    </row>
    <row r="56" spans="1:26" ht="12.75" customHeight="1">
      <c r="A56" s="87"/>
      <c r="B56" s="88"/>
      <c r="C56" s="88"/>
      <c r="D56" s="88"/>
      <c r="E56" s="88"/>
      <c r="M56" s="85"/>
      <c r="Q56" s="89"/>
      <c r="W56" s="74"/>
      <c r="X56" s="19"/>
      <c r="Y56" s="19"/>
      <c r="Z56" s="19"/>
    </row>
    <row r="57" spans="1:26" ht="13.5" customHeight="1">
      <c r="A57" s="23"/>
      <c r="B57" s="72"/>
      <c r="C57" s="72"/>
      <c r="D57" s="72"/>
      <c r="E57" s="72"/>
      <c r="H57" s="72"/>
      <c r="I57" s="72"/>
      <c r="J57" s="91"/>
      <c r="K57" s="85"/>
      <c r="M57" s="19"/>
      <c r="Q57" s="89"/>
      <c r="W57" s="19"/>
      <c r="X57" s="19"/>
      <c r="Y57" s="19"/>
      <c r="Z57" s="19"/>
    </row>
    <row r="58" spans="1:26" ht="12.75" customHeight="1" thickBot="1">
      <c r="A58" s="92" t="s">
        <v>91</v>
      </c>
      <c r="B58" s="72"/>
      <c r="C58" s="72"/>
      <c r="D58" s="72"/>
      <c r="E58" s="72"/>
      <c r="H58" s="72"/>
      <c r="I58" s="72"/>
      <c r="J58" s="91"/>
      <c r="K58" s="85"/>
      <c r="M58" s="23"/>
      <c r="Q58" s="93"/>
      <c r="W58" s="19"/>
      <c r="X58" s="19"/>
      <c r="Y58" s="19"/>
      <c r="Z58" s="19"/>
    </row>
    <row r="59" spans="1:26" ht="12.75" customHeight="1">
      <c r="A59" s="94" t="s">
        <v>56</v>
      </c>
      <c r="B59" s="95">
        <v>0.9</v>
      </c>
      <c r="C59" s="104"/>
      <c r="D59" s="104"/>
      <c r="E59" s="104"/>
      <c r="I59" s="72"/>
      <c r="J59" s="91"/>
      <c r="K59" s="74"/>
      <c r="M59" s="19"/>
      <c r="Q59" s="98"/>
      <c r="W59" s="19"/>
      <c r="X59" s="19"/>
      <c r="Y59" s="19"/>
      <c r="Z59" s="19"/>
    </row>
    <row r="60" spans="1:26" ht="12.75" customHeight="1" thickBot="1">
      <c r="A60" s="99" t="s">
        <v>95</v>
      </c>
      <c r="B60" s="100">
        <v>0.1</v>
      </c>
      <c r="C60" s="104"/>
      <c r="D60" s="104"/>
      <c r="E60" s="104"/>
      <c r="H60" s="72"/>
      <c r="I60" s="72"/>
      <c r="J60" s="19"/>
      <c r="K60" s="19"/>
      <c r="M60" s="19"/>
      <c r="Q60" s="93"/>
      <c r="W60" s="19"/>
      <c r="X60" s="19"/>
      <c r="Y60" s="19"/>
      <c r="Z60" s="19"/>
    </row>
    <row r="61" spans="1:26" ht="12.75" customHeight="1">
      <c r="A61" s="103"/>
      <c r="B61" s="104"/>
      <c r="C61" s="104"/>
      <c r="D61" s="104"/>
      <c r="E61" s="104"/>
      <c r="F61" s="23"/>
      <c r="H61" s="72"/>
      <c r="I61" s="72"/>
      <c r="J61" s="19"/>
      <c r="K61" s="19"/>
      <c r="M61" s="19"/>
      <c r="Q61" s="93"/>
      <c r="W61" s="19"/>
      <c r="X61" s="19"/>
      <c r="Y61" s="19"/>
      <c r="Z61" s="19"/>
    </row>
    <row r="62" spans="1:26" ht="12.75" customHeight="1" thickBot="1">
      <c r="A62" s="92" t="s">
        <v>89</v>
      </c>
      <c r="B62" s="311" t="s">
        <v>92</v>
      </c>
      <c r="C62" s="312"/>
      <c r="D62" s="312"/>
      <c r="E62" s="313">
        <v>2</v>
      </c>
      <c r="G62" s="70"/>
      <c r="H62" s="72"/>
      <c r="I62" s="72"/>
      <c r="J62" s="19"/>
      <c r="K62" s="19"/>
      <c r="M62" s="19"/>
      <c r="W62" s="19"/>
      <c r="X62" s="19"/>
      <c r="Y62" s="19"/>
      <c r="Z62" s="19"/>
    </row>
    <row r="63" spans="1:26" ht="12.75" customHeight="1">
      <c r="A63" s="94" t="s">
        <v>56</v>
      </c>
      <c r="B63" s="316">
        <f>1-(1-B59)/$E$62</f>
        <v>0.95</v>
      </c>
      <c r="C63" s="104"/>
      <c r="D63" s="104"/>
      <c r="E63" s="104"/>
      <c r="H63" s="72"/>
      <c r="I63" s="72"/>
      <c r="J63" s="19"/>
      <c r="K63" s="19"/>
      <c r="M63" s="19"/>
      <c r="W63" s="19"/>
      <c r="X63" s="19"/>
      <c r="Y63" s="19"/>
      <c r="Z63" s="19"/>
    </row>
    <row r="64" spans="1:26" ht="12.75" customHeight="1" thickBot="1">
      <c r="A64" s="99" t="s">
        <v>95</v>
      </c>
      <c r="B64" s="205">
        <f>B60/$E$62</f>
        <v>0.05</v>
      </c>
      <c r="C64" s="310"/>
      <c r="D64" s="310"/>
      <c r="E64" s="310"/>
      <c r="H64" s="72"/>
      <c r="I64" s="72"/>
      <c r="J64" s="19"/>
      <c r="K64" s="19"/>
      <c r="M64" s="19"/>
      <c r="Q64" s="93"/>
      <c r="W64" s="19"/>
      <c r="X64" s="19"/>
      <c r="Y64" s="19"/>
      <c r="Z64" s="19"/>
    </row>
    <row r="65" spans="1:26" ht="12.75" customHeight="1">
      <c r="A65" s="103"/>
      <c r="E65" s="104"/>
      <c r="G65" s="90"/>
      <c r="H65" s="72"/>
      <c r="I65" s="72"/>
      <c r="J65" s="19"/>
      <c r="K65" s="19"/>
      <c r="M65" s="19"/>
      <c r="Q65" s="93"/>
      <c r="W65" s="19"/>
      <c r="X65" s="19"/>
      <c r="Y65" s="19"/>
      <c r="Z65" s="19"/>
    </row>
    <row r="66" spans="1:26" ht="12.75" customHeight="1" thickBot="1">
      <c r="A66" s="92" t="s">
        <v>90</v>
      </c>
      <c r="B66" s="314" t="s">
        <v>93</v>
      </c>
      <c r="C66" s="315"/>
      <c r="D66" s="315"/>
      <c r="E66" s="313">
        <v>5</v>
      </c>
      <c r="G66" s="90"/>
      <c r="H66" s="72"/>
      <c r="I66" s="72"/>
      <c r="J66" s="19"/>
      <c r="K66" s="19"/>
      <c r="M66" s="19"/>
      <c r="Q66" s="93"/>
      <c r="W66" s="19"/>
      <c r="X66" s="19"/>
      <c r="Y66" s="19"/>
      <c r="Z66" s="19"/>
    </row>
    <row r="67" spans="1:26" ht="12.75" customHeight="1">
      <c r="A67" s="94" t="s">
        <v>56</v>
      </c>
      <c r="B67" s="316">
        <f>1-(1-B63)^(1/$E$66)</f>
        <v>0.45071972834694096</v>
      </c>
      <c r="C67" s="104"/>
      <c r="D67" s="104"/>
      <c r="E67" s="104"/>
      <c r="F67" s="72"/>
      <c r="H67" s="72"/>
      <c r="I67" s="72"/>
      <c r="J67" s="19"/>
      <c r="K67" s="19"/>
      <c r="M67" s="19"/>
      <c r="Q67" s="93"/>
      <c r="W67" s="19"/>
      <c r="X67" s="19"/>
      <c r="Y67" s="19"/>
      <c r="Z67" s="19"/>
    </row>
    <row r="68" spans="1:26" ht="12.75" customHeight="1" thickBot="1">
      <c r="A68" s="99" t="s">
        <v>95</v>
      </c>
      <c r="B68" s="204">
        <f>1-(1-B64)^(1/$E$66)</f>
        <v>0.010206218313011495</v>
      </c>
      <c r="C68" s="161"/>
      <c r="D68" s="161"/>
      <c r="E68" s="161"/>
      <c r="G68" s="72"/>
      <c r="H68" s="72"/>
      <c r="I68" s="72"/>
      <c r="J68" s="19"/>
      <c r="K68" s="19"/>
      <c r="M68" s="19"/>
      <c r="Q68" s="93"/>
      <c r="W68" s="19"/>
      <c r="X68" s="19"/>
      <c r="Y68" s="19"/>
      <c r="Z68" s="19"/>
    </row>
    <row r="69" spans="1:26" ht="12.75" customHeight="1">
      <c r="A69" s="103"/>
      <c r="B69" s="104"/>
      <c r="C69" s="104"/>
      <c r="D69" s="104"/>
      <c r="E69" s="104"/>
      <c r="G69" s="72"/>
      <c r="H69" s="72"/>
      <c r="I69" s="72"/>
      <c r="J69" s="19"/>
      <c r="K69" s="19"/>
      <c r="M69" s="19"/>
      <c r="Q69" s="93"/>
      <c r="W69" s="19"/>
      <c r="X69" s="19"/>
      <c r="Y69" s="19"/>
      <c r="Z69" s="19"/>
    </row>
    <row r="70" spans="1:26" ht="13.5" customHeight="1">
      <c r="A70" s="23"/>
      <c r="B70" s="72"/>
      <c r="C70" s="72"/>
      <c r="D70" s="72"/>
      <c r="E70" s="72"/>
      <c r="F70" s="105"/>
      <c r="G70" s="72"/>
      <c r="H70" s="72"/>
      <c r="I70" s="72"/>
      <c r="J70" s="19"/>
      <c r="K70" s="19"/>
      <c r="M70" s="19"/>
      <c r="Q70" s="93"/>
      <c r="T70" s="19"/>
      <c r="U70" s="19"/>
      <c r="V70" s="106"/>
      <c r="W70" s="19"/>
      <c r="X70" s="19"/>
      <c r="Y70" s="19"/>
      <c r="Z70" s="19"/>
    </row>
    <row r="71" spans="1:26" ht="15.75" customHeight="1">
      <c r="A71" s="261" t="s">
        <v>57</v>
      </c>
      <c r="B71" s="261"/>
      <c r="C71" s="261"/>
      <c r="D71" s="261"/>
      <c r="E71" s="261"/>
      <c r="F71" s="19"/>
      <c r="N71" s="13"/>
      <c r="T71" s="19"/>
      <c r="U71" s="19"/>
      <c r="V71" s="106"/>
      <c r="W71" s="19"/>
      <c r="X71" s="19"/>
      <c r="Y71" s="19"/>
      <c r="Z71" s="19"/>
    </row>
    <row r="72" spans="1:26" s="110" customFormat="1" ht="39.75" customHeight="1" thickBot="1">
      <c r="A72" s="107" t="s">
        <v>58</v>
      </c>
      <c r="B72" s="108" t="s">
        <v>59</v>
      </c>
      <c r="C72" s="108" t="s">
        <v>60</v>
      </c>
      <c r="D72" s="108" t="s">
        <v>61</v>
      </c>
      <c r="E72" s="109" t="s">
        <v>63</v>
      </c>
      <c r="F72" s="109" t="s">
        <v>64</v>
      </c>
      <c r="G72" s="109" t="s">
        <v>65</v>
      </c>
      <c r="H72" s="262" t="s">
        <v>66</v>
      </c>
      <c r="I72" s="262"/>
      <c r="J72" s="240" t="s">
        <v>62</v>
      </c>
      <c r="K72" s="109" t="s">
        <v>82</v>
      </c>
      <c r="L72" s="239"/>
      <c r="M72" s="240"/>
      <c r="U72" s="19"/>
      <c r="V72" s="19"/>
      <c r="W72" s="19"/>
      <c r="X72" s="19"/>
      <c r="Y72" s="19"/>
      <c r="Z72" s="19"/>
    </row>
    <row r="73" spans="1:14" ht="12.75">
      <c r="A73" s="111" t="s">
        <v>67</v>
      </c>
      <c r="B73" s="112">
        <f>B$55</f>
        <v>-22.248983506565885</v>
      </c>
      <c r="C73" s="113">
        <v>0</v>
      </c>
      <c r="D73" s="112">
        <f aca="true" t="shared" si="2" ref="D73:D78">B73-C73</f>
        <v>-22.248983506565885</v>
      </c>
      <c r="E73" s="115"/>
      <c r="F73" s="229">
        <f>2*(NORMSINV($B$68*$B$40)-(10^(D73/10)+1)*NORMSINV($B$67/$B$40))^2/10^(D73/5)</f>
        <v>271233.7265621817</v>
      </c>
      <c r="G73" s="116">
        <f>ROUNDUP(F73,0)/($B$31*1000)</f>
        <v>45.205666666666666</v>
      </c>
      <c r="H73" s="110"/>
      <c r="I73" s="110"/>
      <c r="J73" s="143">
        <v>1</v>
      </c>
      <c r="K73" s="171">
        <f>4.5*684/286</f>
        <v>10.762237762237762</v>
      </c>
      <c r="L73" s="154"/>
      <c r="M73" s="98"/>
      <c r="N73" s="13"/>
    </row>
    <row r="74" spans="1:14" ht="12.75">
      <c r="A74" s="117" t="s">
        <v>69</v>
      </c>
      <c r="B74" s="118">
        <f>B$55-11.2+10*LOG10(B$31/0.01)</f>
        <v>-5.667471002729446</v>
      </c>
      <c r="C74" s="118">
        <f>(4.5-1.3)*NORMSINV($C$79)</f>
        <v>5.263529601506889</v>
      </c>
      <c r="D74" s="118">
        <f t="shared" si="2"/>
        <v>-10.931000604236335</v>
      </c>
      <c r="E74" s="241"/>
      <c r="F74" s="242">
        <f>2*(NORMSINV($B$68*$B$40*$C$79)-(10^(D74/10)+1)*NORMSINV($B$67/($B$40*$C$79)))^2/10^(D74/5)</f>
        <v>1580.3738861740596</v>
      </c>
      <c r="G74" s="243">
        <f>ROUNDUP(F74,0)/(0.01*1000)</f>
        <v>158.1</v>
      </c>
      <c r="H74" s="237"/>
      <c r="I74" s="72"/>
      <c r="J74" s="114">
        <v>1</v>
      </c>
      <c r="K74" s="174" t="s">
        <v>83</v>
      </c>
      <c r="L74" s="154"/>
      <c r="M74" s="98"/>
      <c r="N74" s="13"/>
    </row>
    <row r="75" spans="1:14" ht="12.75">
      <c r="A75" s="117" t="s">
        <v>87</v>
      </c>
      <c r="B75" s="118">
        <f>B$55</f>
        <v>-22.248983506565885</v>
      </c>
      <c r="C75" s="118">
        <f>(4.5-1.3)*NORMSINV($C$79)</f>
        <v>5.263529601506889</v>
      </c>
      <c r="D75" s="118">
        <f t="shared" si="2"/>
        <v>-27.512513108072774</v>
      </c>
      <c r="E75" s="161">
        <f>10^(-11.2/10)</f>
        <v>0.07585775750291839</v>
      </c>
      <c r="F75" s="242">
        <f>(NORMSINV($B$68*$B$40*$C$79)-SQRT(10^(D75/10)+1)*NORMSINV($B$67/($B$40*$C$79)))^2/(E75*(10^(D75/10)))</f>
        <v>38435.9632547145</v>
      </c>
      <c r="G75" s="243">
        <f>ROUNDUP(F75,0)/($B$31*1000)</f>
        <v>6.406</v>
      </c>
      <c r="H75" s="238"/>
      <c r="I75" s="72"/>
      <c r="J75" s="114">
        <v>2</v>
      </c>
      <c r="K75" s="20"/>
      <c r="L75" s="154"/>
      <c r="M75" s="98"/>
      <c r="N75" s="13"/>
    </row>
    <row r="76" spans="1:26" ht="12.75" customHeight="1">
      <c r="A76" s="117" t="s">
        <v>101</v>
      </c>
      <c r="B76" s="122">
        <f>B$55</f>
        <v>-22.248983506565885</v>
      </c>
      <c r="C76" s="72">
        <f>C73</f>
        <v>0</v>
      </c>
      <c r="D76" s="118">
        <f t="shared" si="2"/>
        <v>-22.248983506565885</v>
      </c>
      <c r="E76" s="123">
        <v>1</v>
      </c>
      <c r="F76" s="230">
        <f>(1/4)*(NORMSINV($B$68*$B$40)-SQRT(10^(D76/10)+1)*NORMSINV($B$67/$B$40))^2/(E76*(10^(D76/10)))</f>
        <v>202.06988685462372</v>
      </c>
      <c r="G76" s="120">
        <f>ROUNDUP(F76,0)*(4/$K$73)/1000</f>
        <v>0.07544899285250163</v>
      </c>
      <c r="H76" s="124">
        <f>(ROUNDUP(F76,0)*832/$K$73+4/$K$73)/1000</f>
        <v>15.693762183235869</v>
      </c>
      <c r="I76" s="125" t="s">
        <v>68</v>
      </c>
      <c r="J76" s="114">
        <v>2</v>
      </c>
      <c r="K76" s="20"/>
      <c r="L76" s="20"/>
      <c r="M76" s="155"/>
      <c r="N76" s="13"/>
      <c r="U76" s="126"/>
      <c r="V76" s="19"/>
      <c r="W76" s="19"/>
      <c r="X76" s="19"/>
      <c r="Y76" s="19"/>
      <c r="Z76" s="19"/>
    </row>
    <row r="77" spans="1:14" ht="12.75">
      <c r="A77" s="117" t="s">
        <v>99</v>
      </c>
      <c r="B77" s="122">
        <f>B$55</f>
        <v>-22.248983506565885</v>
      </c>
      <c r="C77" s="72">
        <f>C73</f>
        <v>0</v>
      </c>
      <c r="D77" s="118">
        <f t="shared" si="2"/>
        <v>-22.248983506565885</v>
      </c>
      <c r="E77" s="123">
        <v>1</v>
      </c>
      <c r="F77" s="230">
        <f>(1/511)*(NORMSINV($B$68*$B$40)-SQRT(10^(D77/10)+1)*NORMSINV($B$67/$B$40))^2/(E77*(10^(D77/10)))</f>
        <v>1.5817603667680917</v>
      </c>
      <c r="G77" s="120">
        <f>ROUNDUP(F77,0)*(511/$K$73)/1000</f>
        <v>0.09496166341780378</v>
      </c>
      <c r="H77" s="127">
        <f>(ROUNDUP(F77,0)*(313*832/$K$73)+511/$K$73)/1000</f>
        <v>48.44187719298247</v>
      </c>
      <c r="I77" s="72" t="s">
        <v>68</v>
      </c>
      <c r="J77" s="114">
        <v>2</v>
      </c>
      <c r="K77" s="20"/>
      <c r="L77" s="154"/>
      <c r="M77" s="98"/>
      <c r="N77" s="13"/>
    </row>
    <row r="78" spans="1:14" ht="13.5" thickBot="1">
      <c r="A78" s="144" t="s">
        <v>100</v>
      </c>
      <c r="B78" s="147">
        <f>B$55</f>
        <v>-22.248983506565885</v>
      </c>
      <c r="C78" s="183">
        <f>C73</f>
        <v>0</v>
      </c>
      <c r="D78" s="147">
        <f t="shared" si="2"/>
        <v>-22.248983506565885</v>
      </c>
      <c r="E78" s="148">
        <v>1</v>
      </c>
      <c r="F78" s="234">
        <f>(1/(3*63))*(NORMSINV($B$68*$B$40)-SQRT(10^(D78/10)+1)*NORMSINV($B$67/$B$40))^2/(E78*(10^(D78/10)))</f>
        <v>4.276611362002618</v>
      </c>
      <c r="G78" s="149">
        <f>ROUNDUP(F78,0)*(3*63/$K$73)/1000</f>
        <v>0.08780701754385965</v>
      </c>
      <c r="H78" s="306">
        <f>(ROUNDUP(F78,0)*(313*832/$K$73)+3*63/$K$73)/1000</f>
        <v>121.00355230669268</v>
      </c>
      <c r="I78" s="146" t="s">
        <v>68</v>
      </c>
      <c r="J78" s="307">
        <v>2</v>
      </c>
      <c r="K78" s="20"/>
      <c r="L78" s="154"/>
      <c r="M78" s="98"/>
      <c r="N78" s="13"/>
    </row>
    <row r="79" spans="1:8" ht="12.75">
      <c r="A79" s="150"/>
      <c r="B79" s="151" t="s">
        <v>77</v>
      </c>
      <c r="C79" s="211">
        <v>0.95</v>
      </c>
      <c r="D79" s="153"/>
      <c r="E79" s="20"/>
      <c r="F79" s="154"/>
      <c r="G79" s="155"/>
      <c r="H79" s="98"/>
    </row>
    <row r="80" spans="1:8" ht="12.75">
      <c r="A80" s="150"/>
      <c r="B80" s="151"/>
      <c r="C80" s="104"/>
      <c r="D80" s="153"/>
      <c r="E80" s="20"/>
      <c r="F80" s="154"/>
      <c r="G80" s="155"/>
      <c r="H80" s="98"/>
    </row>
    <row r="81" ht="12.75"/>
    <row r="82" spans="1:9" ht="64.5" thickBot="1">
      <c r="A82" s="107" t="s">
        <v>58</v>
      </c>
      <c r="B82" s="108" t="s">
        <v>59</v>
      </c>
      <c r="C82" s="108" t="s">
        <v>60</v>
      </c>
      <c r="D82" s="108" t="s">
        <v>61</v>
      </c>
      <c r="E82" s="109" t="s">
        <v>63</v>
      </c>
      <c r="F82" s="109" t="s">
        <v>64</v>
      </c>
      <c r="G82" s="109" t="s">
        <v>65</v>
      </c>
      <c r="H82" s="262" t="s">
        <v>66</v>
      </c>
      <c r="I82" s="262"/>
    </row>
    <row r="83" spans="1:9" ht="12.75">
      <c r="A83" s="111" t="s">
        <v>67</v>
      </c>
      <c r="B83" s="112">
        <f>C$55</f>
        <v>-18.748983506565885</v>
      </c>
      <c r="C83" s="113">
        <v>0</v>
      </c>
      <c r="D83" s="112">
        <f aca="true" t="shared" si="3" ref="D83:D88">B83-C83</f>
        <v>-18.748983506565885</v>
      </c>
      <c r="E83" s="115"/>
      <c r="F83" s="229">
        <f>2*(NORMSINV($B$68*$C$40)-(10^(D83/10)+1)*NORMSINV($B$67/$C$40))^2/10^(D83/5)</f>
        <v>54080.244417104564</v>
      </c>
      <c r="G83" s="116">
        <f>ROUNDUP(F83,0)/($B$31*1000)</f>
        <v>9.0135</v>
      </c>
      <c r="H83" s="110"/>
      <c r="I83" s="110"/>
    </row>
    <row r="84" spans="1:9" ht="12.75">
      <c r="A84" s="117" t="s">
        <v>69</v>
      </c>
      <c r="B84" s="118">
        <f>C$55-11.2+10*LOG10(C$31/0.01)</f>
        <v>-2.1674710027294495</v>
      </c>
      <c r="C84" s="118">
        <f>(4.5-1.3)*NORMSINV($C$79)</f>
        <v>5.263529601506889</v>
      </c>
      <c r="D84" s="118">
        <f t="shared" si="3"/>
        <v>-7.431000604236338</v>
      </c>
      <c r="E84" s="241"/>
      <c r="F84" s="242">
        <f>2*(NORMSINV($B$68*$C$40*$C$79)-(10^(D84/10)+1)*NORMSINV($B$67/($C$40*$C$79)))^2/10^(D84/5)</f>
        <v>313.5933272953752</v>
      </c>
      <c r="G84" s="243">
        <f>ROUNDUP(F84,0)/(0.01*1000)</f>
        <v>31.4</v>
      </c>
      <c r="H84" s="237"/>
      <c r="I84" s="72"/>
    </row>
    <row r="85" spans="1:9" ht="12.75">
      <c r="A85" s="117" t="s">
        <v>87</v>
      </c>
      <c r="B85" s="118">
        <f>C$55</f>
        <v>-18.748983506565885</v>
      </c>
      <c r="C85" s="118">
        <f>(4.5-1.3)*NORMSINV($C$79)</f>
        <v>5.263529601506889</v>
      </c>
      <c r="D85" s="118">
        <f t="shared" si="3"/>
        <v>-24.012513108072774</v>
      </c>
      <c r="E85" s="161">
        <f>10^(-11.2/10)</f>
        <v>0.07585775750291839</v>
      </c>
      <c r="F85" s="242">
        <f>(NORMSINV($B$68*$C$40*$C$79)-SQRT(10^(D85/10)+1)*NORMSINV($B$67/($C$40*$C$79)))^2/(E85*(10^(D85/10)))</f>
        <v>17169.870606103144</v>
      </c>
      <c r="G85" s="243">
        <f>ROUNDUP(F85,0)/($B$31*1000)</f>
        <v>2.861666666666667</v>
      </c>
      <c r="H85" s="238"/>
      <c r="I85" s="72"/>
    </row>
    <row r="86" spans="1:9" ht="12.75">
      <c r="A86" s="117" t="s">
        <v>101</v>
      </c>
      <c r="B86" s="122">
        <f>C$55</f>
        <v>-18.748983506565885</v>
      </c>
      <c r="C86" s="72">
        <f>C83</f>
        <v>0</v>
      </c>
      <c r="D86" s="118">
        <f t="shared" si="3"/>
        <v>-18.748983506565885</v>
      </c>
      <c r="E86" s="123">
        <v>1</v>
      </c>
      <c r="F86" s="230">
        <f>(1/4)*(NORMSINV($B$68*$C$40)-SQRT(10^(D86/10)+1)*NORMSINV($B$67/$C$40))^2/(E86*(10^(D86/10)))</f>
        <v>90.23564108789951</v>
      </c>
      <c r="G86" s="120">
        <f>ROUNDUP(F86,0)*(4/$K$73)/1000</f>
        <v>0.03382196231319038</v>
      </c>
      <c r="H86" s="124">
        <f>(ROUNDUP(F86,0)*832/$K$73+4/$K$73)/1000</f>
        <v>7.0353398310591295</v>
      </c>
      <c r="I86" s="135" t="s">
        <v>68</v>
      </c>
    </row>
    <row r="87" spans="1:9" ht="12.75">
      <c r="A87" s="117" t="s">
        <v>99</v>
      </c>
      <c r="B87" s="122">
        <f>C$55</f>
        <v>-18.748983506565885</v>
      </c>
      <c r="C87" s="72">
        <f>C83</f>
        <v>0</v>
      </c>
      <c r="D87" s="118">
        <f t="shared" si="3"/>
        <v>-18.748983506565885</v>
      </c>
      <c r="E87" s="123">
        <v>1</v>
      </c>
      <c r="F87" s="230">
        <f>(1/511)*(NORMSINV($B$68*$C$40)-SQRT(10^(D87/10)+1)*NORMSINV($B$67/$C$40))^2/(E87*(10^(D87/10)))</f>
        <v>0.7063455271068454</v>
      </c>
      <c r="G87" s="120">
        <f>ROUNDUP(F87,0)*(511/$K$73)/1000</f>
        <v>0.04748083170890189</v>
      </c>
      <c r="H87" s="127">
        <f>(ROUNDUP(F87,0)*(313*832/$K$73)+511/$K$73)/1000</f>
        <v>24.24467901234568</v>
      </c>
      <c r="I87" s="122" t="s">
        <v>68</v>
      </c>
    </row>
    <row r="88" spans="1:9" ht="13.5" thickBot="1">
      <c r="A88" s="144" t="s">
        <v>100</v>
      </c>
      <c r="B88" s="147">
        <f>C$55</f>
        <v>-18.748983506565885</v>
      </c>
      <c r="C88" s="183">
        <f>C83</f>
        <v>0</v>
      </c>
      <c r="D88" s="147">
        <f t="shared" si="3"/>
        <v>-18.748983506565885</v>
      </c>
      <c r="E88" s="148">
        <v>1</v>
      </c>
      <c r="F88" s="234">
        <f>(1/(3*63))*(NORMSINV($B$68*$C$40)-SQRT(10^(D88/10)+1)*NORMSINV($B$67/$C$40))^2/(E88*(10^(D88/10)))</f>
        <v>1.909749017733323</v>
      </c>
      <c r="G88" s="149">
        <f>ROUNDUP(F88,0)*(3*63/$K$73)/1000</f>
        <v>0.03512280701754386</v>
      </c>
      <c r="H88" s="306">
        <f>(ROUNDUP(F88,0)*(313*832/$K$73)+3*63/$K$73)/1000</f>
        <v>48.41195776478233</v>
      </c>
      <c r="I88" s="145" t="s">
        <v>68</v>
      </c>
    </row>
    <row r="89" spans="1:8" ht="12.75">
      <c r="A89" s="150"/>
      <c r="B89" s="151" t="s">
        <v>77</v>
      </c>
      <c r="C89" s="211">
        <f>$C$79</f>
        <v>0.95</v>
      </c>
      <c r="D89" s="153"/>
      <c r="E89" s="20"/>
      <c r="F89" s="154"/>
      <c r="G89" s="155"/>
      <c r="H89" s="98"/>
    </row>
    <row r="92" spans="1:9" ht="39" thickBot="1">
      <c r="A92" s="107" t="s">
        <v>58</v>
      </c>
      <c r="B92" s="108" t="s">
        <v>59</v>
      </c>
      <c r="C92" s="108" t="s">
        <v>60</v>
      </c>
      <c r="D92" s="108" t="s">
        <v>61</v>
      </c>
      <c r="E92" s="109" t="s">
        <v>63</v>
      </c>
      <c r="F92" s="109" t="s">
        <v>64</v>
      </c>
      <c r="G92" s="109" t="s">
        <v>65</v>
      </c>
      <c r="H92" s="262" t="s">
        <v>66</v>
      </c>
      <c r="I92" s="262"/>
    </row>
    <row r="93" spans="1:9" ht="12.75">
      <c r="A93" s="111" t="s">
        <v>67</v>
      </c>
      <c r="B93" s="112">
        <f>D$55</f>
        <v>-15.248983506565885</v>
      </c>
      <c r="C93" s="113">
        <v>0</v>
      </c>
      <c r="D93" s="112">
        <f aca="true" t="shared" si="4" ref="D93:D98">B93-C93</f>
        <v>-15.248983506565885</v>
      </c>
      <c r="E93" s="115"/>
      <c r="F93" s="229">
        <f>2*(NORMSINV($B$68*$D$40)-(10^(D93/10)+1)*NORMSINV($B$67/$D$40))^2/10^(D93/5)</f>
        <v>10784.289444604077</v>
      </c>
      <c r="G93" s="116">
        <f>ROUNDUP(F93,0)/($B$31*1000)</f>
        <v>1.7975</v>
      </c>
      <c r="H93" s="110"/>
      <c r="I93" s="110"/>
    </row>
    <row r="94" spans="1:9" ht="12.75">
      <c r="A94" s="117" t="s">
        <v>69</v>
      </c>
      <c r="B94" s="118">
        <f>D$55-11.2+10*LOG10(D$31/0.01)</f>
        <v>1.3325289972705505</v>
      </c>
      <c r="C94" s="118">
        <f>(4.5-1.3)*NORMSINV($C$79)</f>
        <v>5.263529601506889</v>
      </c>
      <c r="D94" s="118">
        <f t="shared" si="4"/>
        <v>-3.9310006042363383</v>
      </c>
      <c r="E94" s="241"/>
      <c r="F94" s="242">
        <f>2*(NORMSINV($B$68*$D$40*$C$79)-(10^(D94/10)+1)*NORMSINV($B$67/($D$40*$C$79)))^2/10^(D94/5)</f>
        <v>61.8838051092057</v>
      </c>
      <c r="G94" s="243">
        <f>ROUNDUP(F94,0)/(0.01*1000)</f>
        <v>6.2</v>
      </c>
      <c r="H94" s="237"/>
      <c r="I94" s="72"/>
    </row>
    <row r="95" spans="1:9" ht="12.75">
      <c r="A95" s="117" t="s">
        <v>87</v>
      </c>
      <c r="B95" s="118">
        <f>D$55</f>
        <v>-15.248983506565885</v>
      </c>
      <c r="C95" s="118">
        <f>(4.5-1.3)*NORMSINV($C$79)</f>
        <v>5.263529601506889</v>
      </c>
      <c r="D95" s="118">
        <f t="shared" si="4"/>
        <v>-20.512513108072774</v>
      </c>
      <c r="E95" s="161">
        <f>10^(-11.2/10)</f>
        <v>0.07585775750291839</v>
      </c>
      <c r="F95" s="242">
        <f>(NORMSINV($B$68*$D$40*$C$79)-SQRT(10^(D95/10)+1)*NORMSINV($B$67/($D$40*$C$79)))^2/(E95*(10^(D95/10)))</f>
        <v>7678.178196907575</v>
      </c>
      <c r="G95" s="243">
        <f>ROUNDUP(F95,0)/($B$31*1000)</f>
        <v>1.2798333333333334</v>
      </c>
      <c r="H95" s="238"/>
      <c r="I95" s="72"/>
    </row>
    <row r="96" spans="1:9" ht="12.75">
      <c r="A96" s="117" t="s">
        <v>101</v>
      </c>
      <c r="B96" s="122">
        <f>D$55</f>
        <v>-15.248983506565885</v>
      </c>
      <c r="C96" s="72">
        <f>C93</f>
        <v>0</v>
      </c>
      <c r="D96" s="118">
        <f t="shared" si="4"/>
        <v>-15.248983506565885</v>
      </c>
      <c r="E96" s="123">
        <v>1</v>
      </c>
      <c r="F96" s="230">
        <f>(1/4)*(NORMSINV($B$68*$D$40)-SQRT(10^(D96/10)+1)*NORMSINV($B$67/$D$40))^2/(E96*(10^(D96/10)))</f>
        <v>40.32123556731727</v>
      </c>
      <c r="G96" s="120">
        <f>ROUNDUP(F96,0)*(4/$K$73)/1000</f>
        <v>0.015238466536712153</v>
      </c>
      <c r="H96" s="124">
        <f>(ROUNDUP(F96,0)*832/$K$73+4/$K$73)/1000</f>
        <v>3.1699727095516574</v>
      </c>
      <c r="I96" s="135" t="s">
        <v>68</v>
      </c>
    </row>
    <row r="97" spans="1:9" ht="12.75">
      <c r="A97" s="117" t="s">
        <v>99</v>
      </c>
      <c r="B97" s="122">
        <f>D$55</f>
        <v>-15.248983506565885</v>
      </c>
      <c r="C97" s="72">
        <f>C93</f>
        <v>0</v>
      </c>
      <c r="D97" s="118">
        <f t="shared" si="4"/>
        <v>-15.248983506565885</v>
      </c>
      <c r="E97" s="123">
        <v>1</v>
      </c>
      <c r="F97" s="230">
        <f>(1/511)*(NORMSINV($B$68*$D$40)-SQRT(10^(D97/10)+1)*NORMSINV($B$67/$D$40))^2/(E97*(10^(D97/10)))</f>
        <v>0.3156261101159864</v>
      </c>
      <c r="G97" s="120">
        <f>ROUNDUP(F97,0)*(511/$K$73)/1000</f>
        <v>0.04748083170890189</v>
      </c>
      <c r="H97" s="127">
        <f>(ROUNDUP(F97,0)*(313*832/$K$73)+511/$K$73)/1000</f>
        <v>24.24467901234568</v>
      </c>
      <c r="I97" s="122" t="s">
        <v>68</v>
      </c>
    </row>
    <row r="98" spans="1:9" ht="13.5" thickBot="1">
      <c r="A98" s="144" t="s">
        <v>100</v>
      </c>
      <c r="B98" s="147">
        <f>D$55</f>
        <v>-15.248983506565885</v>
      </c>
      <c r="C98" s="183">
        <f>C93</f>
        <v>0</v>
      </c>
      <c r="D98" s="147">
        <f t="shared" si="4"/>
        <v>-15.248983506565885</v>
      </c>
      <c r="E98" s="148">
        <v>1</v>
      </c>
      <c r="F98" s="234">
        <f>(1/(3*63))*(NORMSINV($B$68*$D$40)-SQRT(10^(D98/10)+1)*NORMSINV($B$67/$D$40))^2/(E98*(10^(D98/10)))</f>
        <v>0.8533594829061855</v>
      </c>
      <c r="G98" s="149">
        <f>ROUNDUP(F98,0)*(3*63/$K$73)/1000</f>
        <v>0.01756140350877193</v>
      </c>
      <c r="H98" s="306">
        <f>(ROUNDUP(F98,0)*(313*832/$K$73)+3*63/$K$73)/1000</f>
        <v>24.21475958414555</v>
      </c>
      <c r="I98" s="145" t="s">
        <v>68</v>
      </c>
    </row>
    <row r="99" spans="1:8" ht="12.75">
      <c r="A99" s="150"/>
      <c r="B99" s="151" t="s">
        <v>77</v>
      </c>
      <c r="C99" s="211">
        <f>$C$79</f>
        <v>0.95</v>
      </c>
      <c r="D99" s="153"/>
      <c r="E99" s="20"/>
      <c r="F99" s="154"/>
      <c r="G99" s="155"/>
      <c r="H99" s="98"/>
    </row>
    <row r="102" spans="1:9" ht="39" thickBot="1">
      <c r="A102" s="107" t="s">
        <v>58</v>
      </c>
      <c r="B102" s="108" t="s">
        <v>59</v>
      </c>
      <c r="C102" s="108" t="s">
        <v>60</v>
      </c>
      <c r="D102" s="108" t="s">
        <v>61</v>
      </c>
      <c r="E102" s="109" t="s">
        <v>63</v>
      </c>
      <c r="F102" s="109" t="s">
        <v>64</v>
      </c>
      <c r="G102" s="109" t="s">
        <v>65</v>
      </c>
      <c r="H102" s="262" t="s">
        <v>66</v>
      </c>
      <c r="I102" s="262"/>
    </row>
    <row r="103" spans="1:9" ht="12.75">
      <c r="A103" s="111" t="s">
        <v>67</v>
      </c>
      <c r="B103" s="112">
        <f>E$55</f>
        <v>-11.068983506565878</v>
      </c>
      <c r="C103" s="113">
        <v>0</v>
      </c>
      <c r="D103" s="112">
        <f aca="true" t="shared" si="5" ref="D103:D108">B103-C103</f>
        <v>-11.068983506565878</v>
      </c>
      <c r="E103" s="115"/>
      <c r="F103" s="229">
        <f>2*(NORMSINV($B$68*$E$40)-(10^(D103/10)+1)*NORMSINV($B$67/$E$40))^2/10^(D103/5)</f>
        <v>1585.6338879994983</v>
      </c>
      <c r="G103" s="116">
        <f>ROUNDUP(F103,0)/($B$31*1000)</f>
        <v>0.2643333333333333</v>
      </c>
      <c r="H103" s="110"/>
      <c r="I103" s="110"/>
    </row>
    <row r="104" spans="1:9" ht="12.75">
      <c r="A104" s="117" t="s">
        <v>69</v>
      </c>
      <c r="B104" s="118">
        <f>E$55-11.2+10*LOG10(E$31/0.01)</f>
        <v>5.512528997270557</v>
      </c>
      <c r="C104" s="118">
        <f>(4.5-1.3)*NORMSINV($C$79)</f>
        <v>5.263529601506889</v>
      </c>
      <c r="D104" s="118">
        <f t="shared" si="5"/>
        <v>0.24899939576366847</v>
      </c>
      <c r="E104" s="241"/>
      <c r="F104" s="242">
        <f>2*(NORMSINV($B$68*$E$40*$C$79)-(10^(D104/10)+1)*NORMSINV($B$67/($E$40*$C$79)))^2/10^(D104/5)</f>
        <v>8.903777712710832</v>
      </c>
      <c r="G104" s="243">
        <f>ROUNDUP(F104,0)/(0.01*1000)</f>
        <v>0.9</v>
      </c>
      <c r="H104" s="237"/>
      <c r="I104" s="72"/>
    </row>
    <row r="105" spans="1:9" ht="12.75">
      <c r="A105" s="117" t="s">
        <v>87</v>
      </c>
      <c r="B105" s="118">
        <f>E$55</f>
        <v>-11.068983506565878</v>
      </c>
      <c r="C105" s="118">
        <f>(4.5-1.3)*NORMSINV($C$79)</f>
        <v>5.263529601506889</v>
      </c>
      <c r="D105" s="118">
        <f t="shared" si="5"/>
        <v>-16.332513108072767</v>
      </c>
      <c r="E105" s="161">
        <f>10^(-11.2/10)</f>
        <v>0.07585775750291839</v>
      </c>
      <c r="F105" s="242">
        <f>(NORMSINV($B$68*$E$40*$C$79)-SQRT(10^(D105/10)+1)*NORMSINV($B$67/($E$40*$C$79)))^2/(E105*(10^(D105/10)))</f>
        <v>2968.5180959301383</v>
      </c>
      <c r="G105" s="243">
        <f>ROUNDUP(F105,0)/($B$31*1000)</f>
        <v>0.49483333333333335</v>
      </c>
      <c r="H105" s="238"/>
      <c r="I105" s="72"/>
    </row>
    <row r="106" spans="1:9" ht="12.75">
      <c r="A106" s="117" t="s">
        <v>101</v>
      </c>
      <c r="B106" s="122">
        <f>E$55</f>
        <v>-11.068983506565878</v>
      </c>
      <c r="C106" s="72">
        <f>C103</f>
        <v>0</v>
      </c>
      <c r="D106" s="118">
        <f t="shared" si="5"/>
        <v>-11.068983506565878</v>
      </c>
      <c r="E106" s="123">
        <v>1</v>
      </c>
      <c r="F106" s="230">
        <f>(1/4)*(NORMSINV($B$68*$E$40)-SQRT(10^(D106/10)+1)*NORMSINV($B$67/$E$40))^2/(E106*(10^(D106/10)))</f>
        <v>15.55887257436543</v>
      </c>
      <c r="G106" s="120">
        <f>ROUNDUP(F106,0)*(4/$K$73)/1000</f>
        <v>0.005946718648473035</v>
      </c>
      <c r="H106" s="124">
        <f>(ROUNDUP(F106,0)*832/$K$73+4/$K$73)/1000</f>
        <v>1.2372891487979207</v>
      </c>
      <c r="I106" s="135" t="s">
        <v>68</v>
      </c>
    </row>
    <row r="107" spans="1:9" ht="12.75">
      <c r="A107" s="117" t="s">
        <v>99</v>
      </c>
      <c r="B107" s="122">
        <f>E$55</f>
        <v>-11.068983506565878</v>
      </c>
      <c r="C107" s="72">
        <f>C103</f>
        <v>0</v>
      </c>
      <c r="D107" s="118">
        <f t="shared" si="5"/>
        <v>-11.068983506565878</v>
      </c>
      <c r="E107" s="123">
        <v>1</v>
      </c>
      <c r="F107" s="230">
        <f>(1/511)*(NORMSINV($B$68*$E$40)-SQRT(10^(D107/10)+1)*NORMSINV($B$67/$E$40))^2/(E107*(10^(D107/10)))</f>
        <v>0.12179156613984682</v>
      </c>
      <c r="G107" s="120">
        <f>ROUNDUP(F107,0)*(511/$K$73)/1000</f>
        <v>0.04748083170890189</v>
      </c>
      <c r="H107" s="127">
        <f>(ROUNDUP(F107,0)*(313*832/$K$73)+511/$K$73)/1000</f>
        <v>24.24467901234568</v>
      </c>
      <c r="I107" s="122" t="s">
        <v>68</v>
      </c>
    </row>
    <row r="108" spans="1:9" ht="13.5" thickBot="1">
      <c r="A108" s="144" t="s">
        <v>100</v>
      </c>
      <c r="B108" s="147">
        <f>E$55</f>
        <v>-11.068983506565878</v>
      </c>
      <c r="C108" s="183">
        <f>C103</f>
        <v>0</v>
      </c>
      <c r="D108" s="147">
        <f t="shared" si="5"/>
        <v>-11.068983506565878</v>
      </c>
      <c r="E108" s="148">
        <v>1</v>
      </c>
      <c r="F108" s="234">
        <f>(1/(3*63))*(NORMSINV($B$68*$E$40)-SQRT(10^(D108/10)+1)*NORMSINV($B$67/$E$40))^2/(E108*(10^(D108/10)))</f>
        <v>0.32928830845217844</v>
      </c>
      <c r="G108" s="149">
        <f>ROUNDUP(F108,0)*(3*63/$K$73)/1000</f>
        <v>0.01756140350877193</v>
      </c>
      <c r="H108" s="306">
        <f>(ROUNDUP(F108,0)*(313*832/$K$73)+3*63/$K$73)/1000</f>
        <v>24.21475958414555</v>
      </c>
      <c r="I108" s="145" t="s">
        <v>68</v>
      </c>
    </row>
    <row r="109" spans="1:8" ht="12.75">
      <c r="A109" s="150"/>
      <c r="B109" s="151" t="s">
        <v>77</v>
      </c>
      <c r="C109" s="211">
        <f>$C$79</f>
        <v>0.95</v>
      </c>
      <c r="D109" s="153"/>
      <c r="E109" s="20"/>
      <c r="F109" s="154"/>
      <c r="G109" s="155"/>
      <c r="H109" s="98"/>
    </row>
    <row r="112" spans="1:9" ht="39" thickBot="1">
      <c r="A112" s="107" t="s">
        <v>58</v>
      </c>
      <c r="B112" s="108" t="s">
        <v>59</v>
      </c>
      <c r="C112" s="108" t="s">
        <v>60</v>
      </c>
      <c r="D112" s="108" t="s">
        <v>61</v>
      </c>
      <c r="E112" s="109" t="s">
        <v>63</v>
      </c>
      <c r="F112" s="109" t="s">
        <v>64</v>
      </c>
      <c r="G112" s="109" t="s">
        <v>65</v>
      </c>
      <c r="H112" s="262" t="s">
        <v>66</v>
      </c>
      <c r="I112" s="262"/>
    </row>
    <row r="113" spans="1:9" ht="12.75">
      <c r="A113" s="111" t="s">
        <v>67</v>
      </c>
      <c r="B113" s="112">
        <f>F$55</f>
        <v>-5.328983506565869</v>
      </c>
      <c r="C113" s="113">
        <v>0</v>
      </c>
      <c r="D113" s="112">
        <f aca="true" t="shared" si="6" ref="D113:D118">B113-C113</f>
        <v>-5.328983506565869</v>
      </c>
      <c r="E113" s="115"/>
      <c r="F113" s="229">
        <f>2*(NORMSINV($B$68*$F$40)-(10^(D113/10)+1)*NORMSINV($B$67/$F$40))^2/10^(D113/5)</f>
        <v>129.650845267801</v>
      </c>
      <c r="G113" s="116">
        <f>ROUNDUP(F113,0)/($B$31*1000)</f>
        <v>0.021666666666666667</v>
      </c>
      <c r="H113" s="110"/>
      <c r="I113" s="110"/>
    </row>
    <row r="114" spans="1:9" ht="12.75">
      <c r="A114" s="117" t="s">
        <v>69</v>
      </c>
      <c r="B114" s="118">
        <f>F$55-11.2+10*LOG10(F$31/0.01)</f>
        <v>11.252528997270566</v>
      </c>
      <c r="C114" s="118">
        <f>(4.5-1.3)*NORMSINV($C$79)</f>
        <v>5.263529601506889</v>
      </c>
      <c r="D114" s="118">
        <f t="shared" si="6"/>
        <v>5.988999395763678</v>
      </c>
      <c r="E114" s="241"/>
      <c r="F114" s="242">
        <f>2*(NORMSINV($B$68*$F$40*$C$79)-(10^(D114/10)+1)*NORMSINV($B$67/($F$40*$C$79)))^2/10^(D114/5)</f>
        <v>0.9346626195530524</v>
      </c>
      <c r="G114" s="243">
        <f>ROUNDUP(F114,0)/(0.01*1000)</f>
        <v>0.1</v>
      </c>
      <c r="H114" s="237"/>
      <c r="I114" s="72"/>
    </row>
    <row r="115" spans="1:9" ht="12.75">
      <c r="A115" s="117" t="s">
        <v>87</v>
      </c>
      <c r="B115" s="118">
        <f>F$55</f>
        <v>-5.328983506565869</v>
      </c>
      <c r="C115" s="118">
        <f>(4.5-1.3)*NORMSINV($C$79)</f>
        <v>5.263529601506889</v>
      </c>
      <c r="D115" s="118">
        <f t="shared" si="6"/>
        <v>-10.592513108072758</v>
      </c>
      <c r="E115" s="161">
        <f>10^(-11.2/10)</f>
        <v>0.07585775750291839</v>
      </c>
      <c r="F115" s="242">
        <f>(NORMSINV($B$68*$F$40*$C$79)-SQRT(10^(D115/10)+1)*NORMSINV($B$67/($F$40*$C$79)))^2/(E115*(10^(D115/10)))</f>
        <v>905.3291482466278</v>
      </c>
      <c r="G115" s="243">
        <f>ROUNDUP(F115,0)/($B$31*1000)</f>
        <v>0.151</v>
      </c>
      <c r="H115" s="238"/>
      <c r="I115" s="72"/>
    </row>
    <row r="116" spans="1:9" ht="12.75">
      <c r="A116" s="117" t="s">
        <v>101</v>
      </c>
      <c r="B116" s="122">
        <f>F$55</f>
        <v>-5.328983506565869</v>
      </c>
      <c r="C116" s="72">
        <f>C113</f>
        <v>0</v>
      </c>
      <c r="D116" s="118">
        <f t="shared" si="6"/>
        <v>-5.328983506565869</v>
      </c>
      <c r="E116" s="123">
        <v>1</v>
      </c>
      <c r="F116" s="230">
        <f>(1/4)*(NORMSINV($B$68*$F$40)-SQRT(10^(D116/10)+1)*NORMSINV($B$67/$F$40))^2/(E116*(10^(D116/10)))</f>
        <v>4.749882383567976</v>
      </c>
      <c r="G116" s="120">
        <f>ROUNDUP(F116,0)*(4/$K$73)/1000</f>
        <v>0.0018583495776478235</v>
      </c>
      <c r="H116" s="124">
        <f>(ROUNDUP(F116,0)*832/$K$73+4/$K$73)/1000</f>
        <v>0.38690838206627676</v>
      </c>
      <c r="I116" s="135" t="s">
        <v>68</v>
      </c>
    </row>
    <row r="117" spans="1:9" ht="12.75">
      <c r="A117" s="117" t="s">
        <v>99</v>
      </c>
      <c r="B117" s="122">
        <f>F$55</f>
        <v>-5.328983506565869</v>
      </c>
      <c r="C117" s="72">
        <f>C113</f>
        <v>0</v>
      </c>
      <c r="D117" s="118">
        <f t="shared" si="6"/>
        <v>-5.328983506565869</v>
      </c>
      <c r="E117" s="123">
        <v>1</v>
      </c>
      <c r="F117" s="230">
        <f>(1/511)*(NORMSINV($B$68*$F$40)-SQRT(10^(D117/10)+1)*NORMSINV($B$67/$F$40))^2/(E117*(10^(D117/10)))</f>
        <v>0.03718107540953405</v>
      </c>
      <c r="G117" s="120">
        <f>ROUNDUP(F117,0)*(511/$K$73)/1000</f>
        <v>0.04748083170890189</v>
      </c>
      <c r="H117" s="127">
        <f>(ROUNDUP(F117,0)*(313*832/$K$73)+511/$K$73)/1000</f>
        <v>24.24467901234568</v>
      </c>
      <c r="I117" s="122" t="s">
        <v>68</v>
      </c>
    </row>
    <row r="118" spans="1:9" ht="13.5" thickBot="1">
      <c r="A118" s="144" t="s">
        <v>100</v>
      </c>
      <c r="B118" s="147">
        <f>F$55</f>
        <v>-5.328983506565869</v>
      </c>
      <c r="C118" s="183">
        <f>C113</f>
        <v>0</v>
      </c>
      <c r="D118" s="147">
        <f t="shared" si="6"/>
        <v>-5.328983506565869</v>
      </c>
      <c r="E118" s="148">
        <v>1</v>
      </c>
      <c r="F118" s="234">
        <f>(1/(3*63))*(NORMSINV($B$68*$F$40)-SQRT(10^(D118/10)+1)*NORMSINV($B$67/$F$40))^2/(E118*(10^(D118/10)))</f>
        <v>0.10052661129244393</v>
      </c>
      <c r="G118" s="149">
        <f>ROUNDUP(F118,0)*(3*63/$K$73)/1000</f>
        <v>0.01756140350877193</v>
      </c>
      <c r="H118" s="306">
        <f>(ROUNDUP(F118,0)*(313*832/$K$73)+3*63/$K$73)/1000</f>
        <v>24.21475958414555</v>
      </c>
      <c r="I118" s="145" t="s">
        <v>68</v>
      </c>
    </row>
    <row r="119" spans="1:8" ht="12.75">
      <c r="A119" s="150"/>
      <c r="B119" s="151" t="s">
        <v>77</v>
      </c>
      <c r="C119" s="211">
        <f>$C$79</f>
        <v>0.95</v>
      </c>
      <c r="D119" s="153"/>
      <c r="E119" s="20"/>
      <c r="F119" s="154"/>
      <c r="G119" s="155"/>
      <c r="H119" s="98"/>
    </row>
    <row r="122" spans="1:9" ht="39" thickBot="1">
      <c r="A122" s="107" t="s">
        <v>58</v>
      </c>
      <c r="B122" s="108" t="s">
        <v>59</v>
      </c>
      <c r="C122" s="108" t="s">
        <v>60</v>
      </c>
      <c r="D122" s="108" t="s">
        <v>61</v>
      </c>
      <c r="E122" s="109" t="s">
        <v>63</v>
      </c>
      <c r="F122" s="109" t="s">
        <v>64</v>
      </c>
      <c r="G122" s="109" t="s">
        <v>65</v>
      </c>
      <c r="H122" s="262" t="s">
        <v>66</v>
      </c>
      <c r="I122" s="262"/>
    </row>
    <row r="123" spans="1:9" ht="12.75">
      <c r="A123" s="111" t="s">
        <v>67</v>
      </c>
      <c r="B123" s="112">
        <f>G$55</f>
        <v>-1.9889835065658943</v>
      </c>
      <c r="C123" s="113">
        <v>0</v>
      </c>
      <c r="D123" s="112">
        <f aca="true" t="shared" si="7" ref="D123:D128">B123-C123</f>
        <v>-1.9889835065658943</v>
      </c>
      <c r="E123" s="115"/>
      <c r="F123" s="229">
        <f>2*(NORMSINV($B$68*$G$40)-(10^(D123/10)+1)*NORMSINV($B$67/$G$40))^2/10^(D123/5)</f>
        <v>40.369875857008026</v>
      </c>
      <c r="G123" s="116">
        <f>ROUNDUP(F123,0)/($B$31*1000)</f>
        <v>0.006833333333333334</v>
      </c>
      <c r="H123" s="110"/>
      <c r="I123" s="110"/>
    </row>
    <row r="124" spans="1:9" ht="12.75">
      <c r="A124" s="117" t="s">
        <v>69</v>
      </c>
      <c r="B124" s="118">
        <f>G$55-11.2+10*LOG10(G$31/0.01)</f>
        <v>14.592528997270541</v>
      </c>
      <c r="C124" s="118">
        <f>(4.5-1.3)*NORMSINV($C$79)</f>
        <v>5.263529601506889</v>
      </c>
      <c r="D124" s="118">
        <f t="shared" si="7"/>
        <v>9.328999395763653</v>
      </c>
      <c r="E124" s="241"/>
      <c r="F124" s="242">
        <f>2*(NORMSINV($B$68*$G$40*$C$79)-(10^(D124/10)+1)*NORMSINV($B$67/($G$40*$C$79)))^2/10^(D124/5)</f>
        <v>0.879051363752415</v>
      </c>
      <c r="G124" s="243">
        <f>ROUNDUP(F124,0)/(0.01*1000)</f>
        <v>0.1</v>
      </c>
      <c r="H124" s="237"/>
      <c r="I124" s="72"/>
    </row>
    <row r="125" spans="1:9" ht="12.75">
      <c r="A125" s="117" t="s">
        <v>87</v>
      </c>
      <c r="B125" s="118">
        <f>G$55</f>
        <v>-1.9889835065658943</v>
      </c>
      <c r="C125" s="118">
        <f>(4.5-1.3)*NORMSINV($C$79)</f>
        <v>5.263529601506889</v>
      </c>
      <c r="D125" s="118">
        <f t="shared" si="7"/>
        <v>-7.252513108072783</v>
      </c>
      <c r="E125" s="161">
        <f>10^(-11.2/10)</f>
        <v>0.07585775750291839</v>
      </c>
      <c r="F125" s="242">
        <f>(NORMSINV($B$68*$G$40*$C$79)-SQRT(10^(D125/10)+1)*NORMSINV($B$67/($G$40*$C$79)))^2/(E125*(10^(D125/10)))</f>
        <v>553.8019130112289</v>
      </c>
      <c r="G125" s="243">
        <f>ROUNDUP(F125,0)/($B$31*1000)</f>
        <v>0.09233333333333334</v>
      </c>
      <c r="H125" s="238"/>
      <c r="I125" s="72"/>
    </row>
    <row r="126" spans="1:9" ht="12.75">
      <c r="A126" s="117" t="s">
        <v>101</v>
      </c>
      <c r="B126" s="122">
        <f>G$55</f>
        <v>-1.9889835065658943</v>
      </c>
      <c r="C126" s="72">
        <f>C123</f>
        <v>0</v>
      </c>
      <c r="D126" s="118">
        <f t="shared" si="7"/>
        <v>-1.9889835065658943</v>
      </c>
      <c r="E126" s="123">
        <v>1</v>
      </c>
      <c r="F126" s="230">
        <f>(1/4)*(NORMSINV($B$68*$G$40)-SQRT(10^(D126/10)+1)*NORMSINV($B$67/$G$40))^2/(E126*(10^(D126/10)))</f>
        <v>2.9916650650645034</v>
      </c>
      <c r="G126" s="120">
        <f>ROUNDUP(F126,0)*(4/$K$73)/1000</f>
        <v>0.0011150097465886942</v>
      </c>
      <c r="H126" s="124">
        <f>(ROUNDUP(F126,0)*832/$K$73+4/$K$73)/1000</f>
        <v>0.23229369720597792</v>
      </c>
      <c r="I126" s="135" t="s">
        <v>68</v>
      </c>
    </row>
    <row r="127" spans="1:9" ht="12.75">
      <c r="A127" s="117" t="s">
        <v>99</v>
      </c>
      <c r="B127" s="122">
        <f>G$55</f>
        <v>-1.9889835065658943</v>
      </c>
      <c r="C127" s="72">
        <f>C123</f>
        <v>0</v>
      </c>
      <c r="D127" s="118">
        <f t="shared" si="7"/>
        <v>-1.9889835065658943</v>
      </c>
      <c r="E127" s="123">
        <v>1</v>
      </c>
      <c r="F127" s="230">
        <f>(1/511)*(NORMSINV($B$68*$G$40)-SQRT(10^(D127/10)+1)*NORMSINV($B$67/$G$40))^2/(E127*(10^(D127/10)))</f>
        <v>0.02341812184003525</v>
      </c>
      <c r="G127" s="120">
        <f>ROUNDUP(F127,0)*(511/$K$73)/1000</f>
        <v>0.04748083170890189</v>
      </c>
      <c r="H127" s="127">
        <f>(ROUNDUP(F127,0)*(313*832/$K$73)+511/$K$73)/1000</f>
        <v>24.24467901234568</v>
      </c>
      <c r="I127" s="122" t="s">
        <v>68</v>
      </c>
    </row>
    <row r="128" spans="1:9" ht="13.5" thickBot="1">
      <c r="A128" s="144" t="s">
        <v>100</v>
      </c>
      <c r="B128" s="147">
        <f>G$55</f>
        <v>-1.9889835065658943</v>
      </c>
      <c r="C128" s="183">
        <f>C123</f>
        <v>0</v>
      </c>
      <c r="D128" s="147">
        <f t="shared" si="7"/>
        <v>-1.9889835065658943</v>
      </c>
      <c r="E128" s="148">
        <v>1</v>
      </c>
      <c r="F128" s="234">
        <f>(1/(3*63))*(NORMSINV($B$68*$G$40)-SQRT(10^(D128/10)+1)*NORMSINV($B$67/$G$40))^2/(E128*(10^(D128/10)))</f>
        <v>0.0633156627526879</v>
      </c>
      <c r="G128" s="149">
        <f>ROUNDUP(F128,0)*(3*63/$K$73)/1000</f>
        <v>0.01756140350877193</v>
      </c>
      <c r="H128" s="306">
        <f>(ROUNDUP(F128,0)*(313*832/$K$73)+3*63/$K$73)/1000</f>
        <v>24.21475958414555</v>
      </c>
      <c r="I128" s="145" t="s">
        <v>68</v>
      </c>
    </row>
    <row r="129" spans="1:8" ht="12.75">
      <c r="A129" s="150"/>
      <c r="B129" s="151" t="s">
        <v>77</v>
      </c>
      <c r="C129" s="211">
        <f>$C$79</f>
        <v>0.95</v>
      </c>
      <c r="D129" s="153"/>
      <c r="E129" s="20"/>
      <c r="F129" s="154"/>
      <c r="G129" s="155"/>
      <c r="H129" s="98"/>
    </row>
    <row r="132" spans="1:9" ht="39" thickBot="1">
      <c r="A132" s="107" t="s">
        <v>58</v>
      </c>
      <c r="B132" s="108" t="s">
        <v>59</v>
      </c>
      <c r="C132" s="108" t="s">
        <v>60</v>
      </c>
      <c r="D132" s="108" t="s">
        <v>61</v>
      </c>
      <c r="E132" s="109" t="s">
        <v>63</v>
      </c>
      <c r="F132" s="109" t="s">
        <v>64</v>
      </c>
      <c r="G132" s="109" t="s">
        <v>65</v>
      </c>
      <c r="H132" s="262" t="s">
        <v>66</v>
      </c>
      <c r="I132" s="262"/>
    </row>
    <row r="133" spans="1:9" ht="12.75">
      <c r="A133" s="111" t="s">
        <v>67</v>
      </c>
      <c r="B133" s="112">
        <f>H$55</f>
        <v>1.7210164934341137</v>
      </c>
      <c r="C133" s="113">
        <v>0</v>
      </c>
      <c r="D133" s="112">
        <f aca="true" t="shared" si="8" ref="D133:D138">B133-C133</f>
        <v>1.7210164934341137</v>
      </c>
      <c r="E133" s="115"/>
      <c r="F133" s="229">
        <f>2*(NORMSINV($B$68*$H$40)-(10^(D133/10)+1)*NORMSINV($B$67/$H$40))^2/10^(D133/5)</f>
        <v>30.144041490748542</v>
      </c>
      <c r="G133" s="116">
        <f>ROUNDUP(F133,0)/($B$31*1000)</f>
        <v>0.005166666666666667</v>
      </c>
      <c r="H133" s="110"/>
      <c r="I133" s="110"/>
    </row>
    <row r="134" spans="1:9" ht="12.75">
      <c r="A134" s="117" t="s">
        <v>69</v>
      </c>
      <c r="B134" s="118">
        <f>H$55-11.2+10*LOG10(H$31/0.01)</f>
        <v>18.30252899727055</v>
      </c>
      <c r="C134" s="118">
        <f>(4.5-1.3)*NORMSINV($C$79)</f>
        <v>5.263529601506889</v>
      </c>
      <c r="D134" s="118">
        <f t="shared" si="8"/>
        <v>13.03899939576366</v>
      </c>
      <c r="E134" s="241"/>
      <c r="F134" s="242">
        <f>2*(NORMSINV($B$68*$H$40*$C$79)-(10^(D134/10)+1)*NORMSINV($B$67/($H$40*$C$79)))^2/10^(D134/5)</f>
        <v>6.770341347467769</v>
      </c>
      <c r="G134" s="243">
        <f>ROUNDUP(F134,0)/(0.01*1000)</f>
        <v>0.7</v>
      </c>
      <c r="H134" s="237"/>
      <c r="I134" s="72"/>
    </row>
    <row r="135" spans="1:9" ht="12.75">
      <c r="A135" s="117" t="s">
        <v>87</v>
      </c>
      <c r="B135" s="118">
        <f>H$55</f>
        <v>1.7210164934341137</v>
      </c>
      <c r="C135" s="118">
        <f>(4.5-1.3)*NORMSINV($C$79)</f>
        <v>5.263529601506889</v>
      </c>
      <c r="D135" s="118">
        <f t="shared" si="8"/>
        <v>-3.542513108072775</v>
      </c>
      <c r="E135" s="161">
        <f>10^(-11.2/10)</f>
        <v>0.07585775750291839</v>
      </c>
      <c r="F135" s="242">
        <f>(NORMSINV($B$68*$H$40*$C$79)-SQRT(10^(D135/10)+1)*NORMSINV($B$67/($H$40*$C$79)))^2/(E135*(10^(D135/10)))</f>
        <v>615.4804825641642</v>
      </c>
      <c r="G135" s="243">
        <f>ROUNDUP(F135,0)/($B$31*1000)</f>
        <v>0.10266666666666667</v>
      </c>
      <c r="H135" s="238"/>
      <c r="I135" s="72"/>
    </row>
    <row r="136" spans="1:9" ht="12.75">
      <c r="A136" s="117" t="s">
        <v>101</v>
      </c>
      <c r="B136" s="122">
        <f>H$55</f>
        <v>1.7210164934341137</v>
      </c>
      <c r="C136" s="72">
        <f>C133</f>
        <v>0</v>
      </c>
      <c r="D136" s="118">
        <f t="shared" si="8"/>
        <v>1.7210164934341137</v>
      </c>
      <c r="E136" s="123">
        <v>1</v>
      </c>
      <c r="F136" s="230">
        <f>(1/4)*(NORMSINV($B$68*$H$40)-SQRT(10^(D136/10)+1)*NORMSINV($B$67/$H$40))^2/(E136*(10^(D136/10)))</f>
        <v>3.557711837612555</v>
      </c>
      <c r="G136" s="120">
        <f>ROUNDUP(F136,0)*(4/$K$73)/1000</f>
        <v>0.0014866796621182587</v>
      </c>
      <c r="H136" s="124">
        <f>(ROUNDUP(F136,0)*832/$K$73+4/$K$73)/1000</f>
        <v>0.30960103963612734</v>
      </c>
      <c r="I136" s="135" t="s">
        <v>68</v>
      </c>
    </row>
    <row r="137" spans="1:9" ht="12.75">
      <c r="A137" s="117" t="s">
        <v>99</v>
      </c>
      <c r="B137" s="122">
        <f>H$55</f>
        <v>1.7210164934341137</v>
      </c>
      <c r="C137" s="72">
        <f>C133</f>
        <v>0</v>
      </c>
      <c r="D137" s="118">
        <f t="shared" si="8"/>
        <v>1.7210164934341137</v>
      </c>
      <c r="E137" s="123">
        <v>1</v>
      </c>
      <c r="F137" s="230">
        <f>(1/511)*(NORMSINV($B$68*$H$40)-SQRT(10^(D137/10)+1)*NORMSINV($B$67/$H$40))^2/(E137*(10^(D137/10)))</f>
        <v>0.02784901634138986</v>
      </c>
      <c r="G137" s="120">
        <f>ROUNDUP(F137,0)*(511/$K$73)/1000</f>
        <v>0.04748083170890189</v>
      </c>
      <c r="H137" s="127">
        <f>(ROUNDUP(F137,0)*(313*832/$K$73)+511/$K$73)/1000</f>
        <v>24.24467901234568</v>
      </c>
      <c r="I137" s="122" t="s">
        <v>68</v>
      </c>
    </row>
    <row r="138" spans="1:9" ht="13.5" thickBot="1">
      <c r="A138" s="144" t="s">
        <v>100</v>
      </c>
      <c r="B138" s="147">
        <f>H$55</f>
        <v>1.7210164934341137</v>
      </c>
      <c r="C138" s="183">
        <f>C133</f>
        <v>0</v>
      </c>
      <c r="D138" s="147">
        <f t="shared" si="8"/>
        <v>1.7210164934341137</v>
      </c>
      <c r="E138" s="148">
        <v>1</v>
      </c>
      <c r="F138" s="234">
        <f>(1/(3*63))*(NORMSINV($B$68*$H$40)-SQRT(10^(D138/10)+1)*NORMSINV($B$67/$H$40))^2/(E138*(10^(D138/10)))</f>
        <v>0.07529548862672074</v>
      </c>
      <c r="G138" s="149">
        <f>ROUNDUP(F138,0)*(3*63/$K$73)/1000</f>
        <v>0.01756140350877193</v>
      </c>
      <c r="H138" s="306">
        <f>(ROUNDUP(F138,0)*(313*832/$K$73)+3*63/$K$73)/1000</f>
        <v>24.21475958414555</v>
      </c>
      <c r="I138" s="145" t="s">
        <v>68</v>
      </c>
    </row>
    <row r="139" spans="1:8" ht="12.75">
      <c r="A139" s="150"/>
      <c r="B139" s="151" t="s">
        <v>77</v>
      </c>
      <c r="C139" s="211">
        <f>$C$79</f>
        <v>0.95</v>
      </c>
      <c r="D139" s="153"/>
      <c r="E139" s="20"/>
      <c r="F139" s="154"/>
      <c r="G139" s="155"/>
      <c r="H139" s="98"/>
    </row>
  </sheetData>
  <mergeCells count="17">
    <mergeCell ref="H132:I132"/>
    <mergeCell ref="A3:H3"/>
    <mergeCell ref="I5:J5"/>
    <mergeCell ref="I16:J16"/>
    <mergeCell ref="A14:H14"/>
    <mergeCell ref="H102:I102"/>
    <mergeCell ref="H112:I112"/>
    <mergeCell ref="H122:I122"/>
    <mergeCell ref="B42:H42"/>
    <mergeCell ref="H82:I82"/>
    <mergeCell ref="H92:I92"/>
    <mergeCell ref="B29:H29"/>
    <mergeCell ref="A71:E71"/>
    <mergeCell ref="B62:D62"/>
    <mergeCell ref="B66:D66"/>
    <mergeCell ref="H72:I72"/>
    <mergeCell ref="A1:H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187" customWidth="1"/>
    <col min="2" max="2" width="5.57421875" style="187" customWidth="1"/>
    <col min="3" max="16384" width="9.140625" style="187" customWidth="1"/>
  </cols>
  <sheetData>
    <row r="1" ht="15.75">
      <c r="A1" s="186" t="s">
        <v>84</v>
      </c>
    </row>
    <row r="2" spans="1:15" ht="16.5" customHeight="1">
      <c r="A2" s="188"/>
      <c r="B2" s="189">
        <v>1</v>
      </c>
      <c r="C2" s="296" t="s">
        <v>98</v>
      </c>
      <c r="D2" s="296"/>
      <c r="E2" s="296"/>
      <c r="F2" s="296"/>
      <c r="G2" s="296"/>
      <c r="H2" s="296"/>
      <c r="I2" s="296"/>
      <c r="J2" s="296"/>
      <c r="K2" s="296"/>
      <c r="L2" s="296"/>
      <c r="M2" s="296"/>
      <c r="N2" s="296"/>
      <c r="O2" s="296"/>
    </row>
    <row r="3" spans="1:15" ht="30" customHeight="1">
      <c r="A3" s="188"/>
      <c r="B3" s="189">
        <v>2</v>
      </c>
      <c r="C3" s="296" t="s">
        <v>85</v>
      </c>
      <c r="D3" s="296"/>
      <c r="E3" s="296"/>
      <c r="F3" s="296"/>
      <c r="G3" s="296"/>
      <c r="H3" s="296"/>
      <c r="I3" s="296"/>
      <c r="J3" s="296"/>
      <c r="K3" s="296"/>
      <c r="L3" s="296"/>
      <c r="M3" s="296"/>
      <c r="N3" s="296"/>
      <c r="O3" s="296"/>
    </row>
    <row r="4" spans="1:15" ht="14.25">
      <c r="A4" s="188"/>
      <c r="B4" s="222">
        <v>3</v>
      </c>
      <c r="C4" s="296" t="s">
        <v>86</v>
      </c>
      <c r="D4" s="297"/>
      <c r="E4" s="297"/>
      <c r="F4" s="297"/>
      <c r="G4" s="297"/>
      <c r="H4" s="297"/>
      <c r="I4" s="297"/>
      <c r="J4" s="297"/>
      <c r="K4" s="297"/>
      <c r="L4" s="297"/>
      <c r="M4" s="297"/>
      <c r="N4" s="297"/>
      <c r="O4" s="297"/>
    </row>
    <row r="5" ht="12.75">
      <c r="A5" s="188"/>
    </row>
    <row r="6" ht="12.75">
      <c r="A6" s="188"/>
    </row>
    <row r="7" ht="12.75">
      <c r="A7" s="188"/>
    </row>
    <row r="8" ht="12.75">
      <c r="A8" s="188"/>
    </row>
    <row r="9" ht="12.75">
      <c r="A9" s="188"/>
    </row>
    <row r="10" ht="12.75">
      <c r="A10" s="188"/>
    </row>
    <row r="11" ht="12.75">
      <c r="A11" s="188"/>
    </row>
    <row r="12" ht="12.75">
      <c r="A12" s="188"/>
    </row>
    <row r="13" ht="12.75">
      <c r="A13" s="188"/>
    </row>
    <row r="14" ht="12.75">
      <c r="A14" s="188"/>
    </row>
    <row r="15" ht="12.75">
      <c r="A15" s="188"/>
    </row>
    <row r="16" ht="12.75">
      <c r="A16" s="188"/>
    </row>
    <row r="17" ht="12.75">
      <c r="A17" s="188"/>
    </row>
    <row r="18" ht="12.75">
      <c r="A18" s="188"/>
    </row>
    <row r="19" ht="12.75">
      <c r="A19" s="188"/>
    </row>
    <row r="20" ht="12.75">
      <c r="A20" s="188"/>
    </row>
    <row r="21" ht="12.75">
      <c r="A21" s="188"/>
    </row>
    <row r="22" ht="12.75">
      <c r="A22" s="188"/>
    </row>
    <row r="23" ht="12.75">
      <c r="A23" s="188"/>
    </row>
    <row r="24" ht="12.75">
      <c r="A24" s="188"/>
    </row>
  </sheetData>
  <mergeCells count="3">
    <mergeCell ref="C4:O4"/>
    <mergeCell ref="C3:O3"/>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G. Chouinard</cp:lastModifiedBy>
  <cp:lastPrinted>2006-05-03T13:26:00Z</cp:lastPrinted>
  <dcterms:created xsi:type="dcterms:W3CDTF">2005-07-17T01:24:31Z</dcterms:created>
  <dcterms:modified xsi:type="dcterms:W3CDTF">2006-05-09T21:46:08Z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