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7220" windowHeight="9525" tabRatio="705" activeTab="0"/>
  </bookViews>
  <sheets>
    <sheet name="Notes" sheetId="1" r:id="rId1"/>
    <sheet name="850nm_newMMF" sheetId="2" r:id="rId2"/>
    <sheet name="850nm_62MMF" sheetId="3" r:id="rId3"/>
    <sheet name="850nm_50MMF" sheetId="4" r:id="rId4"/>
    <sheet name="1300nm_62MMF" sheetId="5" r:id="rId5"/>
    <sheet name="1300nm_50MMF" sheetId="6" r:id="rId6"/>
    <sheet name="1300nm_SMF" sheetId="7" r:id="rId7"/>
    <sheet name="1550nm_SMF" sheetId="8" r:id="rId8"/>
  </sheets>
  <definedNames>
    <definedName name="_xlnm.Print_Area" localSheetId="5">'1300nm_50MMF'!$A$1:$X$52</definedName>
    <definedName name="_xlnm.Print_Area" localSheetId="4">'1300nm_62MMF'!$A$1:$X$52</definedName>
    <definedName name="_xlnm.Print_Area" localSheetId="6">'1300nm_SMF'!$A$1:$X$52</definedName>
    <definedName name="_xlnm.Print_Area" localSheetId="7">'1550nm_SMF'!$A$1:$X$52</definedName>
    <definedName name="_xlnm.Print_Area" localSheetId="3">'850nm_50MMF'!$A$1:$X$52</definedName>
    <definedName name="_xlnm.Print_Area" localSheetId="2">'850nm_62MMF'!$A$1:$X$52</definedName>
    <definedName name="_xlnm.Print_Area" localSheetId="1">'850nm_newMMF'!$A$1:$X$52</definedName>
    <definedName name="PRINT_AREA_MI" localSheetId="5">'1300nm_50MMF'!$A$5:$H$30</definedName>
    <definedName name="PRINT_AREA_MI" localSheetId="4">'1300nm_62MMF'!$A$5:$H$30</definedName>
    <definedName name="PRINT_AREA_MI" localSheetId="6">'1300nm_SMF'!$A$5:$H$30</definedName>
    <definedName name="PRINT_AREA_MI" localSheetId="7">'1550nm_SMF'!$A$5:$H$30</definedName>
    <definedName name="PRINT_AREA_MI" localSheetId="3">'850nm_50MMF'!$A$5:$H$30</definedName>
    <definedName name="PRINT_AREA_MI" localSheetId="2">'850nm_62MMF'!$A$5:$H$30</definedName>
    <definedName name="PRINT_AREA_MI" localSheetId="1">'850nm_newMMF'!$A$5:$H$30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<sst xmlns="http://schemas.openxmlformats.org/spreadsheetml/2006/main" count="955" uniqueCount="129">
  <si>
    <t>62MMF</t>
  </si>
  <si>
    <t>Rev.</t>
  </si>
  <si>
    <t>Input=</t>
  </si>
  <si>
    <t>Bold</t>
  </si>
  <si>
    <t>C_att=</t>
  </si>
  <si>
    <t>BWm(MHz*km)=</t>
  </si>
  <si>
    <t>Ts(10-90)=</t>
  </si>
  <si>
    <t>P: Power Budget</t>
  </si>
  <si>
    <t>Uw(nm)=</t>
  </si>
  <si>
    <t>So(ps/nm^2*km)=</t>
  </si>
  <si>
    <t>RIN_Coef=</t>
  </si>
  <si>
    <t>C: Connection Loss</t>
  </si>
  <si>
    <t>C1=</t>
  </si>
  <si>
    <t>Rate (MBd)=</t>
  </si>
  <si>
    <t>Ts(20-80)=</t>
  </si>
  <si>
    <t>Q=</t>
  </si>
  <si>
    <t>Effective Rate (MBd)=</t>
  </si>
  <si>
    <t>Effective Rec Eye(UI)=</t>
  </si>
  <si>
    <t>MPN, k=</t>
  </si>
  <si>
    <t>DCD_DJ(ps)=</t>
  </si>
  <si>
    <t>Rec Eye(UI)=</t>
  </si>
  <si>
    <t>MN (dB)=</t>
  </si>
  <si>
    <t>Min Launch Pwr(dBm)=</t>
  </si>
  <si>
    <t>Ptot -(P-C)=</t>
  </si>
  <si>
    <t>dB @ Lmax</t>
  </si>
  <si>
    <t>Stressed</t>
  </si>
  <si>
    <t>Test Source ER (dB)=</t>
  </si>
  <si>
    <t>Receiver</t>
  </si>
  <si>
    <t>Link</t>
  </si>
  <si>
    <t xml:space="preserve">Test </t>
  </si>
  <si>
    <t>(dB)</t>
  </si>
  <si>
    <t xml:space="preserve"> (dB)</t>
  </si>
  <si>
    <t>Sensitivity</t>
  </si>
  <si>
    <t>Margin</t>
  </si>
  <si>
    <t>Spec</t>
  </si>
  <si>
    <t>Source</t>
  </si>
  <si>
    <t>D2</t>
  </si>
  <si>
    <t>Pisi</t>
  </si>
  <si>
    <t>Patt</t>
  </si>
  <si>
    <t>Beta</t>
  </si>
  <si>
    <t>SDmpn</t>
  </si>
  <si>
    <t>Pmpn</t>
  </si>
  <si>
    <t>V_rin</t>
  </si>
  <si>
    <t>Prin</t>
  </si>
  <si>
    <t>Per</t>
  </si>
  <si>
    <t>Pmn</t>
  </si>
  <si>
    <t>R. Eye</t>
  </si>
  <si>
    <t>P-C</t>
  </si>
  <si>
    <t>Ptotal</t>
  </si>
  <si>
    <t>Ch IL</t>
  </si>
  <si>
    <t>LP Pen</t>
  </si>
  <si>
    <t>(dBm)</t>
  </si>
  <si>
    <t>(dB/10 m)</t>
  </si>
  <si>
    <t>ER(dB)</t>
  </si>
  <si>
    <t>50MMF</t>
  </si>
  <si>
    <t>Uc(nm)=</t>
  </si>
  <si>
    <t>Uo(nm)=</t>
  </si>
  <si>
    <t xml:space="preserve">D1 </t>
  </si>
  <si>
    <t>(ps/(nm.km))</t>
  </si>
  <si>
    <t>1300nm</t>
  </si>
  <si>
    <t>SMF</t>
  </si>
  <si>
    <t>P_BLW</t>
  </si>
  <si>
    <t>P_BLW(no ISI)=</t>
  </si>
  <si>
    <t>dB</t>
  </si>
  <si>
    <t>(no units)</t>
  </si>
  <si>
    <t>closed eye</t>
  </si>
  <si>
    <t>fraction of 1/2 eye</t>
  </si>
  <si>
    <t>Power Budget P (dB)=</t>
  </si>
  <si>
    <t xml:space="preserve">         Connections C (dB)=</t>
  </si>
  <si>
    <t>Notes</t>
  </si>
  <si>
    <t>http://grouper.ieee.org/groups/802/3/10G_study/public/email_attach/All_1250.xls</t>
  </si>
  <si>
    <t>"Back-to-back" line added showing case of 2m fibre, low RIN source with rise time as specified</t>
  </si>
  <si>
    <t>Baseline wander formulae included, assuming low-overhead scrambled coding e.g. SONET or 64B66B</t>
  </si>
  <si>
    <t>T_rx</t>
  </si>
  <si>
    <t>Spec ER=</t>
  </si>
  <si>
    <t>RMS Baseline wander S.D.=</t>
  </si>
  <si>
    <t>Case:</t>
  </si>
  <si>
    <t>no units</t>
  </si>
  <si>
    <t>ISI &amp; TP4</t>
  </si>
  <si>
    <t>Pcross</t>
  </si>
  <si>
    <t>BWcd</t>
  </si>
  <si>
    <t>BWm</t>
  </si>
  <si>
    <t>Te</t>
  </si>
  <si>
    <t>Tc</t>
  </si>
  <si>
    <t>(MHz)</t>
  </si>
  <si>
    <t>dB/Hz</t>
  </si>
  <si>
    <t>RIN=</t>
  </si>
  <si>
    <t>(km)</t>
  </si>
  <si>
    <t xml:space="preserve">L  </t>
  </si>
  <si>
    <t>Ext R</t>
  </si>
  <si>
    <t xml:space="preserve">    P_BLW is the effect of baseline wander assuming fast transmitter, receiver bandwidth as specified, no fibre</t>
  </si>
  <si>
    <t xml:space="preserve">    P_BLW(no ISI) is the effect of baseline wander assuming ample bandwidth in transmitter and receiver, no fibre</t>
  </si>
  <si>
    <t xml:space="preserve">    Suggest reduce DCD_RJ if using BLW terms in low-overhead scenario</t>
  </si>
  <si>
    <t xml:space="preserve">    The definition of "Power budget" (transmitted power - receiver sensitivity) already includes this effect.</t>
  </si>
  <si>
    <t xml:space="preserve">    Input parameter "RMS baseline wander" is like a signal/noise ratio: Standard dev/(eye height * 0.5)</t>
  </si>
  <si>
    <t>850nm</t>
  </si>
  <si>
    <t>The modifications are:</t>
  </si>
  <si>
    <t>Atten=</t>
  </si>
  <si>
    <t>Base Rate=</t>
  </si>
  <si>
    <t>Rec_BW=</t>
  </si>
  <si>
    <t>ISI_TP4_Rx</t>
  </si>
  <si>
    <t>ps</t>
  </si>
  <si>
    <t>TP4 Eye Opening=</t>
  </si>
  <si>
    <t>MBd</t>
  </si>
  <si>
    <t>MHz</t>
  </si>
  <si>
    <t>ns.MHz</t>
  </si>
  <si>
    <t>Spreadsheet by Del Hanson, David Cunningham, Piers Dawe, Agilent Technologies</t>
  </si>
  <si>
    <t>Target reach</t>
  </si>
  <si>
    <t>km</t>
  </si>
  <si>
    <t>Target</t>
  </si>
  <si>
    <t>(for graph)</t>
  </si>
  <si>
    <t>L_start=</t>
  </si>
  <si>
    <t>L_inc=</t>
  </si>
  <si>
    <t>(ps)</t>
  </si>
  <si>
    <t>Tb=</t>
  </si>
  <si>
    <t>newMMF</t>
  </si>
  <si>
    <t>1550nm</t>
  </si>
  <si>
    <t>Attenuation</t>
  </si>
  <si>
    <t>(for margin</t>
  </si>
  <si>
    <t>at taget L)</t>
  </si>
  <si>
    <t>Margin at target reach calculated</t>
  </si>
  <si>
    <t>Attenuation specification at standard wavelength clarified</t>
  </si>
  <si>
    <t>This is a modification of the IEEE 802.3z link model spreadsheet,</t>
  </si>
  <si>
    <t>"New MMF" scenario added</t>
  </si>
  <si>
    <t>*</t>
  </si>
  <si>
    <t>Interaction between ISI, TP4 eye closure, RIN, MPN and baseline wander calculated</t>
  </si>
  <si>
    <t xml:space="preserve">    Pcross is the extra penalty caused by these interactions</t>
  </si>
  <si>
    <t>v2</t>
  </si>
  <si>
    <t>See"Notes" page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</si>
</sst>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0.000"/>
    <numFmt numFmtId="180" formatCode="0.000E+00"/>
    <numFmt numFmtId="181" formatCode="0.0E+00"/>
    <numFmt numFmtId="182" formatCode="#.0##"/>
    <numFmt numFmtId="183" formatCode="###0.0##"/>
    <numFmt numFmtId="184" formatCode="0.E+00"/>
  </numFmts>
  <fonts count="27">
    <font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11"/>
      <color indexed="8"/>
      <name val="Arial"/>
      <family val="0"/>
    </font>
    <font>
      <b/>
      <sz val="11"/>
      <color indexed="10"/>
      <name val="Arial"/>
      <family val="0"/>
    </font>
    <font>
      <b/>
      <sz val="11"/>
      <color indexed="8"/>
      <name val="Arial"/>
      <family val="0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57"/>
      <name val="Arial"/>
      <family val="2"/>
    </font>
    <font>
      <sz val="12"/>
      <color indexed="5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55"/>
      <name val="Arial"/>
      <family val="2"/>
    </font>
    <font>
      <sz val="12"/>
      <color indexed="55"/>
      <name val="Arial"/>
      <family val="2"/>
    </font>
    <font>
      <sz val="11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25" applyFont="1" applyAlignment="1">
      <alignment/>
      <protection/>
    </xf>
    <xf numFmtId="0" fontId="3" fillId="0" borderId="0" xfId="25" applyFont="1" applyAlignment="1">
      <alignment horizontal="right"/>
      <protection/>
    </xf>
    <xf numFmtId="2" fontId="3" fillId="0" borderId="0" xfId="25" applyNumberFormat="1" applyFont="1" applyAlignment="1">
      <alignment horizontal="center"/>
      <protection/>
    </xf>
    <xf numFmtId="2" fontId="3" fillId="0" borderId="0" xfId="25" applyNumberFormat="1" applyFont="1" applyAlignment="1">
      <alignment/>
      <protection/>
    </xf>
    <xf numFmtId="0" fontId="1" fillId="0" borderId="0" xfId="25" applyNumberFormat="1" applyFont="1" applyAlignment="1">
      <alignment/>
      <protection locked="0"/>
    </xf>
    <xf numFmtId="0" fontId="3" fillId="0" borderId="0" xfId="25" applyFont="1" applyAlignment="1">
      <alignment horizontal="center"/>
      <protection/>
    </xf>
    <xf numFmtId="0" fontId="4" fillId="0" borderId="0" xfId="25" applyNumberFormat="1" applyFont="1" applyAlignment="1">
      <alignment/>
      <protection locked="0"/>
    </xf>
    <xf numFmtId="2" fontId="3" fillId="0" borderId="0" xfId="25" applyNumberFormat="1" applyFont="1" applyAlignment="1">
      <alignment horizontal="right"/>
      <protection/>
    </xf>
    <xf numFmtId="0" fontId="5" fillId="0" borderId="0" xfId="25" applyFont="1" applyAlignment="1">
      <alignment/>
      <protection/>
    </xf>
    <xf numFmtId="0" fontId="1" fillId="0" borderId="0" xfId="25" applyNumberFormat="1" applyFont="1" applyAlignment="1">
      <alignment horizontal="center"/>
      <protection locked="0"/>
    </xf>
    <xf numFmtId="1" fontId="3" fillId="0" borderId="0" xfId="25" applyNumberFormat="1" applyFont="1" applyAlignment="1">
      <alignment horizontal="center"/>
      <protection/>
    </xf>
    <xf numFmtId="0" fontId="1" fillId="0" borderId="0" xfId="25" applyNumberFormat="1" applyAlignment="1">
      <alignment horizontal="center"/>
      <protection locked="0"/>
    </xf>
    <xf numFmtId="0" fontId="1" fillId="0" borderId="0" xfId="25" applyNumberFormat="1">
      <alignment/>
      <protection/>
    </xf>
    <xf numFmtId="0" fontId="1" fillId="0" borderId="0" xfId="25" applyNumberFormat="1" applyAlignment="1">
      <alignment horizontal="center"/>
      <protection/>
    </xf>
    <xf numFmtId="0" fontId="3" fillId="0" borderId="0" xfId="25" applyNumberFormat="1" applyFont="1" applyAlignment="1">
      <alignment/>
      <protection/>
    </xf>
    <xf numFmtId="1" fontId="5" fillId="0" borderId="0" xfId="25" applyNumberFormat="1" applyFont="1" applyAlignment="1">
      <alignment horizontal="center"/>
      <protection/>
    </xf>
    <xf numFmtId="1" fontId="3" fillId="0" borderId="0" xfId="25" applyNumberFormat="1" applyFont="1" applyAlignment="1">
      <alignment/>
      <protection/>
    </xf>
    <xf numFmtId="0" fontId="8" fillId="0" borderId="0" xfId="25" applyFont="1" applyAlignment="1">
      <alignment/>
      <protection/>
    </xf>
    <xf numFmtId="2" fontId="8" fillId="0" borderId="0" xfId="25" applyNumberFormat="1" applyFont="1" applyAlignment="1">
      <alignment/>
      <protection/>
    </xf>
    <xf numFmtId="0" fontId="8" fillId="0" borderId="0" xfId="25" applyFont="1" applyAlignment="1">
      <alignment horizontal="center"/>
      <protection/>
    </xf>
    <xf numFmtId="0" fontId="11" fillId="0" borderId="0" xfId="25" applyNumberFormat="1" applyFont="1" applyAlignment="1">
      <alignment/>
      <protection locked="0"/>
    </xf>
    <xf numFmtId="2" fontId="7" fillId="0" borderId="0" xfId="25" applyNumberFormat="1" applyFont="1" applyAlignment="1">
      <alignment horizontal="right"/>
      <protection/>
    </xf>
    <xf numFmtId="0" fontId="7" fillId="0" borderId="0" xfId="25" applyFont="1" applyAlignment="1">
      <alignment/>
      <protection/>
    </xf>
    <xf numFmtId="2" fontId="7" fillId="0" borderId="0" xfId="25" applyNumberFormat="1" applyFont="1" applyAlignment="1">
      <alignment/>
      <protection/>
    </xf>
    <xf numFmtId="0" fontId="7" fillId="0" borderId="0" xfId="25" applyFont="1" applyAlignment="1">
      <alignment horizontal="center"/>
      <protection/>
    </xf>
    <xf numFmtId="2" fontId="7" fillId="0" borderId="0" xfId="25" applyNumberFormat="1" applyFont="1" applyAlignment="1">
      <alignment horizontal="center"/>
      <protection/>
    </xf>
    <xf numFmtId="0" fontId="2" fillId="0" borderId="0" xfId="25" applyNumberFormat="1" applyFont="1" applyAlignment="1">
      <alignment/>
      <protection locked="0"/>
    </xf>
    <xf numFmtId="2" fontId="8" fillId="0" borderId="0" xfId="25" applyNumberFormat="1" applyFont="1" applyAlignment="1">
      <alignment horizontal="center"/>
      <protection/>
    </xf>
    <xf numFmtId="0" fontId="7" fillId="0" borderId="0" xfId="25" applyFont="1" applyAlignment="1">
      <alignment horizontal="right"/>
      <protection/>
    </xf>
    <xf numFmtId="0" fontId="7" fillId="0" borderId="0" xfId="25" applyFont="1" applyAlignment="1">
      <alignment horizontal="left"/>
      <protection/>
    </xf>
    <xf numFmtId="0" fontId="9" fillId="0" borderId="0" xfId="25" applyNumberFormat="1" applyFont="1" applyAlignment="1">
      <alignment/>
      <protection locked="0"/>
    </xf>
    <xf numFmtId="0" fontId="2" fillId="0" borderId="0" xfId="25" applyNumberFormat="1" applyFont="1" applyAlignment="1">
      <alignment horizontal="center"/>
      <protection locked="0"/>
    </xf>
    <xf numFmtId="0" fontId="3" fillId="0" borderId="1" xfId="25" applyFont="1" applyBorder="1" applyAlignment="1">
      <alignment/>
      <protection/>
    </xf>
    <xf numFmtId="0" fontId="1" fillId="0" borderId="1" xfId="25" applyNumberFormat="1" applyFont="1" applyBorder="1" applyAlignment="1">
      <alignment/>
      <protection locked="0"/>
    </xf>
    <xf numFmtId="0" fontId="3" fillId="0" borderId="1" xfId="25" applyFont="1" applyBorder="1" applyAlignment="1">
      <alignment horizontal="right"/>
      <protection/>
    </xf>
    <xf numFmtId="0" fontId="16" fillId="0" borderId="1" xfId="25" applyNumberFormat="1" applyFont="1" applyBorder="1" applyAlignment="1">
      <alignment/>
      <protection locked="0"/>
    </xf>
    <xf numFmtId="1" fontId="3" fillId="0" borderId="1" xfId="25" applyNumberFormat="1" applyFont="1" applyBorder="1" applyAlignment="1">
      <alignment horizontal="left"/>
      <protection/>
    </xf>
    <xf numFmtId="1" fontId="3" fillId="0" borderId="1" xfId="25" applyNumberFormat="1" applyFont="1" applyBorder="1" applyAlignment="1">
      <alignment horizontal="center"/>
      <protection/>
    </xf>
    <xf numFmtId="1" fontId="3" fillId="0" borderId="1" xfId="25" applyNumberFormat="1" applyFont="1" applyBorder="1" applyAlignment="1">
      <alignment horizontal="right"/>
      <protection/>
    </xf>
    <xf numFmtId="2" fontId="7" fillId="2" borderId="1" xfId="25" applyNumberFormat="1" applyFont="1" applyFill="1" applyBorder="1" applyAlignment="1">
      <alignment/>
      <protection/>
    </xf>
    <xf numFmtId="2" fontId="7" fillId="0" borderId="1" xfId="25" applyNumberFormat="1" applyFont="1" applyBorder="1" applyAlignment="1">
      <alignment/>
      <protection/>
    </xf>
    <xf numFmtId="1" fontId="3" fillId="0" borderId="1" xfId="25" applyNumberFormat="1" applyFont="1" applyBorder="1" applyAlignment="1">
      <alignment/>
      <protection/>
    </xf>
    <xf numFmtId="0" fontId="1" fillId="0" borderId="1" xfId="25" applyNumberFormat="1" applyFont="1" applyBorder="1" applyAlignment="1">
      <alignment horizontal="center"/>
      <protection locked="0"/>
    </xf>
    <xf numFmtId="0" fontId="3" fillId="0" borderId="1" xfId="25" applyFont="1" applyBorder="1" applyAlignment="1">
      <alignment horizontal="center"/>
      <protection/>
    </xf>
    <xf numFmtId="178" fontId="3" fillId="0" borderId="1" xfId="25" applyNumberFormat="1" applyFont="1" applyBorder="1" applyAlignment="1">
      <alignment horizontal="center"/>
      <protection/>
    </xf>
    <xf numFmtId="2" fontId="3" fillId="0" borderId="1" xfId="25" applyNumberFormat="1" applyFont="1" applyBorder="1" applyAlignment="1">
      <alignment horizontal="right"/>
      <protection/>
    </xf>
    <xf numFmtId="2" fontId="3" fillId="0" borderId="1" xfId="25" applyNumberFormat="1" applyFont="1" applyBorder="1" applyAlignment="1">
      <alignment horizontal="right"/>
      <protection/>
    </xf>
    <xf numFmtId="2" fontId="3" fillId="0" borderId="1" xfId="25" applyNumberFormat="1" applyFont="1" applyBorder="1" applyAlignment="1">
      <alignment/>
      <protection/>
    </xf>
    <xf numFmtId="2" fontId="3" fillId="0" borderId="1" xfId="25" applyNumberFormat="1" applyFont="1" applyBorder="1" applyAlignment="1">
      <alignment horizontal="center"/>
      <protection/>
    </xf>
    <xf numFmtId="0" fontId="1" fillId="0" borderId="1" xfId="25" applyBorder="1" applyAlignment="1">
      <alignment horizontal="center"/>
      <protection/>
    </xf>
    <xf numFmtId="2" fontId="7" fillId="0" borderId="0" xfId="25" applyNumberFormat="1" applyFont="1" applyBorder="1" applyAlignment="1">
      <alignment/>
      <protection/>
    </xf>
    <xf numFmtId="2" fontId="12" fillId="0" borderId="0" xfId="25" applyNumberFormat="1" applyFont="1" applyBorder="1" applyAlignment="1">
      <alignment/>
      <protection/>
    </xf>
    <xf numFmtId="0" fontId="7" fillId="0" borderId="0" xfId="25" applyFont="1" applyBorder="1" applyAlignment="1">
      <alignment/>
      <protection/>
    </xf>
    <xf numFmtId="0" fontId="7" fillId="0" borderId="0" xfId="25" applyFont="1" applyBorder="1" applyAlignment="1">
      <alignment horizontal="center"/>
      <protection/>
    </xf>
    <xf numFmtId="2" fontId="15" fillId="0" borderId="0" xfId="25" applyNumberFormat="1" applyFont="1" applyBorder="1" applyAlignment="1">
      <alignment/>
      <protection/>
    </xf>
    <xf numFmtId="2" fontId="13" fillId="0" borderId="0" xfId="25" applyNumberFormat="1" applyFont="1" applyBorder="1" applyAlignment="1">
      <alignment/>
      <protection/>
    </xf>
    <xf numFmtId="2" fontId="3" fillId="0" borderId="0" xfId="25" applyNumberFormat="1" applyFont="1" applyFill="1" applyAlignment="1">
      <alignment/>
      <protection/>
    </xf>
    <xf numFmtId="0" fontId="1" fillId="0" borderId="0" xfId="25" applyNumberFormat="1" applyFont="1" applyFill="1" applyAlignment="1">
      <alignment/>
      <protection locked="0"/>
    </xf>
    <xf numFmtId="1" fontId="3" fillId="0" borderId="1" xfId="25" applyNumberFormat="1" applyFont="1" applyFill="1" applyBorder="1" applyAlignment="1">
      <alignment horizontal="center"/>
      <protection/>
    </xf>
    <xf numFmtId="2" fontId="3" fillId="0" borderId="1" xfId="25" applyNumberFormat="1" applyFont="1" applyFill="1" applyBorder="1" applyAlignment="1">
      <alignment horizontal="center"/>
      <protection/>
    </xf>
    <xf numFmtId="2" fontId="7" fillId="0" borderId="0" xfId="25" applyNumberFormat="1" applyFont="1" applyFill="1" applyBorder="1" applyAlignment="1">
      <alignment horizontal="center"/>
      <protection/>
    </xf>
    <xf numFmtId="2" fontId="7" fillId="0" borderId="0" xfId="25" applyNumberFormat="1" applyFont="1" applyFill="1" applyAlignment="1">
      <alignment/>
      <protection/>
    </xf>
    <xf numFmtId="0" fontId="3" fillId="0" borderId="0" xfId="25" applyFont="1" applyFill="1" applyAlignment="1">
      <alignment/>
      <protection/>
    </xf>
    <xf numFmtId="0" fontId="1" fillId="0" borderId="0" xfId="25" applyNumberFormat="1" applyFont="1" applyBorder="1" applyAlignment="1">
      <alignment/>
      <protection locked="0"/>
    </xf>
    <xf numFmtId="0" fontId="3" fillId="0" borderId="0" xfId="25" applyFont="1" applyBorder="1" applyAlignment="1">
      <alignment horizontal="right"/>
      <protection/>
    </xf>
    <xf numFmtId="2" fontId="7" fillId="2" borderId="0" xfId="25" applyNumberFormat="1" applyFont="1" applyFill="1" applyBorder="1" applyAlignment="1">
      <alignment/>
      <protection/>
    </xf>
    <xf numFmtId="2" fontId="3" fillId="0" borderId="0" xfId="25" applyNumberFormat="1" applyFont="1" applyBorder="1" applyAlignment="1">
      <alignment horizontal="right"/>
      <protection/>
    </xf>
    <xf numFmtId="2" fontId="3" fillId="0" borderId="0" xfId="25" applyNumberFormat="1" applyFont="1" applyBorder="1" applyAlignment="1">
      <alignment horizontal="right"/>
      <protection/>
    </xf>
    <xf numFmtId="0" fontId="3" fillId="0" borderId="0" xfId="25" applyFont="1" applyBorder="1" applyAlignment="1">
      <alignment horizontal="center"/>
      <protection/>
    </xf>
    <xf numFmtId="2" fontId="3" fillId="0" borderId="0" xfId="25" applyNumberFormat="1" applyFont="1" applyBorder="1" applyAlignment="1">
      <alignment/>
      <protection/>
    </xf>
    <xf numFmtId="2" fontId="3" fillId="0" borderId="0" xfId="25" applyNumberFormat="1" applyFont="1" applyBorder="1" applyAlignment="1">
      <alignment horizontal="center"/>
      <protection/>
    </xf>
    <xf numFmtId="2" fontId="3" fillId="0" borderId="0" xfId="25" applyNumberFormat="1" applyFont="1" applyFill="1" applyBorder="1" applyAlignment="1">
      <alignment horizontal="center"/>
      <protection/>
    </xf>
    <xf numFmtId="2" fontId="3" fillId="0" borderId="0" xfId="25" applyNumberFormat="1" applyFont="1" applyBorder="1" applyAlignment="1">
      <alignment/>
      <protection/>
    </xf>
    <xf numFmtId="0" fontId="1" fillId="0" borderId="0" xfId="25" applyBorder="1" applyAlignment="1">
      <alignment horizontal="center"/>
      <protection/>
    </xf>
    <xf numFmtId="178" fontId="3" fillId="0" borderId="0" xfId="25" applyNumberFormat="1" applyFont="1" applyBorder="1" applyAlignment="1">
      <alignment horizontal="center"/>
      <protection/>
    </xf>
    <xf numFmtId="0" fontId="3" fillId="0" borderId="0" xfId="25" applyFont="1" applyBorder="1" applyAlignment="1">
      <alignment/>
      <protection/>
    </xf>
    <xf numFmtId="2" fontId="8" fillId="0" borderId="1" xfId="25" applyNumberFormat="1" applyFont="1" applyBorder="1" applyAlignment="1">
      <alignment/>
      <protection/>
    </xf>
    <xf numFmtId="2" fontId="9" fillId="0" borderId="1" xfId="25" applyNumberFormat="1" applyFont="1" applyBorder="1" applyAlignment="1">
      <alignment/>
      <protection/>
    </xf>
    <xf numFmtId="2" fontId="8" fillId="0" borderId="1" xfId="25" applyNumberFormat="1" applyFont="1" applyFill="1" applyBorder="1" applyAlignment="1">
      <alignment horizontal="center"/>
      <protection/>
    </xf>
    <xf numFmtId="0" fontId="8" fillId="0" borderId="1" xfId="25" applyFont="1" applyBorder="1" applyAlignment="1">
      <alignment horizontal="center"/>
      <protection/>
    </xf>
    <xf numFmtId="2" fontId="14" fillId="0" borderId="1" xfId="25" applyNumberFormat="1" applyFont="1" applyBorder="1" applyAlignment="1">
      <alignment/>
      <protection/>
    </xf>
    <xf numFmtId="2" fontId="10" fillId="0" borderId="1" xfId="25" applyNumberFormat="1" applyFont="1" applyBorder="1" applyAlignment="1">
      <alignment/>
      <protection/>
    </xf>
    <xf numFmtId="0" fontId="11" fillId="0" borderId="1" xfId="25" applyNumberFormat="1" applyFont="1" applyBorder="1" applyAlignment="1">
      <alignment horizontal="center"/>
      <protection/>
    </xf>
    <xf numFmtId="0" fontId="11" fillId="0" borderId="1" xfId="25" applyNumberFormat="1" applyFont="1" applyBorder="1" applyAlignment="1">
      <alignment/>
      <protection locked="0"/>
    </xf>
    <xf numFmtId="0" fontId="8" fillId="0" borderId="0" xfId="25" applyFont="1" applyAlignment="1">
      <alignment horizontal="left"/>
      <protection/>
    </xf>
    <xf numFmtId="0" fontId="1" fillId="0" borderId="0" xfId="25" applyNumberFormat="1" applyFont="1" applyFill="1" applyBorder="1" applyAlignment="1">
      <alignment/>
      <protection locked="0"/>
    </xf>
    <xf numFmtId="0" fontId="4" fillId="0" borderId="0" xfId="25" applyNumberFormat="1" applyFont="1" applyBorder="1" applyAlignment="1">
      <alignment/>
      <protection locked="0"/>
    </xf>
    <xf numFmtId="0" fontId="5" fillId="0" borderId="0" xfId="25" applyFont="1" applyBorder="1" applyAlignment="1">
      <alignment/>
      <protection/>
    </xf>
    <xf numFmtId="0" fontId="3" fillId="0" borderId="0" xfId="25" applyFont="1" applyFill="1" applyBorder="1" applyAlignment="1">
      <alignment horizontal="center"/>
      <protection/>
    </xf>
    <xf numFmtId="2" fontId="3" fillId="0" borderId="0" xfId="25" applyNumberFormat="1" applyFont="1" applyFill="1" applyBorder="1" applyAlignment="1">
      <alignment/>
      <protection/>
    </xf>
    <xf numFmtId="0" fontId="5" fillId="0" borderId="0" xfId="25" applyNumberFormat="1" applyFont="1" applyBorder="1" applyAlignment="1">
      <alignment/>
      <protection/>
    </xf>
    <xf numFmtId="0" fontId="3" fillId="0" borderId="0" xfId="25" applyFont="1" applyFill="1" applyBorder="1" applyAlignment="1">
      <alignment horizontal="left"/>
      <protection/>
    </xf>
    <xf numFmtId="2" fontId="5" fillId="0" borderId="0" xfId="25" applyNumberFormat="1" applyFont="1" applyBorder="1" applyAlignment="1">
      <alignment/>
      <protection/>
    </xf>
    <xf numFmtId="1" fontId="5" fillId="0" borderId="0" xfId="25" applyNumberFormat="1" applyFont="1" applyBorder="1" applyAlignment="1">
      <alignment/>
      <protection/>
    </xf>
    <xf numFmtId="1" fontId="6" fillId="0" borderId="0" xfId="25" applyNumberFormat="1" applyFont="1" applyBorder="1" applyAlignment="1">
      <alignment/>
      <protection/>
    </xf>
    <xf numFmtId="1" fontId="7" fillId="2" borderId="0" xfId="25" applyNumberFormat="1" applyFont="1" applyFill="1" applyBorder="1" applyAlignment="1">
      <alignment/>
      <protection/>
    </xf>
    <xf numFmtId="2" fontId="6" fillId="0" borderId="0" xfId="25" applyNumberFormat="1" applyFont="1" applyBorder="1" applyAlignment="1">
      <alignment/>
      <protection/>
    </xf>
    <xf numFmtId="0" fontId="1" fillId="0" borderId="0" xfId="25" applyNumberFormat="1" applyFont="1" applyBorder="1" applyAlignment="1">
      <alignment horizontal="right"/>
      <protection locked="0"/>
    </xf>
    <xf numFmtId="0" fontId="1" fillId="0" borderId="0" xfId="25" applyNumberFormat="1" applyFont="1" applyBorder="1" applyAlignment="1">
      <alignment/>
      <protection locked="0"/>
    </xf>
    <xf numFmtId="0" fontId="3" fillId="0" borderId="2" xfId="25" applyFont="1" applyBorder="1" applyAlignment="1">
      <alignment horizontal="center"/>
      <protection/>
    </xf>
    <xf numFmtId="0" fontId="3" fillId="0" borderId="2" xfId="25" applyFont="1" applyBorder="1" applyAlignment="1">
      <alignment horizontal="center" wrapText="1"/>
      <protection/>
    </xf>
    <xf numFmtId="0" fontId="3" fillId="0" borderId="3" xfId="25" applyFont="1" applyBorder="1" applyAlignment="1">
      <alignment horizontal="center"/>
      <protection/>
    </xf>
    <xf numFmtId="2" fontId="8" fillId="0" borderId="0" xfId="25" applyNumberFormat="1" applyFont="1" applyBorder="1" applyAlignment="1">
      <alignment/>
      <protection/>
    </xf>
    <xf numFmtId="2" fontId="14" fillId="0" borderId="0" xfId="25" applyNumberFormat="1" applyFont="1" applyBorder="1" applyAlignment="1">
      <alignment/>
      <protection/>
    </xf>
    <xf numFmtId="2" fontId="2" fillId="0" borderId="2" xfId="25" applyNumberFormat="1" applyFont="1" applyBorder="1" applyAlignment="1">
      <alignment horizontal="center"/>
      <protection/>
    </xf>
    <xf numFmtId="2" fontId="9" fillId="0" borderId="0" xfId="25" applyNumberFormat="1" applyFont="1" applyBorder="1" applyAlignment="1">
      <alignment/>
      <protection/>
    </xf>
    <xf numFmtId="2" fontId="8" fillId="0" borderId="0" xfId="25" applyNumberFormat="1" applyFont="1" applyFill="1" applyBorder="1" applyAlignment="1">
      <alignment horizontal="center"/>
      <protection/>
    </xf>
    <xf numFmtId="0" fontId="8" fillId="0" borderId="0" xfId="25" applyFont="1" applyBorder="1" applyAlignment="1">
      <alignment horizontal="center"/>
      <protection/>
    </xf>
    <xf numFmtId="2" fontId="10" fillId="0" borderId="0" xfId="25" applyNumberFormat="1" applyFont="1" applyBorder="1" applyAlignment="1">
      <alignment/>
      <protection/>
    </xf>
    <xf numFmtId="2" fontId="11" fillId="0" borderId="2" xfId="25" applyNumberFormat="1" applyFont="1" applyBorder="1" applyAlignment="1">
      <alignment horizontal="center"/>
      <protection/>
    </xf>
    <xf numFmtId="2" fontId="11" fillId="0" borderId="3" xfId="25" applyNumberFormat="1" applyFont="1" applyBorder="1" applyAlignment="1">
      <alignment horizontal="center"/>
      <protection/>
    </xf>
    <xf numFmtId="2" fontId="3" fillId="0" borderId="2" xfId="25" applyNumberFormat="1" applyFont="1" applyBorder="1" applyAlignment="1">
      <alignment/>
      <protection/>
    </xf>
    <xf numFmtId="1" fontId="3" fillId="0" borderId="3" xfId="25" applyNumberFormat="1" applyFont="1" applyBorder="1" applyAlignment="1">
      <alignment horizontal="center"/>
      <protection/>
    </xf>
    <xf numFmtId="0" fontId="3" fillId="0" borderId="0" xfId="25" applyFont="1" applyBorder="1" applyAlignment="1">
      <alignment horizontal="left"/>
      <protection/>
    </xf>
    <xf numFmtId="0" fontId="3" fillId="0" borderId="4" xfId="25" applyFont="1" applyBorder="1" applyAlignment="1">
      <alignment horizontal="center"/>
      <protection/>
    </xf>
    <xf numFmtId="1" fontId="8" fillId="0" borderId="0" xfId="25" applyNumberFormat="1" applyFont="1" applyBorder="1" applyAlignment="1">
      <alignment horizontal="center"/>
      <protection/>
    </xf>
    <xf numFmtId="1" fontId="7" fillId="0" borderId="0" xfId="25" applyNumberFormat="1" applyFont="1" applyBorder="1" applyAlignment="1">
      <alignment horizontal="center"/>
      <protection/>
    </xf>
    <xf numFmtId="1" fontId="8" fillId="0" borderId="1" xfId="25" applyNumberFormat="1" applyFont="1" applyBorder="1" applyAlignment="1">
      <alignment horizontal="center"/>
      <protection/>
    </xf>
    <xf numFmtId="2" fontId="7" fillId="0" borderId="5" xfId="25" applyNumberFormat="1" applyFont="1" applyBorder="1" applyAlignment="1">
      <alignment/>
      <protection/>
    </xf>
    <xf numFmtId="181" fontId="7" fillId="0" borderId="5" xfId="25" applyNumberFormat="1" applyFont="1" applyBorder="1" applyAlignment="1">
      <alignment horizontal="center"/>
      <protection/>
    </xf>
    <xf numFmtId="2" fontId="12" fillId="0" borderId="5" xfId="25" applyNumberFormat="1" applyFont="1" applyBorder="1" applyAlignment="1">
      <alignment/>
      <protection/>
    </xf>
    <xf numFmtId="0" fontId="7" fillId="0" borderId="5" xfId="25" applyFont="1" applyBorder="1" applyAlignment="1">
      <alignment/>
      <protection/>
    </xf>
    <xf numFmtId="2" fontId="7" fillId="0" borderId="5" xfId="25" applyNumberFormat="1" applyFont="1" applyFill="1" applyBorder="1" applyAlignment="1">
      <alignment horizontal="center"/>
      <protection/>
    </xf>
    <xf numFmtId="0" fontId="7" fillId="0" borderId="5" xfId="25" applyFont="1" applyBorder="1" applyAlignment="1">
      <alignment horizontal="center"/>
      <protection/>
    </xf>
    <xf numFmtId="2" fontId="13" fillId="0" borderId="5" xfId="25" applyNumberFormat="1" applyFont="1" applyBorder="1" applyAlignment="1">
      <alignment/>
      <protection/>
    </xf>
    <xf numFmtId="2" fontId="2" fillId="0" borderId="6" xfId="25" applyNumberFormat="1" applyFont="1" applyBorder="1" applyAlignment="1">
      <alignment horizontal="center"/>
      <protection/>
    </xf>
    <xf numFmtId="0" fontId="2" fillId="0" borderId="5" xfId="25" applyNumberFormat="1" applyFont="1" applyBorder="1" applyAlignment="1">
      <alignment/>
      <protection locked="0"/>
    </xf>
    <xf numFmtId="2" fontId="2" fillId="0" borderId="0" xfId="25" applyNumberFormat="1" applyFont="1" applyBorder="1" applyAlignment="1">
      <alignment/>
      <protection locked="0"/>
    </xf>
    <xf numFmtId="0" fontId="5" fillId="0" borderId="0" xfId="25" applyFont="1" applyBorder="1" applyAlignment="1">
      <alignment horizontal="right"/>
      <protection/>
    </xf>
    <xf numFmtId="183" fontId="5" fillId="0" borderId="0" xfId="25" applyNumberFormat="1" applyFont="1" applyBorder="1" applyAlignment="1">
      <alignment/>
      <protection/>
    </xf>
    <xf numFmtId="0" fontId="5" fillId="0" borderId="0" xfId="25" applyFont="1" applyBorder="1" applyAlignment="1">
      <alignment horizontal="right"/>
      <protection/>
    </xf>
    <xf numFmtId="0" fontId="1" fillId="0" borderId="0" xfId="25" applyNumberFormat="1" applyFont="1" applyBorder="1" applyAlignment="1">
      <alignment horizontal="center"/>
      <protection locked="0"/>
    </xf>
    <xf numFmtId="0" fontId="3" fillId="0" borderId="7" xfId="25" applyFont="1" applyBorder="1" applyAlignment="1">
      <alignment horizontal="center"/>
      <protection/>
    </xf>
    <xf numFmtId="0" fontId="1" fillId="0" borderId="8" xfId="25" applyNumberFormat="1" applyFont="1" applyBorder="1" applyAlignment="1">
      <alignment horizontal="center"/>
      <protection locked="0"/>
    </xf>
    <xf numFmtId="179" fontId="7" fillId="0" borderId="9" xfId="25" applyNumberFormat="1" applyFont="1" applyBorder="1" applyAlignment="1">
      <alignment horizontal="center"/>
      <protection/>
    </xf>
    <xf numFmtId="2" fontId="8" fillId="0" borderId="10" xfId="25" applyNumberFormat="1" applyFont="1" applyBorder="1" applyAlignment="1">
      <alignment horizontal="center"/>
      <protection/>
    </xf>
    <xf numFmtId="2" fontId="7" fillId="0" borderId="10" xfId="25" applyNumberFormat="1" applyFont="1" applyBorder="1" applyAlignment="1">
      <alignment horizontal="center"/>
      <protection/>
    </xf>
    <xf numFmtId="2" fontId="8" fillId="0" borderId="8" xfId="25" applyNumberFormat="1" applyFont="1" applyBorder="1" applyAlignment="1">
      <alignment horizontal="center"/>
      <protection/>
    </xf>
    <xf numFmtId="183" fontId="5" fillId="0" borderId="0" xfId="25" applyNumberFormat="1" applyFont="1" applyFill="1" applyBorder="1" applyAlignment="1">
      <alignment/>
      <protection/>
    </xf>
    <xf numFmtId="0" fontId="7" fillId="0" borderId="11" xfId="25" applyFont="1" applyBorder="1" applyAlignment="1">
      <alignment horizontal="left"/>
      <protection/>
    </xf>
    <xf numFmtId="0" fontId="2" fillId="0" borderId="5" xfId="25" applyNumberFormat="1" applyFont="1" applyBorder="1" applyAlignment="1">
      <alignment horizontal="center"/>
      <protection locked="0"/>
    </xf>
    <xf numFmtId="2" fontId="7" fillId="0" borderId="5" xfId="25" applyNumberFormat="1" applyFont="1" applyBorder="1" applyAlignment="1">
      <alignment horizontal="center"/>
      <protection/>
    </xf>
    <xf numFmtId="0" fontId="2" fillId="0" borderId="6" xfId="25" applyNumberFormat="1" applyFont="1" applyBorder="1" applyAlignment="1">
      <alignment horizontal="center"/>
      <protection locked="0"/>
    </xf>
    <xf numFmtId="0" fontId="9" fillId="0" borderId="0" xfId="25" applyNumberFormat="1" applyFont="1" applyBorder="1" applyAlignment="1">
      <alignment/>
      <protection locked="0"/>
    </xf>
    <xf numFmtId="0" fontId="2" fillId="0" borderId="0" xfId="25" applyNumberFormat="1" applyFont="1" applyBorder="1" applyAlignment="1">
      <alignment/>
      <protection locked="0"/>
    </xf>
    <xf numFmtId="2" fontId="8" fillId="0" borderId="0" xfId="25" applyNumberFormat="1" applyFont="1" applyBorder="1" applyAlignment="1">
      <alignment horizontal="center"/>
      <protection/>
    </xf>
    <xf numFmtId="2" fontId="7" fillId="0" borderId="0" xfId="25" applyNumberFormat="1" applyFont="1" applyBorder="1" applyAlignment="1">
      <alignment horizontal="center"/>
      <protection/>
    </xf>
    <xf numFmtId="2" fontId="8" fillId="0" borderId="1" xfId="25" applyNumberFormat="1" applyFont="1" applyBorder="1" applyAlignment="1">
      <alignment horizontal="center"/>
      <protection/>
    </xf>
    <xf numFmtId="2" fontId="5" fillId="0" borderId="0" xfId="25" applyNumberFormat="1" applyFont="1" applyBorder="1" applyAlignment="1">
      <alignment/>
      <protection/>
    </xf>
    <xf numFmtId="0" fontId="7" fillId="0" borderId="5" xfId="25" applyFont="1" applyBorder="1" applyAlignment="1">
      <alignment horizontal="right"/>
      <protection/>
    </xf>
    <xf numFmtId="0" fontId="22" fillId="0" borderId="1" xfId="25" applyNumberFormat="1" applyFont="1" applyBorder="1" applyAlignment="1">
      <alignment/>
      <protection locked="0"/>
    </xf>
    <xf numFmtId="0" fontId="22" fillId="0" borderId="1" xfId="25" applyFont="1" applyBorder="1" applyAlignment="1">
      <alignment/>
      <protection/>
    </xf>
    <xf numFmtId="2" fontId="23" fillId="0" borderId="5" xfId="25" applyNumberFormat="1" applyFont="1" applyBorder="1" applyAlignment="1">
      <alignment/>
      <protection/>
    </xf>
    <xf numFmtId="0" fontId="23" fillId="0" borderId="5" xfId="25" applyFont="1" applyBorder="1" applyAlignment="1">
      <alignment/>
      <protection/>
    </xf>
    <xf numFmtId="2" fontId="23" fillId="0" borderId="0" xfId="25" applyNumberFormat="1" applyFont="1" applyAlignment="1">
      <alignment/>
      <protection/>
    </xf>
    <xf numFmtId="0" fontId="23" fillId="0" borderId="0" xfId="25" applyFont="1" applyAlignment="1">
      <alignment/>
      <protection/>
    </xf>
    <xf numFmtId="2" fontId="23" fillId="0" borderId="0" xfId="25" applyNumberFormat="1" applyFont="1" applyAlignment="1">
      <alignment/>
      <protection locked="0"/>
    </xf>
    <xf numFmtId="2" fontId="23" fillId="0" borderId="1" xfId="25" applyNumberFormat="1" applyFont="1" applyBorder="1" applyAlignment="1">
      <alignment/>
      <protection locked="0"/>
    </xf>
    <xf numFmtId="0" fontId="9" fillId="0" borderId="0" xfId="25" applyNumberFormat="1" applyFont="1" applyBorder="1" applyAlignment="1">
      <alignment/>
      <protection/>
    </xf>
    <xf numFmtId="0" fontId="7" fillId="0" borderId="0" xfId="25" applyNumberFormat="1" applyFont="1" applyBorder="1" applyAlignment="1">
      <alignment/>
      <protection/>
    </xf>
    <xf numFmtId="1" fontId="7" fillId="0" borderId="0" xfId="25" applyNumberFormat="1" applyFont="1" applyBorder="1" applyAlignment="1">
      <alignment/>
      <protection/>
    </xf>
    <xf numFmtId="0" fontId="8" fillId="0" borderId="1" xfId="25" applyNumberFormat="1" applyFont="1" applyBorder="1" applyAlignment="1">
      <alignment/>
      <protection/>
    </xf>
    <xf numFmtId="0" fontId="8" fillId="0" borderId="1" xfId="25" applyNumberFormat="1" applyFont="1" applyBorder="1" applyAlignment="1">
      <alignment horizontal="right"/>
      <protection/>
    </xf>
    <xf numFmtId="2" fontId="23" fillId="0" borderId="1" xfId="25" applyNumberFormat="1" applyFont="1" applyBorder="1" applyAlignment="1">
      <alignment/>
      <protection/>
    </xf>
    <xf numFmtId="1" fontId="7" fillId="0" borderId="5" xfId="25" applyNumberFormat="1" applyFont="1" applyBorder="1" applyAlignment="1">
      <alignment horizontal="center"/>
      <protection/>
    </xf>
    <xf numFmtId="0" fontId="7" fillId="0" borderId="0" xfId="25" applyNumberFormat="1" applyFont="1" applyAlignment="1">
      <alignment/>
      <protection/>
    </xf>
    <xf numFmtId="3" fontId="8" fillId="0" borderId="0" xfId="25" applyNumberFormat="1" applyFont="1" applyBorder="1" applyAlignment="1">
      <alignment horizontal="center"/>
      <protection/>
    </xf>
    <xf numFmtId="3" fontId="7" fillId="0" borderId="0" xfId="25" applyNumberFormat="1" applyFont="1" applyBorder="1" applyAlignment="1">
      <alignment horizontal="center"/>
      <protection/>
    </xf>
    <xf numFmtId="3" fontId="8" fillId="0" borderId="1" xfId="25" applyNumberFormat="1" applyFont="1" applyBorder="1" applyAlignment="1">
      <alignment horizontal="center"/>
      <protection/>
    </xf>
    <xf numFmtId="3" fontId="5" fillId="0" borderId="0" xfId="25" applyNumberFormat="1" applyFont="1" applyBorder="1" applyAlignment="1">
      <alignment/>
      <protection/>
    </xf>
    <xf numFmtId="0" fontId="23" fillId="0" borderId="1" xfId="25" applyFont="1" applyBorder="1" applyAlignment="1">
      <alignment/>
      <protection/>
    </xf>
    <xf numFmtId="0" fontId="23" fillId="0" borderId="0" xfId="25" applyFont="1" applyBorder="1" applyAlignment="1">
      <alignment/>
      <protection/>
    </xf>
    <xf numFmtId="0" fontId="22" fillId="0" borderId="0" xfId="25" applyFont="1" applyBorder="1" applyAlignment="1">
      <alignment/>
      <protection/>
    </xf>
    <xf numFmtId="1" fontId="3" fillId="0" borderId="0" xfId="25" applyNumberFormat="1" applyFont="1" applyBorder="1" applyAlignment="1">
      <alignment/>
      <protection/>
    </xf>
    <xf numFmtId="0" fontId="5" fillId="0" borderId="0" xfId="25" applyFont="1" applyBorder="1" applyAlignment="1">
      <alignment/>
      <protection/>
    </xf>
    <xf numFmtId="3" fontId="5" fillId="0" borderId="0" xfId="25" applyNumberFormat="1" applyFont="1" applyBorder="1" applyAlignment="1">
      <alignment horizontal="right"/>
      <protection/>
    </xf>
    <xf numFmtId="183" fontId="3" fillId="0" borderId="0" xfId="25" applyNumberFormat="1" applyFont="1" applyBorder="1" applyAlignment="1">
      <alignment/>
      <protection/>
    </xf>
    <xf numFmtId="2" fontId="15" fillId="0" borderId="5" xfId="25" applyNumberFormat="1" applyFont="1" applyBorder="1" applyAlignment="1">
      <alignment/>
      <protection/>
    </xf>
    <xf numFmtId="0" fontId="24" fillId="0" borderId="0" xfId="25" applyFont="1" applyBorder="1" applyAlignment="1">
      <alignment/>
      <protection/>
    </xf>
    <xf numFmtId="0" fontId="24" fillId="0" borderId="0" xfId="25" applyFont="1" applyAlignment="1">
      <alignment horizontal="center"/>
      <protection/>
    </xf>
    <xf numFmtId="0" fontId="24" fillId="0" borderId="1" xfId="25" applyFont="1" applyBorder="1" applyAlignment="1">
      <alignment horizontal="center"/>
      <protection/>
    </xf>
    <xf numFmtId="2" fontId="25" fillId="0" borderId="5" xfId="25" applyNumberFormat="1" applyFont="1" applyBorder="1" applyAlignment="1">
      <alignment/>
      <protection/>
    </xf>
    <xf numFmtId="2" fontId="25" fillId="0" borderId="0" xfId="25" applyNumberFormat="1" applyFont="1" applyAlignment="1">
      <alignment/>
      <protection/>
    </xf>
    <xf numFmtId="2" fontId="26" fillId="0" borderId="0" xfId="25" applyNumberFormat="1" applyFont="1" applyAlignment="1">
      <alignment/>
      <protection/>
    </xf>
    <xf numFmtId="2" fontId="25" fillId="0" borderId="1" xfId="25" applyNumberFormat="1" applyFont="1" applyBorder="1" applyAlignment="1">
      <alignment/>
      <protection/>
    </xf>
    <xf numFmtId="0" fontId="26" fillId="0" borderId="0" xfId="25" applyFont="1" applyBorder="1" applyAlignment="1">
      <alignment/>
      <protection/>
    </xf>
    <xf numFmtId="0" fontId="24" fillId="0" borderId="0" xfId="25" applyFont="1" applyAlignment="1">
      <alignment/>
      <protection/>
    </xf>
    <xf numFmtId="0" fontId="24" fillId="0" borderId="0" xfId="25" applyNumberFormat="1" applyFont="1" applyAlignment="1">
      <alignment/>
      <protection locked="0"/>
    </xf>
    <xf numFmtId="0" fontId="26" fillId="0" borderId="0" xfId="25" applyNumberFormat="1" applyFont="1" applyAlignment="1">
      <alignment/>
      <protection locked="0"/>
    </xf>
    <xf numFmtId="2" fontId="18" fillId="0" borderId="0" xfId="2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25" applyNumberFormat="1" applyFont="1" applyBorder="1" applyAlignment="1">
      <alignment horizontal="center"/>
      <protection locked="0"/>
    </xf>
    <xf numFmtId="0" fontId="7" fillId="0" borderId="0" xfId="25" applyFont="1" applyBorder="1" applyAlignment="1">
      <alignment horizontal="right"/>
      <protection/>
    </xf>
    <xf numFmtId="2" fontId="7" fillId="0" borderId="0" xfId="25" applyNumberFormat="1" applyFont="1" applyBorder="1" applyAlignment="1">
      <alignment horizontal="right"/>
      <protection/>
    </xf>
    <xf numFmtId="2" fontId="18" fillId="0" borderId="0" xfId="20" applyNumberFormat="1" applyFont="1" applyAlignment="1">
      <alignment/>
    </xf>
    <xf numFmtId="0" fontId="0" fillId="0" borderId="0" xfId="0" applyAlignment="1">
      <alignment/>
    </xf>
    <xf numFmtId="15" fontId="7" fillId="0" borderId="0" xfId="2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15" fontId="7" fillId="0" borderId="5" xfId="25" applyNumberFormat="1" applyFont="1" applyBorder="1" applyAlignment="1">
      <alignment horizontal="center"/>
      <protection/>
    </xf>
    <xf numFmtId="0" fontId="0" fillId="0" borderId="5" xfId="0" applyBorder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32_5_~1" xfId="21"/>
    <cellStyle name="Normal_132_6_~1" xfId="22"/>
    <cellStyle name="Normal_132_S_~1" xfId="23"/>
    <cellStyle name="Normal_852_5_~1" xfId="24"/>
    <cellStyle name="Normal_852_6_~1" xfId="25"/>
    <cellStyle name="Normal_B" xfId="26"/>
    <cellStyle name="Normal_C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8"/>
          <c:w val="0.7265"/>
          <c:h val="0.82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'850nm_newMMF'!$H$12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'850nm_newMMF'!$H$15:$H$35</c:f>
              <c:numCache>
                <c:ptCount val="21"/>
                <c:pt idx="0">
                  <c:v>0.866168789684937</c:v>
                </c:pt>
                <c:pt idx="1">
                  <c:v>0.8842152586665744</c:v>
                </c:pt>
                <c:pt idx="2">
                  <c:v>0.9029403261049587</c:v>
                </c:pt>
                <c:pt idx="3">
                  <c:v>0.9223497267842027</c:v>
                </c:pt>
                <c:pt idx="4">
                  <c:v>0.9424490359728354</c:v>
                </c:pt>
                <c:pt idx="5">
                  <c:v>0.9632436533293636</c:v>
                </c:pt>
                <c:pt idx="6">
                  <c:v>0.9847387881602404</c:v>
                </c:pt>
                <c:pt idx="7">
                  <c:v>1.006939446084127</c:v>
                </c:pt>
                <c:pt idx="8">
                  <c:v>1.0298504171456555</c:v>
                </c:pt>
                <c:pt idx="9">
                  <c:v>1.0534762654113508</c:v>
                </c:pt>
                <c:pt idx="10">
                  <c:v>1.0778213200699056</c:v>
                </c:pt>
                <c:pt idx="11">
                  <c:v>1.1028896680487135</c:v>
                </c:pt>
                <c:pt idx="12">
                  <c:v>1.1286851481487308</c:v>
                </c:pt>
                <c:pt idx="13">
                  <c:v>1.1552113466901741</c:v>
                </c:pt>
                <c:pt idx="14">
                  <c:v>1.182471594652618</c:v>
                </c:pt>
                <c:pt idx="15">
                  <c:v>1.21046896628468</c:v>
                </c:pt>
                <c:pt idx="16">
                  <c:v>1.2392062791506624</c:v>
                </c:pt>
                <c:pt idx="17">
                  <c:v>1.2686860955745383</c:v>
                </c:pt>
                <c:pt idx="18">
                  <c:v>1.2989107254352596</c:v>
                </c:pt>
                <c:pt idx="19">
                  <c:v>1.3298822302618298</c:v>
                </c:pt>
                <c:pt idx="20">
                  <c:v>1.361602428571778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'850nm_newMMF'!$I$12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'850nm_newMMF'!$I$15:$I$35</c:f>
              <c:numCache>
                <c:ptCount val="21"/>
                <c:pt idx="0">
                  <c:v>2.2493005615329276</c:v>
                </c:pt>
                <c:pt idx="1">
                  <c:v>2.3242772469173585</c:v>
                </c:pt>
                <c:pt idx="2">
                  <c:v>2.3992539323017894</c:v>
                </c:pt>
                <c:pt idx="3">
                  <c:v>2.4742306176862203</c:v>
                </c:pt>
                <c:pt idx="4">
                  <c:v>2.5492073030706512</c:v>
                </c:pt>
                <c:pt idx="5">
                  <c:v>2.6241839884550826</c:v>
                </c:pt>
                <c:pt idx="6">
                  <c:v>2.6991606738395135</c:v>
                </c:pt>
                <c:pt idx="7">
                  <c:v>2.7741373592239444</c:v>
                </c:pt>
                <c:pt idx="8">
                  <c:v>2.8491140446083754</c:v>
                </c:pt>
                <c:pt idx="9">
                  <c:v>2.9240907299928063</c:v>
                </c:pt>
                <c:pt idx="10">
                  <c:v>2.999067415377237</c:v>
                </c:pt>
                <c:pt idx="11">
                  <c:v>3.074044100761668</c:v>
                </c:pt>
                <c:pt idx="12">
                  <c:v>3.1490207861460995</c:v>
                </c:pt>
                <c:pt idx="13">
                  <c:v>3.2239974715305304</c:v>
                </c:pt>
                <c:pt idx="14">
                  <c:v>3.2989741569149613</c:v>
                </c:pt>
                <c:pt idx="15">
                  <c:v>3.3739508422993922</c:v>
                </c:pt>
                <c:pt idx="16">
                  <c:v>3.448927527683823</c:v>
                </c:pt>
                <c:pt idx="17">
                  <c:v>3.523904213068254</c:v>
                </c:pt>
                <c:pt idx="18">
                  <c:v>3.5988808984526854</c:v>
                </c:pt>
                <c:pt idx="19">
                  <c:v>3.6738575838371164</c:v>
                </c:pt>
                <c:pt idx="20">
                  <c:v>3.748834269221547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'850nm_newMMF'!$L$12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'850nm_newMMF'!$L$15:$L$35</c:f>
              <c:numCache>
                <c:ptCount val="21"/>
                <c:pt idx="0">
                  <c:v>0.18788332199831173</c:v>
                </c:pt>
                <c:pt idx="1">
                  <c:v>0.2144284069316474</c:v>
                </c:pt>
                <c:pt idx="2">
                  <c:v>0.24382170192954325</c:v>
                </c:pt>
                <c:pt idx="3">
                  <c:v>0.27630694230682384</c:v>
                </c:pt>
                <c:pt idx="4">
                  <c:v>0.3121519220548983</c:v>
                </c:pt>
                <c:pt idx="5">
                  <c:v>0.35165255190739814</c:v>
                </c:pt>
                <c:pt idx="6">
                  <c:v>0.39513780581264835</c:v>
                </c:pt>
                <c:pt idx="7">
                  <c:v>0.4429757907603351</c:v>
                </c:pt>
                <c:pt idx="8">
                  <c:v>0.4955812521213026</c:v>
                </c:pt>
                <c:pt idx="9">
                  <c:v>0.5534249342207933</c:v>
                </c:pt>
                <c:pt idx="10">
                  <c:v>0.6170453678819287</c:v>
                </c:pt>
                <c:pt idx="11">
                  <c:v>0.6870638749397727</c:v>
                </c:pt>
                <c:pt idx="12">
                  <c:v>0.7642038985900697</c:v>
                </c:pt>
                <c:pt idx="13">
                  <c:v>0.8493162432683454</c:v>
                </c:pt>
                <c:pt idx="14">
                  <c:v>0.9434125300032314</c:v>
                </c:pt>
                <c:pt idx="15">
                  <c:v>1.0477102980585487</c:v>
                </c:pt>
                <c:pt idx="16">
                  <c:v>1.16369498272025</c:v>
                </c:pt>
                <c:pt idx="17">
                  <c:v>1.2932069639456856</c:v>
                </c:pt>
                <c:pt idx="18">
                  <c:v>1.438566936707326</c:v>
                </c:pt>
                <c:pt idx="19">
                  <c:v>1.6027618225418572</c:v>
                </c:pt>
                <c:pt idx="20">
                  <c:v>1.7897300974664712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'850nm_newMMF'!$N$12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'850nm_newMMF'!$N$15:$N$35</c:f>
              <c:numCache>
                <c:ptCount val="21"/>
                <c:pt idx="0">
                  <c:v>0.10227920534613127</c:v>
                </c:pt>
                <c:pt idx="1">
                  <c:v>0.10180609264438925</c:v>
                </c:pt>
                <c:pt idx="2">
                  <c:v>0.1013242436724319</c:v>
                </c:pt>
                <c:pt idx="3">
                  <c:v>0.10083414678652737</c:v>
                </c:pt>
                <c:pt idx="4">
                  <c:v>0.10033628526753763</c:v>
                </c:pt>
                <c:pt idx="5">
                  <c:v>0.0998311364165483</c:v>
                </c:pt>
                <c:pt idx="6">
                  <c:v>0.09931917071863872</c:v>
                </c:pt>
                <c:pt idx="7">
                  <c:v>0.09880085107488928</c:v>
                </c:pt>
                <c:pt idx="8">
                  <c:v>0.09827663210221689</c:v>
                </c:pt>
                <c:pt idx="9">
                  <c:v>0.0977469595002092</c:v>
                </c:pt>
                <c:pt idx="10">
                  <c:v>0.09721226948373318</c:v>
                </c:pt>
                <c:pt idx="11">
                  <c:v>0.0966729882797688</c:v>
                </c:pt>
                <c:pt idx="12">
                  <c:v>0.09612953168658236</c:v>
                </c:pt>
                <c:pt idx="13">
                  <c:v>0.09558230469312656</c:v>
                </c:pt>
                <c:pt idx="14">
                  <c:v>0.09503170115632176</c:v>
                </c:pt>
                <c:pt idx="15">
                  <c:v>0.09447810353368018</c:v>
                </c:pt>
                <c:pt idx="16">
                  <c:v>0.09392188266860792</c:v>
                </c:pt>
                <c:pt idx="17">
                  <c:v>0.0933633976256129</c:v>
                </c:pt>
                <c:pt idx="18">
                  <c:v>0.09280299557254588</c:v>
                </c:pt>
                <c:pt idx="19">
                  <c:v>0.0922410117069833</c:v>
                </c:pt>
                <c:pt idx="20">
                  <c:v>0.09167776922381857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'850nm_newMMF'!$O$12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'850nm_newMMF'!$O$15:$O$35</c:f>
              <c:numCache>
                <c:ptCount val="21"/>
                <c:pt idx="0">
                  <c:v>0.009485523964168824</c:v>
                </c:pt>
                <c:pt idx="1">
                  <c:v>0.010844898066248637</c:v>
                </c:pt>
                <c:pt idx="2">
                  <c:v>0.012360869675027586</c:v>
                </c:pt>
                <c:pt idx="3">
                  <c:v>0.01405061999369904</c:v>
                </c:pt>
                <c:pt idx="4">
                  <c:v>0.015933950460939816</c:v>
                </c:pt>
                <c:pt idx="5">
                  <c:v>0.018033859543778993</c:v>
                </c:pt>
                <c:pt idx="6">
                  <c:v>0.020377272820317538</c:v>
                </c:pt>
                <c:pt idx="7">
                  <c:v>0.022995975932283697</c:v>
                </c:pt>
                <c:pt idx="8">
                  <c:v>0.025927819340131872</c:v>
                </c:pt>
                <c:pt idx="9">
                  <c:v>0.029218292079440572</c:v>
                </c:pt>
                <c:pt idx="10">
                  <c:v>0.032922603705314746</c:v>
                </c:pt>
                <c:pt idx="11">
                  <c:v>0.037108477147449886</c:v>
                </c:pt>
                <c:pt idx="12">
                  <c:v>0.04185995331616452</c:v>
                </c:pt>
                <c:pt idx="13">
                  <c:v>0.04728266326528607</c:v>
                </c:pt>
                <c:pt idx="14">
                  <c:v>0.05351127465566097</c:v>
                </c:pt>
                <c:pt idx="15">
                  <c:v>0.060720237113639455</c:v>
                </c:pt>
                <c:pt idx="16">
                  <c:v>0.06913966908155865</c:v>
                </c:pt>
                <c:pt idx="17">
                  <c:v>0.07907950733343146</c:v>
                </c:pt>
                <c:pt idx="18">
                  <c:v>0.09096741215054406</c:v>
                </c:pt>
                <c:pt idx="19">
                  <c:v>0.10541053438316937</c:v>
                </c:pt>
                <c:pt idx="20">
                  <c:v>0.12330073628211022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'850nm_newMMF'!$P$12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'850nm_newMMF'!$Q$12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'850nm_newMMF'!$Q$15:$Q$35</c:f>
              <c:numCache>
                <c:ptCount val="21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'850nm_newMMF'!$S$12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'850nm_newMMF'!$S$15:$S$35</c:f>
              <c:numCache>
                <c:ptCount val="2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'850nm_newMMF'!$T$12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'850nm_newMMF'!$T$15:$T$35</c:f>
              <c:numCache>
                <c:ptCount val="21"/>
                <c:pt idx="0">
                  <c:v>4.010951498177433</c:v>
                </c:pt>
                <c:pt idx="1">
                  <c:v>4.131405998877175</c:v>
                </c:pt>
                <c:pt idx="2">
                  <c:v>4.255535169334708</c:v>
                </c:pt>
                <c:pt idx="3">
                  <c:v>4.38360614920843</c:v>
                </c:pt>
                <c:pt idx="4">
                  <c:v>4.515912592477819</c:v>
                </c:pt>
                <c:pt idx="5">
                  <c:v>4.652779285303129</c:v>
                </c:pt>
                <c:pt idx="6">
                  <c:v>4.794567807002315</c:v>
                </c:pt>
                <c:pt idx="7">
                  <c:v>4.941683518726537</c:v>
                </c:pt>
                <c:pt idx="8">
                  <c:v>5.09458426096864</c:v>
                </c:pt>
                <c:pt idx="9">
                  <c:v>5.253791276855557</c:v>
                </c:pt>
                <c:pt idx="10">
                  <c:v>5.419903072169076</c:v>
                </c:pt>
                <c:pt idx="11">
                  <c:v>5.59361320482833</c:v>
                </c:pt>
                <c:pt idx="12">
                  <c:v>5.775733413538603</c:v>
                </c:pt>
                <c:pt idx="13">
                  <c:v>5.9672241250984195</c:v>
                </c:pt>
                <c:pt idx="14">
                  <c:v>6.169235353033752</c:v>
                </c:pt>
                <c:pt idx="15">
                  <c:v>6.383162542940898</c:v>
                </c:pt>
                <c:pt idx="16">
                  <c:v>6.61072443695586</c:v>
                </c:pt>
                <c:pt idx="17">
                  <c:v>6.854074273198479</c:v>
                </c:pt>
                <c:pt idx="18">
                  <c:v>7.1159630639693185</c:v>
                </c:pt>
                <c:pt idx="19">
                  <c:v>7.399987278381913</c:v>
                </c:pt>
                <c:pt idx="20">
                  <c:v>7.710979396416683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'850nm_newMMF'!$AD$13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'850nm_newMMF'!$AC$15:$AC$35</c:f>
              <c:numCache>
                <c:ptCount val="21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</c:numCache>
            </c:numRef>
          </c:xVal>
          <c:yVal>
            <c:numRef>
              <c:f>'850nm_newMMF'!$AD$15:$AD$35</c:f>
              <c:numCache>
                <c:ptCount val="21"/>
                <c:pt idx="0">
                  <c:v>0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</c:numCache>
            </c:numRef>
          </c:yVal>
          <c:smooth val="0"/>
        </c:ser>
        <c:axId val="49634491"/>
        <c:axId val="44057236"/>
      </c:scatterChart>
      <c:valAx>
        <c:axId val="49634491"/>
        <c:scaling>
          <c:orientation val="minMax"/>
          <c:max val="1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57236"/>
        <c:crosses val="autoZero"/>
        <c:crossBetween val="midCat"/>
        <c:dispUnits/>
      </c:valAx>
      <c:valAx>
        <c:axId val="4405723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344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825"/>
          <c:w val="0.726"/>
          <c:h val="0.8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'850nm_62MMF'!$H$12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'850nm_62MMF'!$H$15:$H$35</c:f>
              <c:numCache>
                <c:ptCount val="21"/>
                <c:pt idx="0">
                  <c:v>1.9431003361827681</c:v>
                </c:pt>
                <c:pt idx="1">
                  <c:v>2.1405016078296475</c:v>
                </c:pt>
                <c:pt idx="2">
                  <c:v>2.3521420579565318</c:v>
                </c:pt>
                <c:pt idx="3">
                  <c:v>2.57799435138491</c:v>
                </c:pt>
                <c:pt idx="4">
                  <c:v>2.8180777840214803</c:v>
                </c:pt>
                <c:pt idx="5">
                  <c:v>3.072485373896023</c:v>
                </c:pt>
                <c:pt idx="6">
                  <c:v>3.341411395613494</c:v>
                </c:pt>
                <c:pt idx="7">
                  <c:v>3.6251801312213976</c:v>
                </c:pt>
                <c:pt idx="8">
                  <c:v>3.9242771092021855</c:v>
                </c:pt>
                <c:pt idx="9">
                  <c:v>4.239384661509717</c:v>
                </c:pt>
                <c:pt idx="10">
                  <c:v>4.571424331015008</c:v>
                </c:pt>
                <c:pt idx="11">
                  <c:v>4.921609636349721</c:v>
                </c:pt>
                <c:pt idx="12">
                  <c:v>5.291514147064317</c:v>
                </c:pt>
                <c:pt idx="13">
                  <c:v>5.6831620645550505</c:v>
                </c:pt>
                <c:pt idx="14">
                  <c:v>6.0991521012494125</c:v>
                </c:pt>
                <c:pt idx="15">
                  <c:v>6.542831403328813</c:v>
                </c:pt>
                <c:pt idx="16">
                  <c:v>7.018546449750157</c:v>
                </c:pt>
                <c:pt idx="17">
                  <c:v>7.532015978749844</c:v>
                </c:pt>
                <c:pt idx="18">
                  <c:v>8.090904707515424</c:v>
                </c:pt>
                <c:pt idx="19">
                  <c:v>8.705742820037543</c:v>
                </c:pt>
                <c:pt idx="20">
                  <c:v>9.391474971196352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'850nm_62MMF'!$I$12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'850nm_62MMF'!$I$15:$I$35</c:f>
              <c:numCache>
                <c:ptCount val="21"/>
                <c:pt idx="0">
                  <c:v>0.6024912218391769</c:v>
                </c:pt>
                <c:pt idx="1">
                  <c:v>0.6426573032951222</c:v>
                </c:pt>
                <c:pt idx="2">
                  <c:v>0.6828233847510674</c:v>
                </c:pt>
                <c:pt idx="3">
                  <c:v>0.7229894662070124</c:v>
                </c:pt>
                <c:pt idx="4">
                  <c:v>0.7631555476629577</c:v>
                </c:pt>
                <c:pt idx="5">
                  <c:v>0.8033216291189028</c:v>
                </c:pt>
                <c:pt idx="6">
                  <c:v>0.843487710574848</c:v>
                </c:pt>
                <c:pt idx="7">
                  <c:v>0.8836537920307932</c:v>
                </c:pt>
                <c:pt idx="8">
                  <c:v>0.9238198734867383</c:v>
                </c:pt>
                <c:pt idx="9">
                  <c:v>0.9639859549426836</c:v>
                </c:pt>
                <c:pt idx="10">
                  <c:v>1.0041520363986285</c:v>
                </c:pt>
                <c:pt idx="11">
                  <c:v>1.0443181178545737</c:v>
                </c:pt>
                <c:pt idx="12">
                  <c:v>1.084484199310519</c:v>
                </c:pt>
                <c:pt idx="13">
                  <c:v>1.1246502807664642</c:v>
                </c:pt>
                <c:pt idx="14">
                  <c:v>1.1648163622224093</c:v>
                </c:pt>
                <c:pt idx="15">
                  <c:v>1.2049824436783543</c:v>
                </c:pt>
                <c:pt idx="16">
                  <c:v>1.2451485251342995</c:v>
                </c:pt>
                <c:pt idx="17">
                  <c:v>1.2853146065902448</c:v>
                </c:pt>
                <c:pt idx="18">
                  <c:v>1.32548068804619</c:v>
                </c:pt>
                <c:pt idx="19">
                  <c:v>1.3656467695021353</c:v>
                </c:pt>
                <c:pt idx="20">
                  <c:v>1.4058128509580803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'850nm_62MMF'!$L$12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'850nm_62MMF'!$L$15:$L$35</c:f>
              <c:numCache>
                <c:ptCount val="21"/>
                <c:pt idx="0">
                  <c:v>0.001411289778034872</c:v>
                </c:pt>
                <c:pt idx="1">
                  <c:v>0.0018255283155149912</c:v>
                </c:pt>
                <c:pt idx="2">
                  <c:v>0.0023245858139469854</c:v>
                </c:pt>
                <c:pt idx="3">
                  <c:v>0.0029192146492924187</c:v>
                </c:pt>
                <c:pt idx="4">
                  <c:v>0.0036207832667034773</c:v>
                </c:pt>
                <c:pt idx="5">
                  <c:v>0.004441272682404623</c:v>
                </c:pt>
                <c:pt idx="6">
                  <c:v>0.005393273553459206</c:v>
                </c:pt>
                <c:pt idx="7">
                  <c:v>0.006489983935036837</c:v>
                </c:pt>
                <c:pt idx="8">
                  <c:v>0.007745207850025828</c:v>
                </c:pt>
                <c:pt idx="9">
                  <c:v>0.009173354801290206</c:v>
                </c:pt>
                <c:pt idx="10">
                  <c:v>0.01078944036251929</c:v>
                </c:pt>
                <c:pt idx="11">
                  <c:v>0.01260908798967476</c:v>
                </c:pt>
                <c:pt idx="12">
                  <c:v>0.014648532201601507</c:v>
                </c:pt>
                <c:pt idx="13">
                  <c:v>0.016924623285490728</c:v>
                </c:pt>
                <c:pt idx="14">
                  <c:v>0.019454833690827632</c:v>
                </c:pt>
                <c:pt idx="15">
                  <c:v>0.02225726628430355</c:v>
                </c:pt>
                <c:pt idx="16">
                  <c:v>0.025350664648116635</c:v>
                </c:pt>
                <c:pt idx="17">
                  <c:v>0.02875442561539238</c:v>
                </c:pt>
                <c:pt idx="18">
                  <c:v>0.03248861424922907</c:v>
                </c:pt>
                <c:pt idx="19">
                  <c:v>0.03657398148650212</c:v>
                </c:pt>
                <c:pt idx="20">
                  <c:v>0.04103198468425933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'850nm_62MMF'!$N$12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'850nm_62MMF'!$N$15:$N$35</c:f>
              <c:numCache>
                <c:ptCount val="21"/>
                <c:pt idx="0">
                  <c:v>0.08306944338642472</c:v>
                </c:pt>
                <c:pt idx="1">
                  <c:v>0.08070143694449002</c:v>
                </c:pt>
                <c:pt idx="2">
                  <c:v>0.07838943275405075</c:v>
                </c:pt>
                <c:pt idx="3">
                  <c:v>0.07614103701824247</c:v>
                </c:pt>
                <c:pt idx="4">
                  <c:v>0.07396158595855379</c:v>
                </c:pt>
                <c:pt idx="5">
                  <c:v>0.07185453912055109</c:v>
                </c:pt>
                <c:pt idx="6">
                  <c:v>0.06982183061560479</c:v>
                </c:pt>
                <c:pt idx="7">
                  <c:v>0.06786417498124492</c:v>
                </c:pt>
                <c:pt idx="8">
                  <c:v>0.06598132821819498</c:v>
                </c:pt>
                <c:pt idx="9">
                  <c:v>0.06417230691320916</c:v>
                </c:pt>
                <c:pt idx="10">
                  <c:v>0.062435569607820145</c:v>
                </c:pt>
                <c:pt idx="11">
                  <c:v>0.06076916507352095</c:v>
                </c:pt>
                <c:pt idx="12">
                  <c:v>0.05917085217212277</c:v>
                </c:pt>
                <c:pt idx="13">
                  <c:v>0.05763819571119897</c:v>
                </c:pt>
                <c:pt idx="14">
                  <c:v>0.056168642284078835</c:v>
                </c:pt>
                <c:pt idx="15">
                  <c:v>0.05475957960120189</c:v>
                </c:pt>
                <c:pt idx="16">
                  <c:v>0.05340838233089988</c:v>
                </c:pt>
                <c:pt idx="17">
                  <c:v>0.052112447005534454</c:v>
                </c:pt>
                <c:pt idx="18">
                  <c:v>0.05086921813037589</c:v>
                </c:pt>
                <c:pt idx="19">
                  <c:v>0.04967620726463687</c:v>
                </c:pt>
                <c:pt idx="20">
                  <c:v>0.04853100652730147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'850nm_62MMF'!$O$12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'850nm_62MMF'!$O$15:$O$35</c:f>
              <c:numCache>
                <c:ptCount val="21"/>
                <c:pt idx="0">
                  <c:v>5.5053286304979077E-05</c:v>
                </c:pt>
                <c:pt idx="1">
                  <c:v>6.915126725283438E-05</c:v>
                </c:pt>
                <c:pt idx="2">
                  <c:v>8.549728884436891E-05</c:v>
                </c:pt>
                <c:pt idx="3">
                  <c:v>0.00010424836025751949</c:v>
                </c:pt>
                <c:pt idx="4">
                  <c:v>0.00012555854229823193</c:v>
                </c:pt>
                <c:pt idx="5">
                  <c:v>0.00014957939062550107</c:v>
                </c:pt>
                <c:pt idx="6">
                  <c:v>0.0001764604331502273</c:v>
                </c:pt>
                <c:pt idx="7">
                  <c:v>0.00020634966423541123</c:v>
                </c:pt>
                <c:pt idx="8">
                  <c:v>0.00023939404623875282</c:v>
                </c:pt>
                <c:pt idx="9">
                  <c:v>0.0002757400143896249</c:v>
                </c:pt>
                <c:pt idx="10">
                  <c:v>0.00031553398471458743</c:v>
                </c:pt>
                <c:pt idx="11">
                  <c:v>0.0003589228671691258</c:v>
                </c:pt>
                <c:pt idx="12">
                  <c:v>0.0004060545875200633</c:v>
                </c:pt>
                <c:pt idx="13">
                  <c:v>0.0004570786225132281</c:v>
                </c:pt>
                <c:pt idx="14">
                  <c:v>0.0005121465532645919</c:v>
                </c:pt>
                <c:pt idx="15">
                  <c:v>0.0005714126421256446</c:v>
                </c:pt>
                <c:pt idx="16">
                  <c:v>0.0006350344384377093</c:v>
                </c:pt>
                <c:pt idx="17">
                  <c:v>0.0007031734186865868</c:v>
                </c:pt>
                <c:pt idx="18">
                  <c:v>0.0007759956667923382</c:v>
                </c:pt>
                <c:pt idx="19">
                  <c:v>0.0008536726004384487</c:v>
                </c:pt>
                <c:pt idx="20">
                  <c:v>0.0009363817496830587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'850nm_62MMF'!$P$12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'850nm_62MMF'!$Q$12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'850nm_62MMF'!$Q$15:$Q$35</c:f>
              <c:numCache>
                <c:ptCount val="21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'850nm_62MMF'!$S$12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'850nm_62MMF'!$S$15:$S$35</c:f>
              <c:numCache>
                <c:ptCount val="2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'850nm_62MMF'!$T$12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'850nm_62MMF'!$T$15:$T$35</c:f>
              <c:numCache>
                <c:ptCount val="21"/>
                <c:pt idx="0">
                  <c:v>3.2259614401236663</c:v>
                </c:pt>
                <c:pt idx="1">
                  <c:v>3.4615891233029843</c:v>
                </c:pt>
                <c:pt idx="2">
                  <c:v>3.711599054215398</c:v>
                </c:pt>
                <c:pt idx="3">
                  <c:v>3.975982413270672</c:v>
                </c:pt>
                <c:pt idx="4">
                  <c:v>4.254775355102951</c:v>
                </c:pt>
                <c:pt idx="5">
                  <c:v>4.548086489859464</c:v>
                </c:pt>
                <c:pt idx="6">
                  <c:v>4.856124766441513</c:v>
                </c:pt>
                <c:pt idx="7">
                  <c:v>5.179228527483665</c:v>
                </c:pt>
                <c:pt idx="8">
                  <c:v>5.517897008454341</c:v>
                </c:pt>
                <c:pt idx="9">
                  <c:v>5.872826113832246</c:v>
                </c:pt>
                <c:pt idx="10">
                  <c:v>6.244951007019648</c:v>
                </c:pt>
                <c:pt idx="11">
                  <c:v>6.635499025785616</c:v>
                </c:pt>
                <c:pt idx="12">
                  <c:v>7.046057880987038</c:v>
                </c:pt>
                <c:pt idx="13">
                  <c:v>7.478666338591675</c:v>
                </c:pt>
                <c:pt idx="14">
                  <c:v>7.93593818165095</c:v>
                </c:pt>
                <c:pt idx="15">
                  <c:v>8.421236201185755</c:v>
                </c:pt>
                <c:pt idx="16">
                  <c:v>8.938923151952869</c:v>
                </c:pt>
                <c:pt idx="17">
                  <c:v>9.49473472703066</c:v>
                </c:pt>
                <c:pt idx="18">
                  <c:v>10.096353319258968</c:v>
                </c:pt>
                <c:pt idx="19">
                  <c:v>10.754327546542212</c:v>
                </c:pt>
                <c:pt idx="20">
                  <c:v>11.483621290766635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'850nm_62MMF'!$AD$13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'850nm_62MMF'!$AC$15:$AC$35</c:f>
              <c:numCache>
                <c:ptCount val="21"/>
                <c:pt idx="0">
                  <c:v>0.22</c:v>
                </c:pt>
                <c:pt idx="1">
                  <c:v>0.22</c:v>
                </c:pt>
                <c:pt idx="2">
                  <c:v>0.22</c:v>
                </c:pt>
                <c:pt idx="3">
                  <c:v>0.22</c:v>
                </c:pt>
                <c:pt idx="4">
                  <c:v>0.22</c:v>
                </c:pt>
                <c:pt idx="5">
                  <c:v>0.22</c:v>
                </c:pt>
                <c:pt idx="6">
                  <c:v>0.22</c:v>
                </c:pt>
                <c:pt idx="7">
                  <c:v>0.22</c:v>
                </c:pt>
                <c:pt idx="8">
                  <c:v>0.22</c:v>
                </c:pt>
                <c:pt idx="9">
                  <c:v>0.22</c:v>
                </c:pt>
                <c:pt idx="10">
                  <c:v>0.22</c:v>
                </c:pt>
                <c:pt idx="11">
                  <c:v>0.22</c:v>
                </c:pt>
                <c:pt idx="12">
                  <c:v>0.22</c:v>
                </c:pt>
                <c:pt idx="13">
                  <c:v>0.22</c:v>
                </c:pt>
                <c:pt idx="14">
                  <c:v>0.22</c:v>
                </c:pt>
                <c:pt idx="15">
                  <c:v>0.22</c:v>
                </c:pt>
                <c:pt idx="16">
                  <c:v>0.22</c:v>
                </c:pt>
                <c:pt idx="17">
                  <c:v>0.22</c:v>
                </c:pt>
                <c:pt idx="18">
                  <c:v>0.22</c:v>
                </c:pt>
                <c:pt idx="19">
                  <c:v>0.22</c:v>
                </c:pt>
                <c:pt idx="20">
                  <c:v>0.22</c:v>
                </c:pt>
              </c:numCache>
            </c:numRef>
          </c:xVal>
          <c:yVal>
            <c:numRef>
              <c:f>'850nm_62MMF'!$AD$15:$AD$35</c:f>
              <c:numCache>
                <c:ptCount val="21"/>
                <c:pt idx="0">
                  <c:v>0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</c:numCache>
            </c:numRef>
          </c:yVal>
          <c:smooth val="0"/>
        </c:ser>
        <c:axId val="60970805"/>
        <c:axId val="11866334"/>
      </c:scatterChart>
      <c:valAx>
        <c:axId val="60970805"/>
        <c:scaling>
          <c:orientation val="minMax"/>
          <c:max val="0.35"/>
          <c:min val="0.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66334"/>
        <c:crosses val="autoZero"/>
        <c:crossBetween val="midCat"/>
        <c:dispUnits/>
      </c:valAx>
      <c:valAx>
        <c:axId val="1186633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708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825"/>
          <c:w val="0.726"/>
          <c:h val="0.8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'850nm_50MMF'!$H$12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'850nm_50MMF'!$H$15:$H$35</c:f>
              <c:numCache>
                <c:ptCount val="21"/>
                <c:pt idx="0">
                  <c:v>2.2039765071811988</c:v>
                </c:pt>
                <c:pt idx="1">
                  <c:v>2.2903210303428714</c:v>
                </c:pt>
                <c:pt idx="2">
                  <c:v>2.379027818223553</c:v>
                </c:pt>
                <c:pt idx="3">
                  <c:v>2.470095927964215</c:v>
                </c:pt>
                <c:pt idx="4">
                  <c:v>2.56352579578081</c:v>
                </c:pt>
                <c:pt idx="5">
                  <c:v>2.6593195412648054</c:v>
                </c:pt>
                <c:pt idx="6">
                  <c:v>2.7574812723518702</c:v>
                </c:pt>
                <c:pt idx="7">
                  <c:v>2.858017391711485</c:v>
                </c:pt>
                <c:pt idx="8">
                  <c:v>2.9609369056818755</c:v>
                </c:pt>
                <c:pt idx="9">
                  <c:v>3.066251737241376</c:v>
                </c:pt>
                <c:pt idx="10">
                  <c:v>3.173977044873753</c:v>
                </c:pt>
                <c:pt idx="11">
                  <c:v>3.284131549557273</c:v>
                </c:pt>
                <c:pt idx="12">
                  <c:v>3.3967378724925563</c:v>
                </c:pt>
                <c:pt idx="13">
                  <c:v>3.51182288659112</c:v>
                </c:pt>
                <c:pt idx="14">
                  <c:v>3.6294180851854385</c:v>
                </c:pt>
                <c:pt idx="15">
                  <c:v>3.749559971903759</c:v>
                </c:pt>
                <c:pt idx="16">
                  <c:v>3.8722904761930588</c:v>
                </c:pt>
                <c:pt idx="17">
                  <c:v>3.9976573995877613</c:v>
                </c:pt>
                <c:pt idx="18">
                  <c:v>4.125714898529303</c:v>
                </c:pt>
                <c:pt idx="19">
                  <c:v>4.256524010366013</c:v>
                </c:pt>
                <c:pt idx="20">
                  <c:v>4.390153230131646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'850nm_50MMF'!$I$12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'850nm_50MMF'!$I$15:$I$35</c:f>
              <c:numCache>
                <c:ptCount val="21"/>
                <c:pt idx="0">
                  <c:v>1.4995337076886184</c:v>
                </c:pt>
                <c:pt idx="1">
                  <c:v>1.537022050380834</c:v>
                </c:pt>
                <c:pt idx="2">
                  <c:v>1.5745103930730495</c:v>
                </c:pt>
                <c:pt idx="3">
                  <c:v>1.611998735765265</c:v>
                </c:pt>
                <c:pt idx="4">
                  <c:v>1.6494870784574804</c:v>
                </c:pt>
                <c:pt idx="5">
                  <c:v>1.686975421149696</c:v>
                </c:pt>
                <c:pt idx="6">
                  <c:v>1.7244637638419114</c:v>
                </c:pt>
                <c:pt idx="7">
                  <c:v>1.7619521065341268</c:v>
                </c:pt>
                <c:pt idx="8">
                  <c:v>1.7994404492263425</c:v>
                </c:pt>
                <c:pt idx="9">
                  <c:v>1.836928791918558</c:v>
                </c:pt>
                <c:pt idx="10">
                  <c:v>1.8744171346107734</c:v>
                </c:pt>
                <c:pt idx="11">
                  <c:v>1.9119054773029889</c:v>
                </c:pt>
                <c:pt idx="12">
                  <c:v>1.9493938199952043</c:v>
                </c:pt>
                <c:pt idx="13">
                  <c:v>1.9868821626874198</c:v>
                </c:pt>
                <c:pt idx="14">
                  <c:v>2.0243705053796353</c:v>
                </c:pt>
                <c:pt idx="15">
                  <c:v>2.061858848071851</c:v>
                </c:pt>
                <c:pt idx="16">
                  <c:v>2.099347190764066</c:v>
                </c:pt>
                <c:pt idx="17">
                  <c:v>2.136835533456282</c:v>
                </c:pt>
                <c:pt idx="18">
                  <c:v>2.1743238761484975</c:v>
                </c:pt>
                <c:pt idx="19">
                  <c:v>2.2118122188407128</c:v>
                </c:pt>
                <c:pt idx="20">
                  <c:v>2.2493005615329285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'850nm_50MMF'!$L$12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'850nm_50MMF'!$L$15:$L$35</c:f>
              <c:numCache>
                <c:ptCount val="21"/>
                <c:pt idx="0">
                  <c:v>0.037372444168297596</c:v>
                </c:pt>
                <c:pt idx="1">
                  <c:v>0.04121934638035312</c:v>
                </c:pt>
                <c:pt idx="2">
                  <c:v>0.04535528152643283</c:v>
                </c:pt>
                <c:pt idx="3">
                  <c:v>0.0497945562528925</c:v>
                </c:pt>
                <c:pt idx="4">
                  <c:v>0.054551895756250315</c:v>
                </c:pt>
                <c:pt idx="5">
                  <c:v>0.05964245937228374</c:v>
                </c:pt>
                <c:pt idx="6">
                  <c:v>0.06508185785745965</c:v>
                </c:pt>
                <c:pt idx="7">
                  <c:v>0.07088617249263382</c:v>
                </c:pt>
                <c:pt idx="8">
                  <c:v>0.07707197615069121</c:v>
                </c:pt>
                <c:pt idx="9">
                  <c:v>0.08365635648291725</c:v>
                </c:pt>
                <c:pt idx="10">
                  <c:v>0.09065694139380022</c:v>
                </c:pt>
                <c:pt idx="11">
                  <c:v>0.09809192699057855</c:v>
                </c:pt>
                <c:pt idx="12">
                  <c:v>0.10598010821283568</c:v>
                </c:pt>
                <c:pt idx="13">
                  <c:v>0.11434091236861456</c:v>
                </c:pt>
                <c:pt idx="14">
                  <c:v>0.12319443582770402</c:v>
                </c:pt>
                <c:pt idx="15">
                  <c:v>0.132561484149875</c:v>
                </c:pt>
                <c:pt idx="16">
                  <c:v>0.14246361595676404</c:v>
                </c:pt>
                <c:pt idx="17">
                  <c:v>0.1529231908910087</c:v>
                </c:pt>
                <c:pt idx="18">
                  <c:v>0.16396342204600903</c:v>
                </c:pt>
                <c:pt idx="19">
                  <c:v>0.17560843329483278</c:v>
                </c:pt>
                <c:pt idx="20">
                  <c:v>0.18788332199831267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'850nm_50MMF'!$N$12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'850nm_50MMF'!$N$15:$N$35</c:f>
              <c:numCache>
                <c:ptCount val="21"/>
                <c:pt idx="0">
                  <c:v>0.07998513628316035</c:v>
                </c:pt>
                <c:pt idx="1">
                  <c:v>0.0790427473164397</c:v>
                </c:pt>
                <c:pt idx="2">
                  <c:v>0.0781106384968981</c:v>
                </c:pt>
                <c:pt idx="3">
                  <c:v>0.07718925446740725</c:v>
                </c:pt>
                <c:pt idx="4">
                  <c:v>0.07627897869092183</c:v>
                </c:pt>
                <c:pt idx="5">
                  <c:v>0.07538013797305548</c:v>
                </c:pt>
                <c:pt idx="6">
                  <c:v>0.07449300680078738</c:v>
                </c:pt>
                <c:pt idx="7">
                  <c:v>0.07361781148412334</c:v>
                </c:pt>
                <c:pt idx="8">
                  <c:v>0.07275473409203516</c:v>
                </c:pt>
                <c:pt idx="9">
                  <c:v>0.07190391617781176</c:v>
                </c:pt>
                <c:pt idx="10">
                  <c:v>0.07106546229212392</c:v>
                </c:pt>
                <c:pt idx="11">
                  <c:v>0.07023944328478653</c:v>
                </c:pt>
                <c:pt idx="12">
                  <c:v>0.06942589939833035</c:v>
                </c:pt>
                <c:pt idx="13">
                  <c:v>0.06862484315824287</c:v>
                </c:pt>
                <c:pt idx="14">
                  <c:v>0.06783626206605979</c:v>
                </c:pt>
                <c:pt idx="15">
                  <c:v>0.06706012110254839</c:v>
                </c:pt>
                <c:pt idx="16">
                  <c:v>0.06629636504895631</c:v>
                </c:pt>
                <c:pt idx="17">
                  <c:v>0.06554492063481059</c:v>
                </c:pt>
                <c:pt idx="18">
                  <c:v>0.06480569852109612</c:v>
                </c:pt>
                <c:pt idx="19">
                  <c:v>0.06407859512775303</c:v>
                </c:pt>
                <c:pt idx="20">
                  <c:v>0.06336349431452183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'850nm_50MMF'!$O$12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'850nm_50MMF'!$O$15:$O$35</c:f>
              <c:numCache>
                <c:ptCount val="21"/>
                <c:pt idx="0">
                  <c:v>0.0014148605033610234</c:v>
                </c:pt>
                <c:pt idx="1">
                  <c:v>0.0015431915194968338</c:v>
                </c:pt>
                <c:pt idx="2">
                  <c:v>0.0016793049167768276</c:v>
                </c:pt>
                <c:pt idx="3">
                  <c:v>0.001823465254959869</c:v>
                </c:pt>
                <c:pt idx="4">
                  <c:v>0.0019759448450628048</c:v>
                </c:pt>
                <c:pt idx="5">
                  <c:v>0.002137024777800478</c:v>
                </c:pt>
                <c:pt idx="6">
                  <c:v>0.0023069960278191137</c:v>
                </c:pt>
                <c:pt idx="7">
                  <c:v>0.0024861606394772223</c:v>
                </c:pt>
                <c:pt idx="8">
                  <c:v>0.002674833000888832</c:v>
                </c:pt>
                <c:pt idx="9">
                  <c:v>0.002873341214061062</c:v>
                </c:pt>
                <c:pt idx="10">
                  <c:v>0.0030820285701365358</c:v>
                </c:pt>
                <c:pt idx="11">
                  <c:v>0.0033012551401096213</c:v>
                </c:pt>
                <c:pt idx="12">
                  <c:v>0.0035313994928077297</c:v>
                </c:pt>
                <c:pt idx="13">
                  <c:v>0.003772860553640983</c:v>
                </c:pt>
                <c:pt idx="14">
                  <c:v>0.004026059619438804</c:v>
                </c:pt>
                <c:pt idx="15">
                  <c:v>0.0042914425468230655</c:v>
                </c:pt>
                <c:pt idx="16">
                  <c:v>0.004569482133926855</c:v>
                </c:pt>
                <c:pt idx="17">
                  <c:v>0.004860680718058161</c:v>
                </c:pt>
                <c:pt idx="18">
                  <c:v>0.005165573014934519</c:v>
                </c:pt>
                <c:pt idx="19">
                  <c:v>0.005484729228827492</c:v>
                </c:pt>
                <c:pt idx="20">
                  <c:v>0.00581875846695952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'850nm_50MMF'!$P$12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'850nm_50MMF'!$Q$12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'850nm_50MMF'!$Q$15:$Q$35</c:f>
              <c:numCache>
                <c:ptCount val="21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'850nm_50MMF'!$S$12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'850nm_50MMF'!$S$15:$S$35</c:f>
              <c:numCache>
                <c:ptCount val="2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'850nm_50MMF'!$T$12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'850nm_50MMF'!$T$15:$T$35</c:f>
              <c:numCache>
                <c:ptCount val="21"/>
                <c:pt idx="0">
                  <c:v>4.568116751475594</c:v>
                </c:pt>
                <c:pt idx="1">
                  <c:v>4.694982461590953</c:v>
                </c:pt>
                <c:pt idx="2">
                  <c:v>4.8245175318876665</c:v>
                </c:pt>
                <c:pt idx="3">
                  <c:v>4.9567360353556955</c:v>
                </c:pt>
                <c:pt idx="4">
                  <c:v>5.091653789181482</c:v>
                </c:pt>
                <c:pt idx="5">
                  <c:v>5.229288680188597</c:v>
                </c:pt>
                <c:pt idx="6">
                  <c:v>5.369660992530805</c:v>
                </c:pt>
                <c:pt idx="7">
                  <c:v>5.512793738512802</c:v>
                </c:pt>
                <c:pt idx="8">
                  <c:v>5.65871299380279</c:v>
                </c:pt>
                <c:pt idx="9">
                  <c:v>5.80744823868568</c:v>
                </c:pt>
                <c:pt idx="10">
                  <c:v>5.959032707391544</c:v>
                </c:pt>
                <c:pt idx="11">
                  <c:v>6.113503747926694</c:v>
                </c:pt>
                <c:pt idx="12">
                  <c:v>6.270903195242692</c:v>
                </c:pt>
                <c:pt idx="13">
                  <c:v>6.431277761009995</c:v>
                </c:pt>
                <c:pt idx="14">
                  <c:v>6.594679443729234</c:v>
                </c:pt>
                <c:pt idx="15">
                  <c:v>6.761165963425813</c:v>
                </c:pt>
                <c:pt idx="16">
                  <c:v>6.930801225747729</c:v>
                </c:pt>
                <c:pt idx="17">
                  <c:v>7.103655820938878</c:v>
                </c:pt>
                <c:pt idx="18">
                  <c:v>7.279807563910796</c:v>
                </c:pt>
                <c:pt idx="19">
                  <c:v>7.459342082509095</c:v>
                </c:pt>
                <c:pt idx="20">
                  <c:v>7.642353462095325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'850nm_50MMF'!$AD$13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'850nm_50MMF'!$AC$15:$AC$35</c:f>
              <c:numCache>
                <c:ptCount val="2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</c:numCache>
            </c:numRef>
          </c:xVal>
          <c:yVal>
            <c:numRef>
              <c:f>'850nm_50MMF'!$AD$15:$AD$35</c:f>
              <c:numCache>
                <c:ptCount val="21"/>
                <c:pt idx="0">
                  <c:v>0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</c:numCache>
            </c:numRef>
          </c:yVal>
          <c:smooth val="0"/>
        </c:ser>
        <c:axId val="39688143"/>
        <c:axId val="21648968"/>
      </c:scatterChart>
      <c:valAx>
        <c:axId val="39688143"/>
        <c:scaling>
          <c:orientation val="minMax"/>
          <c:max val="0.6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48968"/>
        <c:crosses val="autoZero"/>
        <c:crossBetween val="midCat"/>
        <c:dispUnits/>
      </c:valAx>
      <c:valAx>
        <c:axId val="2164896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881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825"/>
          <c:w val="0.726"/>
          <c:h val="0.8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'1300nm_62MMF'!$H$12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'1300nm_62MMF'!$H$15:$H$35</c:f>
              <c:numCache>
                <c:ptCount val="21"/>
                <c:pt idx="0">
                  <c:v>1.5638155592880898</c:v>
                </c:pt>
                <c:pt idx="1">
                  <c:v>1.615604380383717</c:v>
                </c:pt>
                <c:pt idx="2">
                  <c:v>1.668868362317786</c:v>
                </c:pt>
                <c:pt idx="3">
                  <c:v>1.7236074466684275</c:v>
                </c:pt>
                <c:pt idx="4">
                  <c:v>1.7798210967161634</c:v>
                </c:pt>
                <c:pt idx="5">
                  <c:v>1.8375083776562762</c:v>
                </c:pt>
                <c:pt idx="6">
                  <c:v>1.8966680397368356</c:v>
                </c:pt>
                <c:pt idx="7">
                  <c:v>1.957298603773088</c:v>
                </c:pt>
                <c:pt idx="8">
                  <c:v>2.0193984485418364</c:v>
                </c:pt>
                <c:pt idx="9">
                  <c:v>2.0829658996160068</c:v>
                </c:pt>
                <c:pt idx="10">
                  <c:v>2.1479993192586697</c:v>
                </c:pt>
                <c:pt idx="11">
                  <c:v>2.2144971970563248</c:v>
                </c:pt>
                <c:pt idx="12">
                  <c:v>2.282458241032606</c:v>
                </c:pt>
                <c:pt idx="13">
                  <c:v>2.3518814690449847</c:v>
                </c:pt>
                <c:pt idx="14">
                  <c:v>2.4227663003278805</c:v>
                </c:pt>
                <c:pt idx="15">
                  <c:v>2.4951126471057656</c:v>
                </c:pt>
                <c:pt idx="16">
                  <c:v>2.568921006258718</c:v>
                </c:pt>
                <c:pt idx="17">
                  <c:v>2.64419255108064</c:v>
                </c:pt>
                <c:pt idx="18">
                  <c:v>2.720929223226847</c:v>
                </c:pt>
                <c:pt idx="19">
                  <c:v>2.7991338250030444</c:v>
                </c:pt>
                <c:pt idx="20">
                  <c:v>2.8788101122021375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'1300nm_62MMF'!$I$12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'1300nm_62MMF'!$I$15:$I$35</c:f>
              <c:numCache>
                <c:ptCount val="21"/>
                <c:pt idx="0">
                  <c:v>0.6169398909501528</c:v>
                </c:pt>
                <c:pt idx="1">
                  <c:v>0.6323633882239066</c:v>
                </c:pt>
                <c:pt idx="2">
                  <c:v>0.6477868854976605</c:v>
                </c:pt>
                <c:pt idx="3">
                  <c:v>0.6632103827714143</c:v>
                </c:pt>
                <c:pt idx="4">
                  <c:v>0.6786338800451681</c:v>
                </c:pt>
                <c:pt idx="5">
                  <c:v>0.6940573773189219</c:v>
                </c:pt>
                <c:pt idx="6">
                  <c:v>0.7094808745926758</c:v>
                </c:pt>
                <c:pt idx="7">
                  <c:v>0.7249043718664296</c:v>
                </c:pt>
                <c:pt idx="8">
                  <c:v>0.7403278691401834</c:v>
                </c:pt>
                <c:pt idx="9">
                  <c:v>0.7557513664139373</c:v>
                </c:pt>
                <c:pt idx="10">
                  <c:v>0.7711748636876912</c:v>
                </c:pt>
                <c:pt idx="11">
                  <c:v>0.786598360961445</c:v>
                </c:pt>
                <c:pt idx="12">
                  <c:v>0.8020218582351988</c:v>
                </c:pt>
                <c:pt idx="13">
                  <c:v>0.8174453555089526</c:v>
                </c:pt>
                <c:pt idx="14">
                  <c:v>0.8328688527827065</c:v>
                </c:pt>
                <c:pt idx="15">
                  <c:v>0.8482923500564603</c:v>
                </c:pt>
                <c:pt idx="16">
                  <c:v>0.8637158473302141</c:v>
                </c:pt>
                <c:pt idx="17">
                  <c:v>0.8791393446039679</c:v>
                </c:pt>
                <c:pt idx="18">
                  <c:v>0.8945628418777217</c:v>
                </c:pt>
                <c:pt idx="19">
                  <c:v>0.9099863391514756</c:v>
                </c:pt>
                <c:pt idx="20">
                  <c:v>0.9254098364252294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'1300nm_62MMF'!$L$12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'1300nm_62MMF'!$L$15:$L$35</c:f>
              <c:numCache>
                <c:ptCount val="21"/>
                <c:pt idx="0">
                  <c:v>0.0015097300334503613</c:v>
                </c:pt>
                <c:pt idx="1">
                  <c:v>0.0016659595459704952</c:v>
                </c:pt>
                <c:pt idx="2">
                  <c:v>0.0018339752262411496</c:v>
                </c:pt>
                <c:pt idx="3">
                  <c:v>0.002014350524097117</c:v>
                </c:pt>
                <c:pt idx="4">
                  <c:v>0.0022076720057004847</c:v>
                </c:pt>
                <c:pt idx="5">
                  <c:v>0.002414539320599426</c:v>
                </c:pt>
                <c:pt idx="6">
                  <c:v>0.0026355651699727185</c:v>
                </c:pt>
                <c:pt idx="7">
                  <c:v>0.002871375276203703</c:v>
                </c:pt>
                <c:pt idx="8">
                  <c:v>0.003122608353887443</c:v>
                </c:pt>
                <c:pt idx="9">
                  <c:v>0.0033899160824273646</c:v>
                </c:pt>
                <c:pt idx="10">
                  <c:v>0.003673963080353986</c:v>
                </c:pt>
                <c:pt idx="11">
                  <c:v>0.003975426881488182</c:v>
                </c:pt>
                <c:pt idx="12">
                  <c:v>0.004294997913109326</c:v>
                </c:pt>
                <c:pt idx="13">
                  <c:v>0.004633379476261047</c:v>
                </c:pt>
                <c:pt idx="14">
                  <c:v>0.004991287728337186</c:v>
                </c:pt>
                <c:pt idx="15">
                  <c:v>0.005369451668099445</c:v>
                </c:pt>
                <c:pt idx="16">
                  <c:v>0.005768613123284059</c:v>
                </c:pt>
                <c:pt idx="17">
                  <c:v>0.006189526740926989</c:v>
                </c:pt>
                <c:pt idx="18">
                  <c:v>0.006632959980592939</c:v>
                </c:pt>
                <c:pt idx="19">
                  <c:v>0.00709969311063656</c:v>
                </c:pt>
                <c:pt idx="20">
                  <c:v>0.0075905192076769655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'1300nm_62MMF'!$N$12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'1300nm_62MMF'!$N$15:$N$35</c:f>
              <c:numCache>
                <c:ptCount val="21"/>
                <c:pt idx="0">
                  <c:v>0.055938723702647214</c:v>
                </c:pt>
                <c:pt idx="1">
                  <c:v>0.055443502551542234</c:v>
                </c:pt>
                <c:pt idx="2">
                  <c:v>0.054949400514277255</c:v>
                </c:pt>
                <c:pt idx="3">
                  <c:v>0.05445678493058285</c:v>
                </c:pt>
                <c:pt idx="4">
                  <c:v>0.053965998142417516</c:v>
                </c:pt>
                <c:pt idx="5">
                  <c:v>0.053477358316670894</c:v>
                </c:pt>
                <c:pt idx="6">
                  <c:v>0.05299116031081721</c:v>
                </c:pt>
                <c:pt idx="7">
                  <c:v>0.05250767657070317</c:v>
                </c:pt>
                <c:pt idx="8">
                  <c:v>0.05202715805072839</c:v>
                </c:pt>
                <c:pt idx="9">
                  <c:v>0.051549835147706474</c:v>
                </c:pt>
                <c:pt idx="10">
                  <c:v>0.05107591864066028</c:v>
                </c:pt>
                <c:pt idx="11">
                  <c:v>0.0506056006297575</c:v>
                </c:pt>
                <c:pt idx="12">
                  <c:v>0.050139055468472964</c:v>
                </c:pt>
                <c:pt idx="13">
                  <c:v>0.04967644068386029</c:v>
                </c:pt>
                <c:pt idx="14">
                  <c:v>0.04921789788058471</c:v>
                </c:pt>
                <c:pt idx="15">
                  <c:v>0.04876355362507371</c:v>
                </c:pt>
                <c:pt idx="16">
                  <c:v>0.048313520306742866</c:v>
                </c:pt>
                <c:pt idx="17">
                  <c:v>0.04786789697386265</c:v>
                </c:pt>
                <c:pt idx="18">
                  <c:v>0.04742677014211189</c:v>
                </c:pt>
                <c:pt idx="19">
                  <c:v>0.046990214574354636</c:v>
                </c:pt>
                <c:pt idx="20">
                  <c:v>0.04655829403055388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'1300nm_62MMF'!$O$12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'1300nm_62MMF'!$O$15:$O$35</c:f>
              <c:numCache>
                <c:ptCount val="21"/>
                <c:pt idx="0">
                  <c:v>3.941107998238491E-05</c:v>
                </c:pt>
                <c:pt idx="1">
                  <c:v>4.310105074065845E-05</c:v>
                </c:pt>
                <c:pt idx="2">
                  <c:v>4.702152910954216E-05</c:v>
                </c:pt>
                <c:pt idx="3">
                  <c:v>5.1179537322053326E-05</c:v>
                </c:pt>
                <c:pt idx="4">
                  <c:v>5.5582051131014554E-05</c:v>
                </c:pt>
                <c:pt idx="5">
                  <c:v>6.0235999781561855E-05</c:v>
                </c:pt>
                <c:pt idx="6">
                  <c:v>6.514826635200394E-05</c:v>
                </c:pt>
                <c:pt idx="7">
                  <c:v>7.032568844752424E-05</c:v>
                </c:pt>
                <c:pt idx="8">
                  <c:v>7.577505921309985E-05</c:v>
                </c:pt>
                <c:pt idx="9">
                  <c:v>8.15031286104731E-05</c:v>
                </c:pt>
                <c:pt idx="10">
                  <c:v>8.751660494914909E-05</c:v>
                </c:pt>
                <c:pt idx="11">
                  <c:v>9.382215665013072E-05</c:v>
                </c:pt>
                <c:pt idx="12">
                  <c:v>0.00010042641418610276</c:v>
                </c:pt>
                <c:pt idx="13">
                  <c:v>0.0001073359722074882</c:v>
                </c:pt>
                <c:pt idx="14">
                  <c:v>0.00011455739182270747</c:v>
                </c:pt>
                <c:pt idx="15">
                  <c:v>0.00012209720301428056</c:v>
                </c:pt>
                <c:pt idx="16">
                  <c:v>0.0001299619071693514</c:v>
                </c:pt>
                <c:pt idx="17">
                  <c:v>0.00013815797973614624</c:v>
                </c:pt>
                <c:pt idx="18">
                  <c:v>0.00014669187295167363</c:v>
                </c:pt>
                <c:pt idx="19">
                  <c:v>0.00015557001868416603</c:v>
                </c:pt>
                <c:pt idx="20">
                  <c:v>0.00016479883133121292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'1300nm_62MMF'!$P$12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'1300nm_62MMF'!$Q$12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'1300nm_62MMF'!$Q$15:$Q$35</c:f>
              <c:numCache>
                <c:ptCount val="2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'1300nm_62MMF'!$S$12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'1300nm_62MMF'!$S$15:$S$35</c:f>
              <c:numCache>
                <c:ptCount val="2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'1300nm_62MMF'!$T$12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'1300nm_62MMF'!$T$15:$T$35</c:f>
              <c:numCache>
                <c:ptCount val="21"/>
                <c:pt idx="0">
                  <c:v>3.18407741070528</c:v>
                </c:pt>
                <c:pt idx="1">
                  <c:v>3.250954427406834</c:v>
                </c:pt>
                <c:pt idx="2">
                  <c:v>3.3193197407360313</c:v>
                </c:pt>
                <c:pt idx="3">
                  <c:v>3.389174240082801</c:v>
                </c:pt>
                <c:pt idx="4">
                  <c:v>3.460518324611537</c:v>
                </c:pt>
                <c:pt idx="5">
                  <c:v>3.5333519842632066</c:v>
                </c:pt>
                <c:pt idx="6">
                  <c:v>3.60767488372761</c:v>
                </c:pt>
                <c:pt idx="7">
                  <c:v>3.683486448825829</c:v>
                </c:pt>
                <c:pt idx="8">
                  <c:v>3.760785954796806</c:v>
                </c:pt>
                <c:pt idx="9">
                  <c:v>3.8395726160396455</c:v>
                </c:pt>
                <c:pt idx="10">
                  <c:v>3.919845676923282</c:v>
                </c:pt>
                <c:pt idx="11">
                  <c:v>4.001604503336622</c:v>
                </c:pt>
                <c:pt idx="12">
                  <c:v>4.08484867471453</c:v>
                </c:pt>
                <c:pt idx="13">
                  <c:v>4.169578076337223</c:v>
                </c:pt>
                <c:pt idx="14">
                  <c:v>4.255792991762289</c:v>
                </c:pt>
                <c:pt idx="15">
                  <c:v>4.34349419530937</c:v>
                </c:pt>
                <c:pt idx="16">
                  <c:v>4.432683044577085</c:v>
                </c:pt>
                <c:pt idx="17">
                  <c:v>4.5233615730300905</c:v>
                </c:pt>
                <c:pt idx="18">
                  <c:v>4.615532582751182</c:v>
                </c:pt>
                <c:pt idx="19">
                  <c:v>4.709199737509152</c:v>
                </c:pt>
                <c:pt idx="20">
                  <c:v>4.804367656347885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'1300nm_62MMF'!$AD$13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'1300nm_62MMF'!$AC$15:$AC$35</c:f>
              <c:numCache>
                <c:ptCount val="21"/>
                <c:pt idx="0">
                  <c:v>0.55</c:v>
                </c:pt>
                <c:pt idx="1">
                  <c:v>0.55</c:v>
                </c:pt>
                <c:pt idx="2">
                  <c:v>0.55</c:v>
                </c:pt>
                <c:pt idx="3">
                  <c:v>0.55</c:v>
                </c:pt>
                <c:pt idx="4">
                  <c:v>0.55</c:v>
                </c:pt>
                <c:pt idx="5">
                  <c:v>0.55</c:v>
                </c:pt>
                <c:pt idx="6">
                  <c:v>0.55</c:v>
                </c:pt>
                <c:pt idx="7">
                  <c:v>0.55</c:v>
                </c:pt>
                <c:pt idx="8">
                  <c:v>0.55</c:v>
                </c:pt>
                <c:pt idx="9">
                  <c:v>0.55</c:v>
                </c:pt>
                <c:pt idx="10">
                  <c:v>0.55</c:v>
                </c:pt>
                <c:pt idx="11">
                  <c:v>0.55</c:v>
                </c:pt>
                <c:pt idx="12">
                  <c:v>0.55</c:v>
                </c:pt>
                <c:pt idx="13">
                  <c:v>0.55</c:v>
                </c:pt>
                <c:pt idx="14">
                  <c:v>0.55</c:v>
                </c:pt>
                <c:pt idx="15">
                  <c:v>0.55</c:v>
                </c:pt>
                <c:pt idx="16">
                  <c:v>0.55</c:v>
                </c:pt>
                <c:pt idx="17">
                  <c:v>0.55</c:v>
                </c:pt>
                <c:pt idx="18">
                  <c:v>0.55</c:v>
                </c:pt>
                <c:pt idx="19">
                  <c:v>0.55</c:v>
                </c:pt>
                <c:pt idx="20">
                  <c:v>0.55</c:v>
                </c:pt>
              </c:numCache>
            </c:numRef>
          </c:xVal>
          <c:yVal>
            <c:numRef>
              <c:f>'1300nm_62MMF'!$AD$15:$AD$35</c:f>
              <c:numCache>
                <c:ptCount val="21"/>
                <c:pt idx="0">
                  <c:v>0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</c:numCache>
            </c:numRef>
          </c:yVal>
          <c:smooth val="0"/>
        </c:ser>
        <c:axId val="60622985"/>
        <c:axId val="8735954"/>
      </c:scatterChart>
      <c:valAx>
        <c:axId val="60622985"/>
        <c:scaling>
          <c:orientation val="minMax"/>
          <c:max val="0.6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35954"/>
        <c:crosses val="autoZero"/>
        <c:crossBetween val="midCat"/>
        <c:dispUnits/>
      </c:valAx>
      <c:valAx>
        <c:axId val="873595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229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825"/>
          <c:w val="0.726"/>
          <c:h val="0.8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'1300nm_50MMF'!$H$12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'1300nm_50MMF'!$H$15:$H$35</c:f>
              <c:numCache>
                <c:ptCount val="21"/>
                <c:pt idx="0">
                  <c:v>2.126762356428589</c:v>
                </c:pt>
                <c:pt idx="1">
                  <c:v>2.2089765793639025</c:v>
                </c:pt>
                <c:pt idx="2">
                  <c:v>2.2934476271589883</c:v>
                </c:pt>
                <c:pt idx="3">
                  <c:v>2.3801736570441236</c:v>
                </c:pt>
                <c:pt idx="4">
                  <c:v>2.4691538158216937</c:v>
                </c:pt>
                <c:pt idx="5">
                  <c:v>2.5603885105439206</c:v>
                </c:pt>
                <c:pt idx="6">
                  <c:v>2.6538796794455983</c:v>
                </c:pt>
                <c:pt idx="7">
                  <c:v>2.7496310634492866</c:v>
                </c:pt>
                <c:pt idx="8">
                  <c:v>2.8476484788759633</c:v>
                </c:pt>
                <c:pt idx="9">
                  <c:v>2.9479400923029315</c:v>
                </c:pt>
                <c:pt idx="10">
                  <c:v>3.0505166988152514</c:v>
                </c:pt>
                <c:pt idx="11">
                  <c:v>3.1553920052011444</c:v>
                </c:pt>
                <c:pt idx="12">
                  <c:v>3.2625829199500593</c:v>
                </c:pt>
                <c:pt idx="13">
                  <c:v>3.3721098522301767</c:v>
                </c:pt>
                <c:pt idx="14">
                  <c:v>3.4839970223567778</c:v>
                </c:pt>
                <c:pt idx="15">
                  <c:v>3.5982727866219815</c:v>
                </c:pt>
                <c:pt idx="16">
                  <c:v>3.714969979748952</c:v>
                </c:pt>
                <c:pt idx="17">
                  <c:v>3.834126278670623</c:v>
                </c:pt>
                <c:pt idx="18">
                  <c:v>3.9557845918265833</c:v>
                </c:pt>
                <c:pt idx="19">
                  <c:v>4.079993478737107</c:v>
                </c:pt>
                <c:pt idx="20">
                  <c:v>4.20680760526741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'1300nm_50MMF'!$I$12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'1300nm_50MMF'!$I$15:$I$35</c:f>
              <c:numCache>
                <c:ptCount val="21"/>
                <c:pt idx="0">
                  <c:v>0.6169398909501528</c:v>
                </c:pt>
                <c:pt idx="1">
                  <c:v>0.6323633882239066</c:v>
                </c:pt>
                <c:pt idx="2">
                  <c:v>0.6477868854976605</c:v>
                </c:pt>
                <c:pt idx="3">
                  <c:v>0.6632103827714143</c:v>
                </c:pt>
                <c:pt idx="4">
                  <c:v>0.6786338800451681</c:v>
                </c:pt>
                <c:pt idx="5">
                  <c:v>0.6940573773189219</c:v>
                </c:pt>
                <c:pt idx="6">
                  <c:v>0.7094808745926758</c:v>
                </c:pt>
                <c:pt idx="7">
                  <c:v>0.7249043718664296</c:v>
                </c:pt>
                <c:pt idx="8">
                  <c:v>0.7403278691401834</c:v>
                </c:pt>
                <c:pt idx="9">
                  <c:v>0.7557513664139373</c:v>
                </c:pt>
                <c:pt idx="10">
                  <c:v>0.7711748636876912</c:v>
                </c:pt>
                <c:pt idx="11">
                  <c:v>0.786598360961445</c:v>
                </c:pt>
                <c:pt idx="12">
                  <c:v>0.8020218582351988</c:v>
                </c:pt>
                <c:pt idx="13">
                  <c:v>0.8174453555089526</c:v>
                </c:pt>
                <c:pt idx="14">
                  <c:v>0.8328688527827065</c:v>
                </c:pt>
                <c:pt idx="15">
                  <c:v>0.8482923500564603</c:v>
                </c:pt>
                <c:pt idx="16">
                  <c:v>0.8637158473302141</c:v>
                </c:pt>
                <c:pt idx="17">
                  <c:v>0.8791393446039679</c:v>
                </c:pt>
                <c:pt idx="18">
                  <c:v>0.8945628418777217</c:v>
                </c:pt>
                <c:pt idx="19">
                  <c:v>0.9099863391514756</c:v>
                </c:pt>
                <c:pt idx="20">
                  <c:v>0.9254098364252294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'1300nm_50MMF'!$L$12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'1300nm_50MMF'!$L$15:$L$35</c:f>
              <c:numCache>
                <c:ptCount val="21"/>
                <c:pt idx="0">
                  <c:v>9.43036566558045E-05</c:v>
                </c:pt>
                <c:pt idx="1">
                  <c:v>0.00010408509801930452</c:v>
                </c:pt>
                <c:pt idx="2">
                  <c:v>0.00011460776061517316</c:v>
                </c:pt>
                <c:pt idx="3">
                  <c:v>0.00012590808048578702</c:v>
                </c:pt>
                <c:pt idx="4">
                  <c:v>0.0001380233566938229</c:v>
                </c:pt>
                <c:pt idx="5">
                  <c:v>0.0001509917503207299</c:v>
                </c:pt>
                <c:pt idx="6">
                  <c:v>0.0001648522834556536</c:v>
                </c:pt>
                <c:pt idx="7">
                  <c:v>0.00017964483816683665</c:v>
                </c:pt>
                <c:pt idx="8">
                  <c:v>0.00019541015545908766</c:v>
                </c:pt>
                <c:pt idx="9">
                  <c:v>0.00021218983421800945</c:v>
                </c:pt>
                <c:pt idx="10">
                  <c:v>0.0002300263301416758</c:v>
                </c:pt>
                <c:pt idx="11">
                  <c:v>0.0002489629546575443</c:v>
                </c:pt>
                <c:pt idx="12">
                  <c:v>0.000269043873833961</c:v>
                </c:pt>
                <c:pt idx="13">
                  <c:v>0.00029031410726957133</c:v>
                </c:pt>
                <c:pt idx="14">
                  <c:v>0.00031281952698540983</c:v>
                </c:pt>
                <c:pt idx="15">
                  <c:v>0.0003366068562942946</c:v>
                </c:pt>
                <c:pt idx="16">
                  <c:v>0.00036172366867421696</c:v>
                </c:pt>
                <c:pt idx="17">
                  <c:v>0.0003882183866213054</c:v>
                </c:pt>
                <c:pt idx="18">
                  <c:v>0.00041614028049843943</c:v>
                </c:pt>
                <c:pt idx="19">
                  <c:v>0.0004455394673830425</c:v>
                </c:pt>
                <c:pt idx="20">
                  <c:v>0.00047646690990312186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'1300nm_50MMF'!$N$12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'1300nm_50MMF'!$N$15:$N$35</c:f>
              <c:numCache>
                <c:ptCount val="21"/>
                <c:pt idx="0">
                  <c:v>0.05122912367203248</c:v>
                </c:pt>
                <c:pt idx="1">
                  <c:v>0.050644115707022</c:v>
                </c:pt>
                <c:pt idx="2">
                  <c:v>0.050064904365186416</c:v>
                </c:pt>
                <c:pt idx="3">
                  <c:v>0.049491790275746086</c:v>
                </c:pt>
                <c:pt idx="4">
                  <c:v>0.04892503652788566</c:v>
                </c:pt>
                <c:pt idx="5">
                  <c:v>0.04836487126349976</c:v>
                </c:pt>
                <c:pt idx="6">
                  <c:v>0.04781149018230329</c:v>
                </c:pt>
                <c:pt idx="7">
                  <c:v>0.04726505894932147</c:v>
                </c:pt>
                <c:pt idx="8">
                  <c:v>0.046725715497537644</c:v>
                </c:pt>
                <c:pt idx="9">
                  <c:v>0.046193572220774935</c:v>
                </c:pt>
                <c:pt idx="10">
                  <c:v>0.045668718053916944</c:v>
                </c:pt>
                <c:pt idx="11">
                  <c:v>0.04515122043924294</c:v>
                </c:pt>
                <c:pt idx="12">
                  <c:v>0.04464112717908378</c:v>
                </c:pt>
                <c:pt idx="13">
                  <c:v>0.044138468176123165</c:v>
                </c:pt>
                <c:pt idx="14">
                  <c:v>0.04364325706366065</c:v>
                </c:pt>
                <c:pt idx="15">
                  <c:v>0.043155492728857145</c:v>
                </c:pt>
                <c:pt idx="16">
                  <c:v>0.042675160732559655</c:v>
                </c:pt>
                <c:pt idx="17">
                  <c:v>0.042202234629766536</c:v>
                </c:pt>
                <c:pt idx="18">
                  <c:v>0.04173667719505986</c:v>
                </c:pt>
                <c:pt idx="19">
                  <c:v>0.041278441557552746</c:v>
                </c:pt>
                <c:pt idx="20">
                  <c:v>0.040827472250025636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'1300nm_50MMF'!$O$12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'1300nm_50MMF'!$O$15:$O$35</c:f>
              <c:numCache>
                <c:ptCount val="21"/>
                <c:pt idx="0">
                  <c:v>2.251302137504241E-06</c:v>
                </c:pt>
                <c:pt idx="1">
                  <c:v>2.456111851768805E-06</c:v>
                </c:pt>
                <c:pt idx="2">
                  <c:v>2.673135289954498E-06</c:v>
                </c:pt>
                <c:pt idx="3">
                  <c:v>2.9027117532873237E-06</c:v>
                </c:pt>
                <c:pt idx="4">
                  <c:v>3.145178039322405E-06</c:v>
                </c:pt>
                <c:pt idx="5">
                  <c:v>3.400868529304657E-06</c:v>
                </c:pt>
                <c:pt idx="6">
                  <c:v>3.6701152762927403E-06</c:v>
                </c:pt>
                <c:pt idx="7">
                  <c:v>3.953248093963024E-06</c:v>
                </c:pt>
                <c:pt idx="8">
                  <c:v>4.250594651672435E-06</c:v>
                </c:pt>
                <c:pt idx="9">
                  <c:v>4.562480566391858E-06</c:v>
                </c:pt>
                <c:pt idx="10">
                  <c:v>4.889229498206138E-06</c:v>
                </c:pt>
                <c:pt idx="11">
                  <c:v>5.231163244467929E-06</c:v>
                </c:pt>
                <c:pt idx="12">
                  <c:v>5.588601818859451E-06</c:v>
                </c:pt>
                <c:pt idx="13">
                  <c:v>5.96186355666245E-06</c:v>
                </c:pt>
                <c:pt idx="14">
                  <c:v>6.351265186957389E-06</c:v>
                </c:pt>
                <c:pt idx="15">
                  <c:v>6.757121919949427E-06</c:v>
                </c:pt>
                <c:pt idx="16">
                  <c:v>7.17974752714734E-06</c:v>
                </c:pt>
                <c:pt idx="17">
                  <c:v>7.6194544157554E-06</c:v>
                </c:pt>
                <c:pt idx="18">
                  <c:v>8.076553705743672E-06</c:v>
                </c:pt>
                <c:pt idx="19">
                  <c:v>8.551355297099772E-06</c:v>
                </c:pt>
                <c:pt idx="20">
                  <c:v>9.044167927282909E-06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'1300nm_50MMF'!$P$12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'1300nm_50MMF'!$Q$12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'1300nm_50MMF'!$Q$15:$Q$35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'1300nm_50MMF'!$S$12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'1300nm_50MMF'!$S$15:$S$35</c:f>
              <c:numCache>
                <c:ptCount val="2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'1300nm_50MMF'!$T$12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'1300nm_50MMF'!$T$15:$T$35</c:f>
              <c:numCache>
                <c:ptCount val="21"/>
                <c:pt idx="0">
                  <c:v>4.240862021660524</c:v>
                </c:pt>
                <c:pt idx="1">
                  <c:v>4.337924720155659</c:v>
                </c:pt>
                <c:pt idx="2">
                  <c:v>4.437250793568698</c:v>
                </c:pt>
                <c:pt idx="3">
                  <c:v>4.53883873653448</c:v>
                </c:pt>
                <c:pt idx="4">
                  <c:v>4.642687996580438</c:v>
                </c:pt>
                <c:pt idx="5">
                  <c:v>4.74879924739615</c:v>
                </c:pt>
                <c:pt idx="6">
                  <c:v>4.857174662270266</c:v>
                </c:pt>
                <c:pt idx="7">
                  <c:v>4.967818188002255</c:v>
                </c:pt>
                <c:pt idx="8">
                  <c:v>5.080735819914752</c:v>
                </c:pt>
                <c:pt idx="9">
                  <c:v>5.195935878903385</c:v>
                </c:pt>
                <c:pt idx="10">
                  <c:v>5.313429291767456</c:v>
                </c:pt>
                <c:pt idx="11">
                  <c:v>5.4332298763706905</c:v>
                </c:pt>
                <c:pt idx="12">
                  <c:v>5.555354633490951</c:v>
                </c:pt>
                <c:pt idx="13">
                  <c:v>5.679824047537036</c:v>
                </c:pt>
                <c:pt idx="14">
                  <c:v>5.8066623986462735</c:v>
                </c:pt>
                <c:pt idx="15">
                  <c:v>5.93589808903647</c:v>
                </c:pt>
                <c:pt idx="16">
                  <c:v>6.067563986878884</c:v>
                </c:pt>
                <c:pt idx="17">
                  <c:v>6.201697791396352</c:v>
                </c:pt>
                <c:pt idx="18">
                  <c:v>6.3383424233845265</c:v>
                </c:pt>
                <c:pt idx="19">
                  <c:v>6.477546445919772</c:v>
                </c:pt>
                <c:pt idx="20">
                  <c:v>6.6193645206714535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'1300nm_50MMF'!$AD$13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'1300nm_50MMF'!$AC$15:$AC$35</c:f>
              <c:numCache>
                <c:ptCount val="21"/>
                <c:pt idx="0">
                  <c:v>0.55</c:v>
                </c:pt>
                <c:pt idx="1">
                  <c:v>0.55</c:v>
                </c:pt>
                <c:pt idx="2">
                  <c:v>0.55</c:v>
                </c:pt>
                <c:pt idx="3">
                  <c:v>0.55</c:v>
                </c:pt>
                <c:pt idx="4">
                  <c:v>0.55</c:v>
                </c:pt>
                <c:pt idx="5">
                  <c:v>0.55</c:v>
                </c:pt>
                <c:pt idx="6">
                  <c:v>0.55</c:v>
                </c:pt>
                <c:pt idx="7">
                  <c:v>0.55</c:v>
                </c:pt>
                <c:pt idx="8">
                  <c:v>0.55</c:v>
                </c:pt>
                <c:pt idx="9">
                  <c:v>0.55</c:v>
                </c:pt>
                <c:pt idx="10">
                  <c:v>0.55</c:v>
                </c:pt>
                <c:pt idx="11">
                  <c:v>0.55</c:v>
                </c:pt>
                <c:pt idx="12">
                  <c:v>0.55</c:v>
                </c:pt>
                <c:pt idx="13">
                  <c:v>0.55</c:v>
                </c:pt>
                <c:pt idx="14">
                  <c:v>0.55</c:v>
                </c:pt>
                <c:pt idx="15">
                  <c:v>0.55</c:v>
                </c:pt>
                <c:pt idx="16">
                  <c:v>0.55</c:v>
                </c:pt>
                <c:pt idx="17">
                  <c:v>0.55</c:v>
                </c:pt>
                <c:pt idx="18">
                  <c:v>0.55</c:v>
                </c:pt>
                <c:pt idx="19">
                  <c:v>0.55</c:v>
                </c:pt>
                <c:pt idx="20">
                  <c:v>0.55</c:v>
                </c:pt>
              </c:numCache>
            </c:numRef>
          </c:xVal>
          <c:yVal>
            <c:numRef>
              <c:f>'1300nm_50MMF'!$AD$15:$AD$35</c:f>
              <c:numCache>
                <c:ptCount val="21"/>
                <c:pt idx="0">
                  <c:v>0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</c:numCache>
            </c:numRef>
          </c:yVal>
          <c:smooth val="0"/>
        </c:ser>
        <c:axId val="11514723"/>
        <c:axId val="36523644"/>
      </c:scatterChart>
      <c:valAx>
        <c:axId val="11514723"/>
        <c:scaling>
          <c:orientation val="minMax"/>
          <c:max val="0.6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23644"/>
        <c:crosses val="autoZero"/>
        <c:crossBetween val="midCat"/>
        <c:dispUnits/>
      </c:valAx>
      <c:valAx>
        <c:axId val="3652364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5147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825"/>
          <c:w val="0.726"/>
          <c:h val="0.8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'1300nm_SMF'!$H$12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'1300nm_SMF'!$H$15:$H$35</c:f>
              <c:numCache>
                <c:ptCount val="21"/>
                <c:pt idx="0">
                  <c:v>0.7522285979227359</c:v>
                </c:pt>
                <c:pt idx="1">
                  <c:v>0.7645253887614922</c:v>
                </c:pt>
                <c:pt idx="2">
                  <c:v>0.7772204835900867</c:v>
                </c:pt>
                <c:pt idx="3">
                  <c:v>0.7903171021799326</c:v>
                </c:pt>
                <c:pt idx="4">
                  <c:v>0.8038184239179518</c:v>
                </c:pt>
                <c:pt idx="5">
                  <c:v>0.8177275813565105</c:v>
                </c:pt>
                <c:pt idx="6">
                  <c:v>0.832047654029519</c:v>
                </c:pt>
                <c:pt idx="7">
                  <c:v>0.8467816625525133</c:v>
                </c:pt>
                <c:pt idx="8">
                  <c:v>0.8619325630230132</c:v>
                </c:pt>
                <c:pt idx="9">
                  <c:v>0.8775032417359646</c:v>
                </c:pt>
                <c:pt idx="10">
                  <c:v>0.8934965102275073</c:v>
                </c:pt>
                <c:pt idx="11">
                  <c:v>0.9099151006587215</c:v>
                </c:pt>
                <c:pt idx="12">
                  <c:v>0.9267616615493603</c:v>
                </c:pt>
                <c:pt idx="13">
                  <c:v>0.9440387538699645</c:v>
                </c:pt>
                <c:pt idx="14">
                  <c:v>0.9617488474990805</c:v>
                </c:pt>
                <c:pt idx="15">
                  <c:v>0.9798943180507346</c:v>
                </c:pt>
                <c:pt idx="16">
                  <c:v>0.9984774440756262</c:v>
                </c:pt>
                <c:pt idx="17">
                  <c:v>1.0175004046380132</c:v>
                </c:pt>
                <c:pt idx="18">
                  <c:v>1.0369652772686555</c:v>
                </c:pt>
                <c:pt idx="19">
                  <c:v>1.056874036292745</c:v>
                </c:pt>
                <c:pt idx="20">
                  <c:v>1.0772285515302913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'1300nm_SMF'!$I$12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'1300nm_SMF'!$I$15:$I$35</c:f>
              <c:numCache>
                <c:ptCount val="21"/>
                <c:pt idx="0">
                  <c:v>1.7994080152712786</c:v>
                </c:pt>
                <c:pt idx="1">
                  <c:v>1.8508196728504582</c:v>
                </c:pt>
                <c:pt idx="2">
                  <c:v>1.9022313304296377</c:v>
                </c:pt>
                <c:pt idx="3">
                  <c:v>1.953642988008817</c:v>
                </c:pt>
                <c:pt idx="4">
                  <c:v>2.0050546455879967</c:v>
                </c:pt>
                <c:pt idx="5">
                  <c:v>2.0564663031671757</c:v>
                </c:pt>
                <c:pt idx="6">
                  <c:v>2.107877960746355</c:v>
                </c:pt>
                <c:pt idx="7">
                  <c:v>2.159289618325534</c:v>
                </c:pt>
                <c:pt idx="8">
                  <c:v>2.2107012759047135</c:v>
                </c:pt>
                <c:pt idx="9">
                  <c:v>2.2621129334838925</c:v>
                </c:pt>
                <c:pt idx="10">
                  <c:v>2.313524591063072</c:v>
                </c:pt>
                <c:pt idx="11">
                  <c:v>2.364936248642251</c:v>
                </c:pt>
                <c:pt idx="12">
                  <c:v>2.4163479062214304</c:v>
                </c:pt>
                <c:pt idx="13">
                  <c:v>2.4677595638006093</c:v>
                </c:pt>
                <c:pt idx="14">
                  <c:v>2.5191712213797888</c:v>
                </c:pt>
                <c:pt idx="15">
                  <c:v>2.5705828789589678</c:v>
                </c:pt>
                <c:pt idx="16">
                  <c:v>2.621994536538147</c:v>
                </c:pt>
                <c:pt idx="17">
                  <c:v>2.673406194117326</c:v>
                </c:pt>
                <c:pt idx="18">
                  <c:v>2.7248178516965056</c:v>
                </c:pt>
                <c:pt idx="19">
                  <c:v>2.7762295092756846</c:v>
                </c:pt>
                <c:pt idx="20">
                  <c:v>2.827641166854864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'1300nm_SMF'!$L$12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'1300nm_SMF'!$L$15:$L$35</c:f>
              <c:numCache>
                <c:ptCount val="21"/>
                <c:pt idx="0">
                  <c:v>0.35352230479344887</c:v>
                </c:pt>
                <c:pt idx="1">
                  <c:v>0.3972542329078719</c:v>
                </c:pt>
                <c:pt idx="2">
                  <c:v>0.4453682696189621</c:v>
                </c:pt>
                <c:pt idx="3">
                  <c:v>0.4982831789926657</c:v>
                </c:pt>
                <c:pt idx="4">
                  <c:v>0.5564745172042775</c:v>
                </c:pt>
                <c:pt idx="5">
                  <c:v>0.6204866323644158</c:v>
                </c:pt>
                <c:pt idx="6">
                  <c:v>0.6909479525802227</c:v>
                </c:pt>
                <c:pt idx="7">
                  <c:v>0.7685907007042465</c:v>
                </c:pt>
                <c:pt idx="8">
                  <c:v>0.8542766639886052</c:v>
                </c:pt>
                <c:pt idx="9">
                  <c:v>0.9490313930917699</c:v>
                </c:pt>
                <c:pt idx="10">
                  <c:v>1.0540903693168162</c:v>
                </c:pt>
                <c:pt idx="11">
                  <c:v>1.1709625452621713</c:v>
                </c:pt>
                <c:pt idx="12">
                  <c:v>1.3015197472558673</c:v>
                </c:pt>
                <c:pt idx="13">
                  <c:v>1.4481257005075623</c:v>
                </c:pt>
                <c:pt idx="14">
                  <c:v>1.6138278207380328</c:v>
                </c:pt>
                <c:pt idx="15">
                  <c:v>1.8026524068405307</c:v>
                </c:pt>
                <c:pt idx="16">
                  <c:v>2.020078315043089</c:v>
                </c:pt>
                <c:pt idx="17">
                  <c:v>2.27383666808667</c:v>
                </c:pt>
                <c:pt idx="18">
                  <c:v>2.575349554290907</c:v>
                </c:pt>
                <c:pt idx="19">
                  <c:v>2.9425390998933403</c:v>
                </c:pt>
                <c:pt idx="20">
                  <c:v>3.4059505171004085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'1300nm_SMF'!$N$12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'1300nm_SMF'!$N$15:$N$35</c:f>
              <c:numCache>
                <c:ptCount val="21"/>
                <c:pt idx="0">
                  <c:v>0.06531155172973663</c:v>
                </c:pt>
                <c:pt idx="1">
                  <c:v>0.06508681680031812</c:v>
                </c:pt>
                <c:pt idx="2">
                  <c:v>0.06485814156199689</c:v>
                </c:pt>
                <c:pt idx="3">
                  <c:v>0.06462568148086327</c:v>
                </c:pt>
                <c:pt idx="4">
                  <c:v>0.0643895914478031</c:v>
                </c:pt>
                <c:pt idx="5">
                  <c:v>0.06415002556457111</c:v>
                </c:pt>
                <c:pt idx="6">
                  <c:v>0.0639071369399748</c:v>
                </c:pt>
                <c:pt idx="7">
                  <c:v>0.06366107749638723</c:v>
                </c:pt>
                <c:pt idx="8">
                  <c:v>0.06341199778675023</c:v>
                </c:pt>
                <c:pt idx="9">
                  <c:v>0.06316004682214725</c:v>
                </c:pt>
                <c:pt idx="10">
                  <c:v>0.06290537191000299</c:v>
                </c:pt>
                <c:pt idx="11">
                  <c:v>0.0626481185029163</c:v>
                </c:pt>
                <c:pt idx="12">
                  <c:v>0.06238843005804996</c:v>
                </c:pt>
                <c:pt idx="13">
                  <c:v>0.06212644790701484</c:v>
                </c:pt>
                <c:pt idx="14">
                  <c:v>0.06186231113609847</c:v>
                </c:pt>
                <c:pt idx="15">
                  <c:v>0.06159615647668392</c:v>
                </c:pt>
                <c:pt idx="16">
                  <c:v>0.061328118205647805</c:v>
                </c:pt>
                <c:pt idx="17">
                  <c:v>0.06105832805551334</c:v>
                </c:pt>
                <c:pt idx="18">
                  <c:v>0.060786915134115285</c:v>
                </c:pt>
                <c:pt idx="19">
                  <c:v>0.06051400585347012</c:v>
                </c:pt>
                <c:pt idx="20">
                  <c:v>0.06023972386758943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'1300nm_SMF'!$O$12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'1300nm_SMF'!$O$15:$O$35</c:f>
              <c:numCache>
                <c:ptCount val="21"/>
                <c:pt idx="0">
                  <c:v>0.011754568834626</c:v>
                </c:pt>
                <c:pt idx="1">
                  <c:v>0.013304324169384277</c:v>
                </c:pt>
                <c:pt idx="2">
                  <c:v>0.015039460594150553</c:v>
                </c:pt>
                <c:pt idx="3">
                  <c:v>0.01698571528784594</c:v>
                </c:pt>
                <c:pt idx="4">
                  <c:v>0.019173997888945915</c:v>
                </c:pt>
                <c:pt idx="5">
                  <c:v>0.02164179557462992</c:v>
                </c:pt>
                <c:pt idx="6">
                  <c:v>0.02443505710853261</c:v>
                </c:pt>
                <c:pt idx="7">
                  <c:v>0.02761075804457684</c:v>
                </c:pt>
                <c:pt idx="8">
                  <c:v>0.031240453139197197</c:v>
                </c:pt>
                <c:pt idx="9">
                  <c:v>0.03541529002368306</c:v>
                </c:pt>
                <c:pt idx="10">
                  <c:v>0.04025323757205791</c:v>
                </c:pt>
                <c:pt idx="11">
                  <c:v>0.04590976175953487</c:v>
                </c:pt>
                <c:pt idx="12">
                  <c:v>0.05259403395076155</c:v>
                </c:pt>
                <c:pt idx="13">
                  <c:v>0.060594334126650704</c:v>
                </c:pt>
                <c:pt idx="14">
                  <c:v>0.07031937255511461</c:v>
                </c:pt>
                <c:pt idx="15">
                  <c:v>0.0823685289742716</c:v>
                </c:pt>
                <c:pt idx="16">
                  <c:v>0.09765774623881658</c:v>
                </c:pt>
                <c:pt idx="17">
                  <c:v>0.11766038066700682</c:v>
                </c:pt>
                <c:pt idx="18">
                  <c:v>0.14490754252986549</c:v>
                </c:pt>
                <c:pt idx="19">
                  <c:v>0.18414582289893922</c:v>
                </c:pt>
                <c:pt idx="20">
                  <c:v>0.24544441325931757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'1300nm_SMF'!$P$12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'1300nm_SMF'!$Q$12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'1300nm_SMF'!$Q$15:$Q$35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'1300nm_SMF'!$S$12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'1300nm_SMF'!$S$15:$S$35</c:f>
              <c:numCache>
                <c:ptCount val="2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'1300nm_SMF'!$T$12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'1300nm_SMF'!$T$15:$T$35</c:f>
              <c:numCache>
                <c:ptCount val="21"/>
                <c:pt idx="0">
                  <c:v>3.4094928919137484</c:v>
                </c:pt>
                <c:pt idx="1">
                  <c:v>3.518258288851447</c:v>
                </c:pt>
                <c:pt idx="2">
                  <c:v>3.631985539156756</c:v>
                </c:pt>
                <c:pt idx="3">
                  <c:v>3.751122519312047</c:v>
                </c:pt>
                <c:pt idx="4">
                  <c:v>3.876179029408897</c:v>
                </c:pt>
                <c:pt idx="5">
                  <c:v>4.007740191389225</c:v>
                </c:pt>
                <c:pt idx="6">
                  <c:v>4.1464836147665265</c:v>
                </c:pt>
                <c:pt idx="7">
                  <c:v>4.29320167048518</c:v>
                </c:pt>
                <c:pt idx="8">
                  <c:v>4.448830807204201</c:v>
                </c:pt>
                <c:pt idx="9">
                  <c:v>4.614490758519379</c:v>
                </c:pt>
                <c:pt idx="10">
                  <c:v>4.791537933451378</c:v>
                </c:pt>
                <c:pt idx="11">
                  <c:v>4.981639628187517</c:v>
                </c:pt>
                <c:pt idx="12">
                  <c:v>5.186879632397391</c:v>
                </c:pt>
                <c:pt idx="13">
                  <c:v>5.409912653573723</c:v>
                </c:pt>
                <c:pt idx="14">
                  <c:v>5.654197426670037</c:v>
                </c:pt>
                <c:pt idx="15">
                  <c:v>5.92436214266311</c:v>
                </c:pt>
                <c:pt idx="16">
                  <c:v>6.226804013463249</c:v>
                </c:pt>
                <c:pt idx="17">
                  <c:v>6.570729828926453</c:v>
                </c:pt>
                <c:pt idx="18">
                  <c:v>6.970094994281971</c:v>
                </c:pt>
                <c:pt idx="19">
                  <c:v>7.447570327576101</c:v>
                </c:pt>
                <c:pt idx="20">
                  <c:v>8.043772225974394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'1300nm_SMF'!$AD$13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'1300nm_SMF'!$AC$15:$AC$35</c:f>
              <c:numCache>
                <c:ptCount val="2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</c:numCache>
            </c:numRef>
          </c:xVal>
          <c:yVal>
            <c:numRef>
              <c:f>'1300nm_SMF'!$AD$15:$AD$35</c:f>
              <c:numCache>
                <c:ptCount val="21"/>
                <c:pt idx="0">
                  <c:v>0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</c:numCache>
            </c:numRef>
          </c:yVal>
          <c:smooth val="0"/>
        </c:ser>
        <c:axId val="60277341"/>
        <c:axId val="5625158"/>
      </c:scatterChart>
      <c:valAx>
        <c:axId val="60277341"/>
        <c:scaling>
          <c:orientation val="minMax"/>
          <c:max val="5.5"/>
          <c:min val="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25158"/>
        <c:crosses val="autoZero"/>
        <c:crossBetween val="midCat"/>
        <c:dispUnits/>
      </c:valAx>
      <c:valAx>
        <c:axId val="562515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773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825"/>
          <c:w val="0.726"/>
          <c:h val="0.8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'1550nm_SMF'!$H$12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'1550nm_SMF'!$H$15:$H$35</c:f>
              <c:numCache>
                <c:ptCount val="21"/>
                <c:pt idx="0">
                  <c:v>0.5982380678056511</c:v>
                </c:pt>
                <c:pt idx="1">
                  <c:v>0.6087386232569703</c:v>
                </c:pt>
                <c:pt idx="2">
                  <c:v>0.6203001192437512</c:v>
                </c:pt>
                <c:pt idx="3">
                  <c:v>0.6329377831472225</c:v>
                </c:pt>
                <c:pt idx="4">
                  <c:v>0.6466675978824771</c:v>
                </c:pt>
                <c:pt idx="5">
                  <c:v>0.6615061772928645</c:v>
                </c:pt>
                <c:pt idx="6">
                  <c:v>0.6774706382922349</c:v>
                </c:pt>
                <c:pt idx="7">
                  <c:v>0.694578471116704</c:v>
                </c:pt>
                <c:pt idx="8">
                  <c:v>0.7128474090665573</c:v>
                </c:pt>
                <c:pt idx="9">
                  <c:v>0.7322952991177979</c:v>
                </c:pt>
                <c:pt idx="10">
                  <c:v>0.752939974761116</c:v>
                </c:pt>
                <c:pt idx="11">
                  <c:v>0.7747991323836161</c:v>
                </c:pt>
                <c:pt idx="12">
                  <c:v>0.797890212446071</c:v>
                </c:pt>
                <c:pt idx="13">
                  <c:v>0.8222302866269717</c:v>
                </c:pt>
                <c:pt idx="14">
                  <c:v>0.8478359520058593</c:v>
                </c:pt>
                <c:pt idx="15">
                  <c:v>0.8747232332445966</c:v>
                </c:pt>
                <c:pt idx="16">
                  <c:v>0.9029074935990687</c:v>
                </c:pt>
                <c:pt idx="17">
                  <c:v>0.9324033554580708</c:v>
                </c:pt>
                <c:pt idx="18">
                  <c:v>0.9632246309641924</c:v>
                </c:pt>
                <c:pt idx="19">
                  <c:v>0.9953842631263679</c:v>
                </c:pt>
                <c:pt idx="20">
                  <c:v>1.0288942776887764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'1550nm_SMF'!$I$12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'1550nm_SMF'!$I$15:$I$35</c:f>
              <c:numCache>
                <c:ptCount val="21"/>
                <c:pt idx="0">
                  <c:v>2.1104449471478706</c:v>
                </c:pt>
                <c:pt idx="1">
                  <c:v>2.3214894418626577</c:v>
                </c:pt>
                <c:pt idx="2">
                  <c:v>2.532533936577445</c:v>
                </c:pt>
                <c:pt idx="3">
                  <c:v>2.7435784312922316</c:v>
                </c:pt>
                <c:pt idx="4">
                  <c:v>2.9546229260070187</c:v>
                </c:pt>
                <c:pt idx="5">
                  <c:v>3.165667420721806</c:v>
                </c:pt>
                <c:pt idx="6">
                  <c:v>3.376711915436593</c:v>
                </c:pt>
                <c:pt idx="7">
                  <c:v>3.5877564101513797</c:v>
                </c:pt>
                <c:pt idx="8">
                  <c:v>3.7988009048661673</c:v>
                </c:pt>
                <c:pt idx="9">
                  <c:v>4.009845399580954</c:v>
                </c:pt>
                <c:pt idx="10">
                  <c:v>4.220889894295741</c:v>
                </c:pt>
                <c:pt idx="11">
                  <c:v>4.431934389010529</c:v>
                </c:pt>
                <c:pt idx="12">
                  <c:v>4.642978883725315</c:v>
                </c:pt>
                <c:pt idx="13">
                  <c:v>4.854023378440102</c:v>
                </c:pt>
                <c:pt idx="14">
                  <c:v>5.06506787315489</c:v>
                </c:pt>
                <c:pt idx="15">
                  <c:v>5.276112367869676</c:v>
                </c:pt>
                <c:pt idx="16">
                  <c:v>5.487156862584463</c:v>
                </c:pt>
                <c:pt idx="17">
                  <c:v>5.698201357299251</c:v>
                </c:pt>
                <c:pt idx="18">
                  <c:v>5.909245852014037</c:v>
                </c:pt>
                <c:pt idx="19">
                  <c:v>6.120290346728825</c:v>
                </c:pt>
                <c:pt idx="20">
                  <c:v>6.331334841443612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'1550nm_SMF'!$L$12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'1550nm_SMF'!$L$15:$L$35</c:f>
              <c:numCache>
                <c:ptCount val="21"/>
                <c:pt idx="0">
                  <c:v>0.02234110489331573</c:v>
                </c:pt>
                <c:pt idx="1">
                  <c:v>0.0326109495999058</c:v>
                </c:pt>
                <c:pt idx="2">
                  <c:v>0.04605761150625991</c:v>
                </c:pt>
                <c:pt idx="3">
                  <c:v>0.0632832581958809</c:v>
                </c:pt>
                <c:pt idx="4">
                  <c:v>0.08495467743955884</c:v>
                </c:pt>
                <c:pt idx="5">
                  <c:v>0.11181310415662256</c:v>
                </c:pt>
                <c:pt idx="6">
                  <c:v>0.14468801420377694</c:v>
                </c:pt>
                <c:pt idx="7">
                  <c:v>0.18451615694957535</c:v>
                </c:pt>
                <c:pt idx="8">
                  <c:v>0.23236763649553493</c:v>
                </c:pt>
                <c:pt idx="9">
                  <c:v>0.2894816875910349</c:v>
                </c:pt>
                <c:pt idx="10">
                  <c:v>0.3573161169314431</c:v>
                </c:pt>
                <c:pt idx="11">
                  <c:v>0.43761653015271995</c:v>
                </c:pt>
                <c:pt idx="12">
                  <c:v>0.532515057175116</c:v>
                </c:pt>
                <c:pt idx="13">
                  <c:v>0.644674505020001</c:v>
                </c:pt>
                <c:pt idx="14">
                  <c:v>0.7775050759285971</c:v>
                </c:pt>
                <c:pt idx="15">
                  <c:v>0.9355020029229679</c:v>
                </c:pt>
                <c:pt idx="16">
                  <c:v>1.1247949964667923</c:v>
                </c:pt>
                <c:pt idx="17">
                  <c:v>1.3540918977927097</c:v>
                </c:pt>
                <c:pt idx="18">
                  <c:v>1.6364136098396322</c:v>
                </c:pt>
                <c:pt idx="19">
                  <c:v>1.9925802277769713</c:v>
                </c:pt>
                <c:pt idx="20">
                  <c:v>2.4591201550734625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'1550nm_SMF'!$N$12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'1550nm_SMF'!$N$15:$N$35</c:f>
              <c:numCache>
                <c:ptCount val="21"/>
                <c:pt idx="0">
                  <c:v>0.06844185293639021</c:v>
                </c:pt>
                <c:pt idx="1">
                  <c:v>0.06820696665667034</c:v>
                </c:pt>
                <c:pt idx="2">
                  <c:v>0.06795245058595824</c:v>
                </c:pt>
                <c:pt idx="3">
                  <c:v>0.06767899237348858</c:v>
                </c:pt>
                <c:pt idx="4">
                  <c:v>0.06738731552075952</c:v>
                </c:pt>
                <c:pt idx="5">
                  <c:v>0.06707817447720218</c:v>
                </c:pt>
                <c:pt idx="6">
                  <c:v>0.06675234971282441</c:v>
                </c:pt>
                <c:pt idx="7">
                  <c:v>0.06641064282369775</c:v>
                </c:pt>
                <c:pt idx="8">
                  <c:v>0.06605387172206224</c:v>
                </c:pt>
                <c:pt idx="9">
                  <c:v>0.0656828659581087</c:v>
                </c:pt>
                <c:pt idx="10">
                  <c:v>0.06529846221519126</c:v>
                </c:pt>
                <c:pt idx="11">
                  <c:v>0.06490150001462018</c:v>
                </c:pt>
                <c:pt idx="12">
                  <c:v>0.06449281766035872</c:v>
                </c:pt>
                <c:pt idx="13">
                  <c:v>0.06407324844810947</c:v>
                </c:pt>
                <c:pt idx="14">
                  <c:v>0.06364361715752219</c:v>
                </c:pt>
                <c:pt idx="15">
                  <c:v>0.06320473684074272</c:v>
                </c:pt>
                <c:pt idx="16">
                  <c:v>0.06275740591533145</c:v>
                </c:pt>
                <c:pt idx="17">
                  <c:v>0.0623024055647681</c:v>
                </c:pt>
                <c:pt idx="18">
                  <c:v>0.06184049744542081</c:v>
                </c:pt>
                <c:pt idx="19">
                  <c:v>0.061372421695016575</c:v>
                </c:pt>
                <c:pt idx="20">
                  <c:v>0.06089889523430653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'1550nm_SMF'!$O$12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'1550nm_SMF'!$O$15:$O$35</c:f>
              <c:numCache>
                <c:ptCount val="21"/>
                <c:pt idx="0">
                  <c:v>0.0007191876072696612</c:v>
                </c:pt>
                <c:pt idx="1">
                  <c:v>0.0010486883806568037</c:v>
                </c:pt>
                <c:pt idx="2">
                  <c:v>0.0014802228400568052</c:v>
                </c:pt>
                <c:pt idx="3">
                  <c:v>0.0020338594679330663</c:v>
                </c:pt>
                <c:pt idx="4">
                  <c:v>0.0027325220945197404</c:v>
                </c:pt>
                <c:pt idx="5">
                  <c:v>0.003602750788574041</c:v>
                </c:pt>
                <c:pt idx="6">
                  <c:v>0.0046757767255201504</c:v>
                </c:pt>
                <c:pt idx="7">
                  <c:v>0.0059890341490305005</c:v>
                </c:pt>
                <c:pt idx="8">
                  <c:v>0.0075882966376333155</c:v>
                </c:pt>
                <c:pt idx="9">
                  <c:v>0.009530729768823618</c:v>
                </c:pt>
                <c:pt idx="10">
                  <c:v>0.011889328176882707</c:v>
                </c:pt>
                <c:pt idx="11">
                  <c:v>0.014759509034484933</c:v>
                </c:pt>
                <c:pt idx="12">
                  <c:v>0.018269178469809272</c:v>
                </c:pt>
                <c:pt idx="13">
                  <c:v>0.022594603690404336</c:v>
                </c:pt>
                <c:pt idx="14">
                  <c:v>0.027986414140671503</c:v>
                </c:pt>
                <c:pt idx="15">
                  <c:v>0.03481418169295965</c:v>
                </c:pt>
                <c:pt idx="16">
                  <c:v>0.04364718521352125</c:v>
                </c:pt>
                <c:pt idx="17">
                  <c:v>0.055411025611878245</c:v>
                </c:pt>
                <c:pt idx="18">
                  <c:v>0.07171869610002751</c:v>
                </c:pt>
                <c:pt idx="19">
                  <c:v>0.09565467672594838</c:v>
                </c:pt>
                <c:pt idx="20">
                  <c:v>0.1339495491082659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'1550nm_SMF'!$P$12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'1550nm_SMF'!$Q$12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'1550nm_SMF'!$Q$15:$Q$35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'1550nm_SMF'!$S$12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'1550nm_SMF'!$S$15:$S$35</c:f>
              <c:numCache>
                <c:ptCount val="21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'1550nm_SMF'!$T$12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'1550nm_SMF'!$T$15:$T$35</c:f>
              <c:numCache>
                <c:ptCount val="21"/>
                <c:pt idx="0">
                  <c:v>3.22745301375242</c:v>
                </c:pt>
                <c:pt idx="1">
                  <c:v>3.4593625231187835</c:v>
                </c:pt>
                <c:pt idx="2">
                  <c:v>3.6955921941153935</c:v>
                </c:pt>
                <c:pt idx="3">
                  <c:v>3.9367801778386795</c:v>
                </c:pt>
                <c:pt idx="4">
                  <c:v>4.183632892306256</c:v>
                </c:pt>
                <c:pt idx="5">
                  <c:v>4.436935480798992</c:v>
                </c:pt>
                <c:pt idx="6">
                  <c:v>4.697566547732872</c:v>
                </c:pt>
                <c:pt idx="7">
                  <c:v>4.96651856855231</c:v>
                </c:pt>
                <c:pt idx="8">
                  <c:v>5.244925972149878</c:v>
                </c:pt>
                <c:pt idx="9">
                  <c:v>5.534103835378642</c:v>
                </c:pt>
                <c:pt idx="10">
                  <c:v>5.835601629742296</c:v>
                </c:pt>
                <c:pt idx="11">
                  <c:v>6.151278913957891</c:v>
                </c:pt>
                <c:pt idx="12">
                  <c:v>6.483414002838593</c:v>
                </c:pt>
                <c:pt idx="13">
                  <c:v>6.834863875587511</c:v>
                </c:pt>
                <c:pt idx="14">
                  <c:v>7.209306785749462</c:v>
                </c:pt>
                <c:pt idx="15">
                  <c:v>7.611624375932865</c:v>
                </c:pt>
                <c:pt idx="16">
                  <c:v>8.048531797141099</c:v>
                </c:pt>
                <c:pt idx="17">
                  <c:v>8.5296778950886</c:v>
                </c:pt>
                <c:pt idx="18">
                  <c:v>9.069711139725232</c:v>
                </c:pt>
                <c:pt idx="19">
                  <c:v>9.69254978941505</c:v>
                </c:pt>
                <c:pt idx="20">
                  <c:v>10.441465571910344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'1550nm_SMF'!$AD$13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'1550nm_SMF'!$AC$15:$AC$35</c:f>
              <c:numCache>
                <c:ptCount val="2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</c:numCache>
            </c:numRef>
          </c:xVal>
          <c:yVal>
            <c:numRef>
              <c:f>'1550nm_SMF'!$AD$15:$AD$35</c:f>
              <c:numCache>
                <c:ptCount val="21"/>
                <c:pt idx="0">
                  <c:v>0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</c:numCache>
            </c:numRef>
          </c:yVal>
          <c:smooth val="0"/>
        </c:ser>
        <c:axId val="50626423"/>
        <c:axId val="52984624"/>
      </c:scatterChart>
      <c:valAx>
        <c:axId val="50626423"/>
        <c:scaling>
          <c:orientation val="minMax"/>
          <c:max val="1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84624"/>
        <c:crosses val="autoZero"/>
        <c:crossBetween val="midCat"/>
        <c:dispUnits/>
      </c:valAx>
      <c:valAx>
        <c:axId val="5298462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264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35</xdr:row>
      <xdr:rowOff>0</xdr:rowOff>
    </xdr:from>
    <xdr:to>
      <xdr:col>23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8239125" y="6686550"/>
        <a:ext cx="4552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35</xdr:row>
      <xdr:rowOff>0</xdr:rowOff>
    </xdr:from>
    <xdr:to>
      <xdr:col>23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8239125" y="6686550"/>
        <a:ext cx="4552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35</xdr:row>
      <xdr:rowOff>0</xdr:rowOff>
    </xdr:from>
    <xdr:to>
      <xdr:col>23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8239125" y="6686550"/>
        <a:ext cx="4552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35</xdr:row>
      <xdr:rowOff>0</xdr:rowOff>
    </xdr:from>
    <xdr:to>
      <xdr:col>23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8239125" y="6686550"/>
        <a:ext cx="4552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35</xdr:row>
      <xdr:rowOff>0</xdr:rowOff>
    </xdr:from>
    <xdr:to>
      <xdr:col>23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8239125" y="6686550"/>
        <a:ext cx="4552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35</xdr:row>
      <xdr:rowOff>0</xdr:rowOff>
    </xdr:from>
    <xdr:to>
      <xdr:col>23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8239125" y="6686550"/>
        <a:ext cx="4552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35</xdr:row>
      <xdr:rowOff>0</xdr:rowOff>
    </xdr:from>
    <xdr:to>
      <xdr:col>23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8239125" y="6686550"/>
        <a:ext cx="4552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3/10G_study/public/email_attach/All_1250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1"/>
  <sheetViews>
    <sheetView tabSelected="1" workbookViewId="0" topLeftCell="A1">
      <selection activeCell="A5" sqref="A5"/>
    </sheetView>
  </sheetViews>
  <sheetFormatPr defaultColWidth="9.140625" defaultRowHeight="12.75"/>
  <sheetData>
    <row r="4" spans="2:7" ht="12.75">
      <c r="B4" s="192"/>
      <c r="C4" s="192"/>
      <c r="D4" s="192"/>
      <c r="E4" s="192"/>
      <c r="F4" s="192"/>
      <c r="G4" s="192"/>
    </row>
    <row r="5" spans="1:11" ht="15.75">
      <c r="A5" s="85" t="s">
        <v>69</v>
      </c>
      <c r="B5" s="53"/>
      <c r="C5" s="198">
        <v>36587</v>
      </c>
      <c r="D5" s="199"/>
      <c r="E5" s="147" t="s">
        <v>1</v>
      </c>
      <c r="F5" s="193" t="s">
        <v>127</v>
      </c>
      <c r="G5" s="194"/>
      <c r="H5" s="27"/>
      <c r="I5" s="27"/>
      <c r="J5" s="27"/>
      <c r="K5" s="27"/>
    </row>
    <row r="6" spans="1:11" ht="15">
      <c r="A6" s="30" t="s">
        <v>122</v>
      </c>
      <c r="B6" s="53"/>
      <c r="C6" s="53"/>
      <c r="D6" s="195"/>
      <c r="E6" s="53"/>
      <c r="F6" s="53"/>
      <c r="G6" s="194"/>
      <c r="H6" s="27"/>
      <c r="I6" s="27"/>
      <c r="J6" s="27"/>
      <c r="K6" s="24"/>
    </row>
    <row r="7" spans="1:11" ht="15">
      <c r="A7" s="24"/>
      <c r="B7" s="196" t="s">
        <v>70</v>
      </c>
      <c r="C7" s="197"/>
      <c r="D7" s="197"/>
      <c r="E7" s="197"/>
      <c r="F7" s="197"/>
      <c r="G7" s="197"/>
      <c r="H7" s="197"/>
      <c r="I7" s="197"/>
      <c r="J7" s="197"/>
      <c r="K7" s="197"/>
    </row>
    <row r="8" spans="1:11" ht="15">
      <c r="A8" s="30" t="s">
        <v>96</v>
      </c>
      <c r="B8" s="23"/>
      <c r="C8" s="23"/>
      <c r="D8" s="22"/>
      <c r="E8" s="23"/>
      <c r="F8" s="23"/>
      <c r="G8" s="29"/>
      <c r="H8" s="24"/>
      <c r="I8" s="24"/>
      <c r="J8" s="24"/>
      <c r="K8" s="24"/>
    </row>
    <row r="9" spans="1:11" ht="15">
      <c r="A9" s="25" t="s">
        <v>124</v>
      </c>
      <c r="B9" s="23" t="s">
        <v>71</v>
      </c>
      <c r="C9" s="23"/>
      <c r="D9" s="22"/>
      <c r="E9" s="23"/>
      <c r="F9" s="23"/>
      <c r="G9" s="29"/>
      <c r="H9" s="24"/>
      <c r="I9" s="24"/>
      <c r="J9" s="24"/>
      <c r="K9" s="24"/>
    </row>
    <row r="10" spans="1:11" ht="15">
      <c r="A10" s="25" t="s">
        <v>124</v>
      </c>
      <c r="B10" s="23" t="s">
        <v>72</v>
      </c>
      <c r="C10" s="23"/>
      <c r="D10" s="22"/>
      <c r="E10" s="23"/>
      <c r="F10" s="23"/>
      <c r="G10" s="29"/>
      <c r="H10" s="24"/>
      <c r="I10" s="24"/>
      <c r="J10" s="24"/>
      <c r="K10" s="24"/>
    </row>
    <row r="11" spans="1:11" ht="15">
      <c r="A11" s="29"/>
      <c r="B11" s="27" t="s">
        <v>94</v>
      </c>
      <c r="C11" s="27"/>
      <c r="D11" s="22"/>
      <c r="E11" s="23"/>
      <c r="F11" s="23"/>
      <c r="G11" s="29"/>
      <c r="H11" s="24"/>
      <c r="I11" s="24"/>
      <c r="J11" s="24"/>
      <c r="K11" s="24"/>
    </row>
    <row r="12" spans="1:11" ht="15">
      <c r="A12" s="29"/>
      <c r="B12" s="23" t="s">
        <v>91</v>
      </c>
      <c r="C12" s="27"/>
      <c r="D12" s="22"/>
      <c r="E12" s="23"/>
      <c r="F12" s="23"/>
      <c r="G12" s="29"/>
      <c r="H12" s="24"/>
      <c r="I12" s="24"/>
      <c r="J12" s="24"/>
      <c r="K12" s="24"/>
    </row>
    <row r="13" spans="1:11" ht="15">
      <c r="A13" s="29"/>
      <c r="B13" s="23" t="s">
        <v>90</v>
      </c>
      <c r="C13" s="27"/>
      <c r="D13" s="22"/>
      <c r="E13" s="23"/>
      <c r="F13" s="23"/>
      <c r="G13" s="29"/>
      <c r="H13" s="24"/>
      <c r="I13" s="24"/>
      <c r="J13" s="24"/>
      <c r="K13" s="24"/>
    </row>
    <row r="14" spans="2:11" ht="15">
      <c r="B14" s="23" t="s">
        <v>93</v>
      </c>
      <c r="C14" s="5"/>
      <c r="D14" s="8"/>
      <c r="E14" s="1"/>
      <c r="F14" s="1"/>
      <c r="G14" s="2"/>
      <c r="H14" s="4"/>
      <c r="I14" s="4"/>
      <c r="J14" s="4"/>
      <c r="K14" s="4"/>
    </row>
    <row r="15" spans="2:11" ht="15">
      <c r="B15" s="23" t="s">
        <v>92</v>
      </c>
      <c r="C15" s="5"/>
      <c r="D15" s="8"/>
      <c r="E15" s="1"/>
      <c r="F15" s="1"/>
      <c r="G15" s="2"/>
      <c r="H15" s="4"/>
      <c r="I15" s="4"/>
      <c r="J15" s="4"/>
      <c r="K15" s="4"/>
    </row>
    <row r="16" spans="1:11" ht="15">
      <c r="A16" s="25" t="s">
        <v>124</v>
      </c>
      <c r="B16" s="23" t="s">
        <v>125</v>
      </c>
      <c r="C16" s="1"/>
      <c r="D16" s="8"/>
      <c r="E16" s="1"/>
      <c r="F16" s="1"/>
      <c r="G16" s="2"/>
      <c r="H16" s="4"/>
      <c r="I16" s="4"/>
      <c r="J16" s="4"/>
      <c r="K16" s="4"/>
    </row>
    <row r="17" spans="1:11" ht="15">
      <c r="A17" s="2"/>
      <c r="B17" s="23" t="s">
        <v>126</v>
      </c>
      <c r="C17" s="1"/>
      <c r="D17" s="8"/>
      <c r="E17" s="1"/>
      <c r="F17" s="1"/>
      <c r="G17" s="2"/>
      <c r="H17" s="4"/>
      <c r="I17" s="4"/>
      <c r="J17" s="4"/>
      <c r="K17" s="4"/>
    </row>
    <row r="18" spans="1:11" ht="15">
      <c r="A18" s="25" t="s">
        <v>124</v>
      </c>
      <c r="B18" s="166" t="s">
        <v>123</v>
      </c>
      <c r="C18" s="1"/>
      <c r="D18" s="8"/>
      <c r="E18" s="1"/>
      <c r="F18" s="1"/>
      <c r="G18" s="2"/>
      <c r="H18" s="4"/>
      <c r="I18" s="4"/>
      <c r="J18" s="4"/>
      <c r="K18" s="4"/>
    </row>
    <row r="19" spans="1:11" ht="15">
      <c r="A19" s="25" t="s">
        <v>124</v>
      </c>
      <c r="B19" s="166" t="s">
        <v>121</v>
      </c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5">
      <c r="A20" s="25" t="s">
        <v>124</v>
      </c>
      <c r="B20" s="166" t="s">
        <v>120</v>
      </c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4.25">
      <c r="A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2">
    <mergeCell ref="B7:K7"/>
    <mergeCell ref="C5:D5"/>
  </mergeCells>
  <hyperlinks>
    <hyperlink ref="B7" r:id="rId1" display="http://grouper.ieee.org/groups/802/3/10G_study/public/email_attach/All_1250.xls"/>
  </hyperlinks>
  <printOptions horizontalCentered="1"/>
  <pageMargins left="0.5" right="0.5" top="0.5" bottom="0.5" header="0.3" footer="0.3"/>
  <pageSetup fitToHeight="1" fitToWidth="1" horizontalDpi="600" verticalDpi="600" orientation="landscape" r:id="rId2"/>
  <headerFooter alignWithMargins="0">
    <oddHeader xml:space="preserve">&amp;CBy Agilent Technologies&amp;R </oddHeader>
    <oddFooter>&amp;L&amp;F tab &amp;A page &amp;P of &amp;N&amp;RPrinted &amp;T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showGridLines="0" showOutlineSymbols="0" zoomScale="70" zoomScaleNormal="70" workbookViewId="0" topLeftCell="A1">
      <selection activeCell="N1" sqref="N1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8" customWidth="1"/>
    <col min="19" max="19" width="6.00390625" style="5" customWidth="1"/>
    <col min="20" max="20" width="6.57421875" style="5" customWidth="1"/>
    <col min="21" max="21" width="7.28125" style="7" customWidth="1"/>
    <col min="22" max="22" width="7.421875" style="5" customWidth="1"/>
    <col min="23" max="23" width="7.7109375" style="5" customWidth="1"/>
    <col min="24" max="24" width="11.140625" style="10" customWidth="1"/>
    <col min="25" max="25" width="8.8515625" style="10" customWidth="1"/>
    <col min="26" max="26" width="8.140625" style="5" customWidth="1"/>
    <col min="27" max="27" width="7.57421875" style="5" customWidth="1"/>
    <col min="28" max="32" width="10.00390625" style="5" customWidth="1"/>
    <col min="33" max="16384" width="11.140625" style="5" customWidth="1"/>
  </cols>
  <sheetData>
    <row r="1" spans="1:32" s="145" customFormat="1" ht="15.75">
      <c r="A1" s="140" t="s">
        <v>106</v>
      </c>
      <c r="B1" s="122"/>
      <c r="C1" s="122"/>
      <c r="D1" s="122"/>
      <c r="E1" s="127"/>
      <c r="F1" s="127"/>
      <c r="G1" s="127"/>
      <c r="H1" s="127"/>
      <c r="I1" s="127"/>
      <c r="J1" s="127"/>
      <c r="K1" s="141" t="s">
        <v>76</v>
      </c>
      <c r="L1" s="122" t="s">
        <v>95</v>
      </c>
      <c r="M1" s="127"/>
      <c r="N1" s="150" t="s">
        <v>115</v>
      </c>
      <c r="O1" s="200">
        <v>36587</v>
      </c>
      <c r="P1" s="201"/>
      <c r="Q1" s="142" t="s">
        <v>1</v>
      </c>
      <c r="R1" s="143" t="s">
        <v>127</v>
      </c>
      <c r="S1" s="54"/>
      <c r="T1" s="51"/>
      <c r="U1" s="144"/>
      <c r="V1" s="51"/>
      <c r="W1" s="53"/>
      <c r="X1" s="54"/>
      <c r="Y1" s="54"/>
      <c r="Z1" s="53"/>
      <c r="AA1" s="53"/>
      <c r="AB1" s="53"/>
      <c r="AC1" s="53"/>
      <c r="AD1" s="53"/>
      <c r="AE1" s="53"/>
      <c r="AF1" s="53"/>
    </row>
    <row r="2" spans="1:32" ht="15.75">
      <c r="A2" s="65" t="s">
        <v>2</v>
      </c>
      <c r="B2" s="131" t="s">
        <v>3</v>
      </c>
      <c r="C2" s="76"/>
      <c r="D2" s="68"/>
      <c r="E2" s="76"/>
      <c r="F2" s="76"/>
      <c r="G2" s="65"/>
      <c r="H2" s="64"/>
      <c r="I2" s="68" t="s">
        <v>107</v>
      </c>
      <c r="J2" s="149">
        <v>0.8</v>
      </c>
      <c r="K2" s="64" t="s">
        <v>108</v>
      </c>
      <c r="L2" s="64"/>
      <c r="M2" s="76"/>
      <c r="N2" s="64"/>
      <c r="O2" s="65" t="s">
        <v>114</v>
      </c>
      <c r="P2" s="161">
        <f>1000000/$P$6</f>
        <v>720</v>
      </c>
      <c r="Q2" s="64" t="s">
        <v>101</v>
      </c>
      <c r="R2" s="86"/>
      <c r="S2" s="69"/>
      <c r="T2" s="70"/>
      <c r="U2" s="87"/>
      <c r="V2" s="70"/>
      <c r="W2" s="76"/>
      <c r="X2" s="69"/>
      <c r="Y2" s="6"/>
      <c r="Z2" s="1"/>
      <c r="AA2" s="1"/>
      <c r="AB2" s="1"/>
      <c r="AC2" s="1"/>
      <c r="AD2" s="1"/>
      <c r="AE2" s="1"/>
      <c r="AF2" s="1"/>
    </row>
    <row r="3" spans="1:32" ht="15" customHeight="1">
      <c r="A3" s="76"/>
      <c r="B3" s="76"/>
      <c r="C3" s="76"/>
      <c r="D3" s="68" t="s">
        <v>5</v>
      </c>
      <c r="E3" s="170">
        <v>2200</v>
      </c>
      <c r="F3" s="64"/>
      <c r="G3" s="64"/>
      <c r="H3" s="76"/>
      <c r="I3" s="65" t="s">
        <v>111</v>
      </c>
      <c r="J3" s="130">
        <v>0.6</v>
      </c>
      <c r="K3" s="76" t="s">
        <v>108</v>
      </c>
      <c r="L3" s="64"/>
      <c r="M3" s="76"/>
      <c r="N3" s="64"/>
      <c r="O3" s="65" t="s">
        <v>4</v>
      </c>
      <c r="P3" s="51">
        <f>IF($B$4&gt;1000,$E$6/1.5,$E$6/3.5)</f>
        <v>1</v>
      </c>
      <c r="Q3" s="64"/>
      <c r="R3" s="86"/>
      <c r="S3" s="89"/>
      <c r="T3" s="90"/>
      <c r="U3" s="87"/>
      <c r="V3" s="70"/>
      <c r="W3" s="76"/>
      <c r="X3" s="69"/>
      <c r="Y3" s="6"/>
      <c r="Z3" s="1"/>
      <c r="AA3" s="1"/>
      <c r="AB3" s="1"/>
      <c r="AC3" s="1"/>
      <c r="AD3" s="1"/>
      <c r="AE3" s="1"/>
      <c r="AF3" s="1"/>
    </row>
    <row r="4" spans="1:32" ht="15" customHeight="1">
      <c r="A4" s="65" t="s">
        <v>55</v>
      </c>
      <c r="B4" s="91">
        <v>830</v>
      </c>
      <c r="C4" s="76"/>
      <c r="D4" s="68" t="s">
        <v>9</v>
      </c>
      <c r="E4" s="88">
        <v>0.11</v>
      </c>
      <c r="F4" s="64"/>
      <c r="G4" s="64"/>
      <c r="H4" s="76"/>
      <c r="I4" s="65" t="s">
        <v>112</v>
      </c>
      <c r="J4" s="130">
        <f>0.02</f>
        <v>0.02</v>
      </c>
      <c r="K4" s="64" t="s">
        <v>108</v>
      </c>
      <c r="L4" s="64"/>
      <c r="M4" s="64"/>
      <c r="N4" s="64"/>
      <c r="O4" s="65" t="s">
        <v>6</v>
      </c>
      <c r="P4" s="161">
        <f>B7*1.518</f>
        <v>394.68</v>
      </c>
      <c r="Q4" s="76" t="s">
        <v>101</v>
      </c>
      <c r="R4" s="92" t="s">
        <v>7</v>
      </c>
      <c r="S4" s="90"/>
      <c r="T4" s="90"/>
      <c r="U4" s="87"/>
      <c r="V4" s="70"/>
      <c r="W4" s="76"/>
      <c r="X4" s="69"/>
      <c r="Y4" s="6"/>
      <c r="Z4" s="1"/>
      <c r="AA4" s="1"/>
      <c r="AB4" s="1"/>
      <c r="AC4" s="1"/>
      <c r="AD4" s="1"/>
      <c r="AE4" s="1"/>
      <c r="AF4" s="1"/>
    </row>
    <row r="5" spans="1:32" ht="15" customHeight="1">
      <c r="A5" s="65" t="s">
        <v>8</v>
      </c>
      <c r="B5" s="93">
        <v>0.85</v>
      </c>
      <c r="C5" s="76"/>
      <c r="D5" s="68" t="s">
        <v>56</v>
      </c>
      <c r="E5" s="88">
        <v>1320</v>
      </c>
      <c r="F5" s="64"/>
      <c r="G5" s="64"/>
      <c r="H5" s="76"/>
      <c r="I5" s="65" t="s">
        <v>12</v>
      </c>
      <c r="J5" s="94">
        <v>480</v>
      </c>
      <c r="K5" s="64" t="s">
        <v>105</v>
      </c>
      <c r="L5" s="76"/>
      <c r="M5" s="70"/>
      <c r="N5" s="64"/>
      <c r="O5" s="65" t="s">
        <v>10</v>
      </c>
      <c r="P5" s="103">
        <v>0.55</v>
      </c>
      <c r="Q5" s="64"/>
      <c r="R5" s="92" t="s">
        <v>11</v>
      </c>
      <c r="S5" s="90"/>
      <c r="T5" s="86"/>
      <c r="U5" s="87"/>
      <c r="V5" s="70"/>
      <c r="W5" s="76"/>
      <c r="X5" s="69"/>
      <c r="Y5" s="6"/>
      <c r="Z5" s="1"/>
      <c r="AA5" s="1"/>
      <c r="AB5" s="1"/>
      <c r="AC5" s="1"/>
      <c r="AD5" s="1"/>
      <c r="AE5" s="1"/>
      <c r="AF5" s="1"/>
    </row>
    <row r="6" spans="1:32" ht="15" customHeight="1">
      <c r="A6" s="65" t="s">
        <v>74</v>
      </c>
      <c r="B6" s="88">
        <v>9</v>
      </c>
      <c r="C6" s="76" t="s">
        <v>63</v>
      </c>
      <c r="D6" s="68" t="s">
        <v>97</v>
      </c>
      <c r="E6" s="88">
        <v>3.5</v>
      </c>
      <c r="F6" s="64" t="str">
        <f>"dB/km at "&amp;IF(B4&lt;1000,850,1300)&amp;" nm"</f>
        <v>dB/km at 850 nm</v>
      </c>
      <c r="G6" s="64"/>
      <c r="H6" s="76"/>
      <c r="I6" s="65" t="s">
        <v>15</v>
      </c>
      <c r="J6" s="93">
        <v>7.037</v>
      </c>
      <c r="K6" s="64"/>
      <c r="L6" s="64"/>
      <c r="M6" s="70"/>
      <c r="N6" s="64"/>
      <c r="O6" s="68" t="s">
        <v>13</v>
      </c>
      <c r="P6" s="95">
        <f>(P7)</f>
        <v>1388.888888888889</v>
      </c>
      <c r="Q6" s="69"/>
      <c r="R6" s="90"/>
      <c r="S6" s="86"/>
      <c r="T6" s="86"/>
      <c r="U6" s="87"/>
      <c r="V6" s="70"/>
      <c r="W6" s="76"/>
      <c r="X6" s="69"/>
      <c r="AA6" s="1"/>
      <c r="AB6" s="1"/>
      <c r="AC6" s="1"/>
      <c r="AD6" s="1"/>
      <c r="AE6" s="1"/>
      <c r="AF6" s="1"/>
    </row>
    <row r="7" spans="1:32" ht="15" customHeight="1">
      <c r="A7" s="65" t="s">
        <v>14</v>
      </c>
      <c r="B7" s="88">
        <v>260</v>
      </c>
      <c r="C7" s="76" t="s">
        <v>101</v>
      </c>
      <c r="D7" s="65" t="s">
        <v>98</v>
      </c>
      <c r="E7" s="176">
        <v>1250</v>
      </c>
      <c r="F7" s="76" t="s">
        <v>103</v>
      </c>
      <c r="G7" s="70"/>
      <c r="H7" s="70"/>
      <c r="I7" s="68" t="s">
        <v>102</v>
      </c>
      <c r="J7" s="174">
        <f>2.5*10^5/$E$7</f>
        <v>200</v>
      </c>
      <c r="K7" s="70" t="s">
        <v>101</v>
      </c>
      <c r="L7" s="64"/>
      <c r="M7" s="70"/>
      <c r="N7" s="64"/>
      <c r="O7" s="68" t="s">
        <v>16</v>
      </c>
      <c r="P7" s="96">
        <f>1/((1/$E$7)-$J$8*10^-6)</f>
        <v>1388.888888888889</v>
      </c>
      <c r="Q7" s="69"/>
      <c r="R7" s="90"/>
      <c r="S7" s="98" t="s">
        <v>33</v>
      </c>
      <c r="T7" s="128">
        <f>AE36</f>
        <v>0.5800969278309243</v>
      </c>
      <c r="U7" s="99" t="str">
        <f>"dB at target "&amp;J2&amp;" km"</f>
        <v>dB at target 0.8 km</v>
      </c>
      <c r="V7" s="70"/>
      <c r="W7" s="76"/>
      <c r="X7" s="132"/>
      <c r="AA7" s="1"/>
      <c r="AB7" s="1"/>
      <c r="AC7" s="1"/>
      <c r="AD7" s="1"/>
      <c r="AE7" s="1"/>
      <c r="AF7" s="1"/>
    </row>
    <row r="8" spans="1:32" ht="15" customHeight="1">
      <c r="A8" s="65" t="s">
        <v>86</v>
      </c>
      <c r="B8" s="88">
        <v>-117</v>
      </c>
      <c r="C8" s="114" t="s">
        <v>85</v>
      </c>
      <c r="D8" s="68" t="s">
        <v>99</v>
      </c>
      <c r="E8" s="170">
        <v>1000</v>
      </c>
      <c r="F8" s="76" t="s">
        <v>104</v>
      </c>
      <c r="G8" s="70"/>
      <c r="H8" s="64"/>
      <c r="I8" s="68" t="s">
        <v>19</v>
      </c>
      <c r="J8" s="175">
        <v>80</v>
      </c>
      <c r="K8" s="64"/>
      <c r="L8" s="64"/>
      <c r="M8" s="64"/>
      <c r="N8" s="64"/>
      <c r="O8" s="65" t="s">
        <v>17</v>
      </c>
      <c r="P8" s="66">
        <f>(10^-6)*$J$7*$P$7</f>
        <v>0.27777777777777773</v>
      </c>
      <c r="Q8" s="69"/>
      <c r="R8" s="90"/>
      <c r="S8" s="68" t="s">
        <v>117</v>
      </c>
      <c r="T8" s="53">
        <f>$P$3*((1/(0.00094*$B$4)^4)+1.05)</f>
        <v>3.748834269221546</v>
      </c>
      <c r="U8" s="64" t="str">
        <f>"dB/km at "&amp;B4&amp;" nm"</f>
        <v>dB/km at 830 nm</v>
      </c>
      <c r="V8" s="70"/>
      <c r="W8" s="76"/>
      <c r="X8" s="69"/>
      <c r="Y8" s="6"/>
      <c r="Z8" s="1"/>
      <c r="AA8" s="1"/>
      <c r="AB8" s="1"/>
      <c r="AC8" s="1"/>
      <c r="AD8" s="1"/>
      <c r="AE8" s="1"/>
      <c r="AF8" s="1"/>
    </row>
    <row r="9" spans="1:32" ht="15" customHeight="1">
      <c r="A9" s="65" t="s">
        <v>18</v>
      </c>
      <c r="B9" s="88">
        <v>0.8</v>
      </c>
      <c r="C9" s="76"/>
      <c r="D9" s="68" t="s">
        <v>67</v>
      </c>
      <c r="E9" s="88">
        <v>7.5</v>
      </c>
      <c r="F9" s="76"/>
      <c r="G9" s="76"/>
      <c r="H9" s="64"/>
      <c r="I9" s="68" t="s">
        <v>22</v>
      </c>
      <c r="J9" s="139">
        <v>-9.5</v>
      </c>
      <c r="K9" s="70"/>
      <c r="L9" s="64"/>
      <c r="M9" s="70"/>
      <c r="N9" s="64"/>
      <c r="O9" s="65" t="s">
        <v>20</v>
      </c>
      <c r="P9" s="97">
        <f>(P8)</f>
        <v>0.27777777777777773</v>
      </c>
      <c r="Q9" s="69"/>
      <c r="R9" s="90"/>
      <c r="S9" s="98" t="s">
        <v>73</v>
      </c>
      <c r="T9" s="160">
        <f>350000/$E$8</f>
        <v>350</v>
      </c>
      <c r="U9" s="99" t="s">
        <v>101</v>
      </c>
      <c r="V9" s="70"/>
      <c r="W9" s="33"/>
      <c r="X9" s="43"/>
      <c r="Y9" s="69"/>
      <c r="Z9" s="76"/>
      <c r="AA9" s="76"/>
      <c r="AB9" s="1"/>
      <c r="AC9" s="1"/>
      <c r="AD9" s="1"/>
      <c r="AE9" s="1"/>
      <c r="AF9" s="1"/>
    </row>
    <row r="10" spans="1:32" ht="15" customHeight="1">
      <c r="A10" s="65" t="s">
        <v>21</v>
      </c>
      <c r="B10" s="88">
        <v>0.15</v>
      </c>
      <c r="C10" s="76"/>
      <c r="D10" s="68" t="s">
        <v>68</v>
      </c>
      <c r="E10" s="88">
        <v>1.5</v>
      </c>
      <c r="F10" s="76"/>
      <c r="G10" s="65"/>
      <c r="H10" s="64"/>
      <c r="I10" s="65" t="s">
        <v>26</v>
      </c>
      <c r="J10" s="129">
        <v>9</v>
      </c>
      <c r="K10" s="64"/>
      <c r="L10" s="64"/>
      <c r="M10" s="70"/>
      <c r="N10" s="64"/>
      <c r="O10" s="65" t="s">
        <v>23</v>
      </c>
      <c r="P10" s="51">
        <f>T35-S35</f>
        <v>1.7109793964166826</v>
      </c>
      <c r="Q10" s="70" t="s">
        <v>24</v>
      </c>
      <c r="R10" s="90"/>
      <c r="S10" s="98" t="s">
        <v>100</v>
      </c>
      <c r="T10" s="128">
        <f>(1-1.425*EXP(-1.28*($P$2/$T$9)^2))*((2*SIN(3.1416*$P$9))/(3.1416*$P$9*(1-$P$9^2))-1)</f>
        <v>0.8967246580471736</v>
      </c>
      <c r="U10" s="99" t="s">
        <v>77</v>
      </c>
      <c r="V10" s="112"/>
      <c r="W10" s="76"/>
      <c r="X10" s="115" t="s">
        <v>25</v>
      </c>
      <c r="Y10" s="69"/>
      <c r="Z10" s="64"/>
      <c r="AA10" s="76"/>
      <c r="AB10" s="179"/>
      <c r="AC10" s="1"/>
      <c r="AD10" s="1"/>
      <c r="AE10" s="1"/>
      <c r="AF10" s="1"/>
    </row>
    <row r="11" spans="1:32" ht="15" customHeight="1">
      <c r="A11" s="33"/>
      <c r="B11" s="33"/>
      <c r="C11" s="33"/>
      <c r="D11" s="34"/>
      <c r="E11" s="34"/>
      <c r="F11" s="34"/>
      <c r="G11" s="34"/>
      <c r="H11" s="34"/>
      <c r="I11" s="35" t="s">
        <v>75</v>
      </c>
      <c r="J11" s="36">
        <v>0</v>
      </c>
      <c r="K11" s="37" t="s">
        <v>66</v>
      </c>
      <c r="L11" s="38"/>
      <c r="M11" s="38"/>
      <c r="N11" s="34"/>
      <c r="O11" s="39" t="s">
        <v>62</v>
      </c>
      <c r="P11" s="40">
        <f>10*LOG10(1/SQRT(1-($J$6*J11)^2))</f>
        <v>0</v>
      </c>
      <c r="Q11" s="37" t="s">
        <v>63</v>
      </c>
      <c r="R11" s="59"/>
      <c r="S11" s="39" t="s">
        <v>61</v>
      </c>
      <c r="T11" s="41">
        <f>10*LOG10(1/SQRT(1-($J$6*$J$11/$T$10)^2))</f>
        <v>0</v>
      </c>
      <c r="U11" s="42" t="s">
        <v>63</v>
      </c>
      <c r="V11" s="113"/>
      <c r="W11" s="76"/>
      <c r="X11" s="100" t="s">
        <v>27</v>
      </c>
      <c r="Y11" s="6" t="s">
        <v>28</v>
      </c>
      <c r="Z11" s="12" t="s">
        <v>34</v>
      </c>
      <c r="AA11" s="12" t="s">
        <v>29</v>
      </c>
      <c r="AB11" s="180" t="s">
        <v>78</v>
      </c>
      <c r="AC11" s="1"/>
      <c r="AD11" s="1"/>
      <c r="AE11" s="1"/>
      <c r="AF11" s="1"/>
    </row>
    <row r="12" spans="1:32" ht="15" customHeight="1">
      <c r="A12" s="133" t="s">
        <v>88</v>
      </c>
      <c r="B12" s="69" t="s">
        <v>57</v>
      </c>
      <c r="C12" s="69" t="s">
        <v>36</v>
      </c>
      <c r="D12" s="75" t="s">
        <v>80</v>
      </c>
      <c r="E12" s="75" t="s">
        <v>81</v>
      </c>
      <c r="F12" s="76" t="s">
        <v>82</v>
      </c>
      <c r="G12" s="76" t="s">
        <v>83</v>
      </c>
      <c r="H12" s="67" t="s">
        <v>37</v>
      </c>
      <c r="I12" s="68" t="s">
        <v>38</v>
      </c>
      <c r="J12" s="69" t="s">
        <v>39</v>
      </c>
      <c r="K12" s="70" t="s">
        <v>40</v>
      </c>
      <c r="L12" s="68" t="s">
        <v>41</v>
      </c>
      <c r="M12" s="68" t="s">
        <v>42</v>
      </c>
      <c r="N12" s="68" t="s">
        <v>43</v>
      </c>
      <c r="O12" s="71" t="s">
        <v>79</v>
      </c>
      <c r="P12" s="68" t="s">
        <v>44</v>
      </c>
      <c r="Q12" s="68" t="s">
        <v>45</v>
      </c>
      <c r="R12" s="72" t="s">
        <v>46</v>
      </c>
      <c r="S12" s="69" t="s">
        <v>47</v>
      </c>
      <c r="T12" s="73" t="s">
        <v>48</v>
      </c>
      <c r="U12" s="71" t="s">
        <v>49</v>
      </c>
      <c r="V12" s="70" t="s">
        <v>50</v>
      </c>
      <c r="W12" s="74" t="s">
        <v>33</v>
      </c>
      <c r="X12" s="101" t="s">
        <v>32</v>
      </c>
      <c r="Y12" s="6" t="s">
        <v>33</v>
      </c>
      <c r="Z12" s="10" t="s">
        <v>89</v>
      </c>
      <c r="AA12" s="6" t="s">
        <v>35</v>
      </c>
      <c r="AB12" s="180" t="s">
        <v>65</v>
      </c>
      <c r="AC12" s="1"/>
      <c r="AD12" s="1"/>
      <c r="AE12" s="173" t="s">
        <v>118</v>
      </c>
      <c r="AF12" s="1"/>
    </row>
    <row r="13" spans="1:32" s="34" customFormat="1" ht="15" customHeight="1">
      <c r="A13" s="134" t="s">
        <v>87</v>
      </c>
      <c r="B13" s="44" t="s">
        <v>58</v>
      </c>
      <c r="C13" s="44" t="s">
        <v>58</v>
      </c>
      <c r="D13" s="45" t="s">
        <v>84</v>
      </c>
      <c r="E13" s="45" t="s">
        <v>84</v>
      </c>
      <c r="F13" s="33" t="s">
        <v>113</v>
      </c>
      <c r="G13" s="33" t="s">
        <v>113</v>
      </c>
      <c r="H13" s="46" t="s">
        <v>30</v>
      </c>
      <c r="I13" s="47" t="s">
        <v>30</v>
      </c>
      <c r="J13" s="33"/>
      <c r="K13" s="48"/>
      <c r="L13" s="47" t="s">
        <v>30</v>
      </c>
      <c r="M13" s="47"/>
      <c r="N13" s="47" t="s">
        <v>30</v>
      </c>
      <c r="O13" s="47" t="s">
        <v>30</v>
      </c>
      <c r="P13" s="47" t="s">
        <v>30</v>
      </c>
      <c r="Q13" s="47" t="s">
        <v>30</v>
      </c>
      <c r="R13" s="60" t="s">
        <v>30</v>
      </c>
      <c r="S13" s="44" t="s">
        <v>30</v>
      </c>
      <c r="T13" s="48" t="s">
        <v>30</v>
      </c>
      <c r="U13" s="49" t="s">
        <v>30</v>
      </c>
      <c r="V13" s="49" t="s">
        <v>31</v>
      </c>
      <c r="W13" s="50" t="s">
        <v>30</v>
      </c>
      <c r="X13" s="102" t="s">
        <v>51</v>
      </c>
      <c r="Y13" s="44" t="s">
        <v>52</v>
      </c>
      <c r="Z13" s="44" t="s">
        <v>30</v>
      </c>
      <c r="AA13" s="44" t="s">
        <v>53</v>
      </c>
      <c r="AB13" s="181" t="s">
        <v>64</v>
      </c>
      <c r="AC13" s="151" t="s">
        <v>110</v>
      </c>
      <c r="AD13" s="152" t="s">
        <v>109</v>
      </c>
      <c r="AE13" s="152" t="s">
        <v>119</v>
      </c>
      <c r="AF13" s="33"/>
    </row>
    <row r="14" spans="1:32" s="127" customFormat="1" ht="15" customHeight="1">
      <c r="A14" s="135">
        <v>0.002</v>
      </c>
      <c r="B14" s="119">
        <f aca="true" t="shared" si="0" ref="B14:B35">0.25*$E$4*$B$4*(1-($E$5/$B$4)^4)</f>
        <v>-123.18887999377392</v>
      </c>
      <c r="C14" s="142">
        <f aca="true" t="shared" si="1" ref="C14:C35">0.7*$E$4*$B$5</f>
        <v>0.06545</v>
      </c>
      <c r="D14" s="120">
        <f aca="true" t="shared" si="2" ref="D14:D35">(0.187/(A14*$B$5))*(10^6/SQRT(B14^2+C14^2))</f>
        <v>892937.6132025827</v>
      </c>
      <c r="E14" s="120">
        <f aca="true" t="shared" si="3" ref="E14:E35">$E$3/A14</f>
        <v>1100000</v>
      </c>
      <c r="F14" s="165">
        <f>SQRT(($J$5/D14)^2+($J$5/E14)^2+$P$4^2)</f>
        <v>394.6800000006073</v>
      </c>
      <c r="G14" s="165">
        <f aca="true" t="shared" si="4" ref="G14:G35">SQRT(F14^2+(350000/$E$8)^2)</f>
        <v>527.515215326041</v>
      </c>
      <c r="H14" s="121">
        <f aca="true" t="shared" si="5" ref="H14:H35">-10*LOG10(1-1.425*EXP(-1.28*($P$2/G14)^2))</f>
        <v>0.6112363337553627</v>
      </c>
      <c r="I14" s="119">
        <f aca="true" t="shared" si="6" ref="I14:I35">A14*$P$3*((1/(0.00094*$B$4)^4)+1.05)</f>
        <v>0.007497668538443092</v>
      </c>
      <c r="J14" s="122">
        <f aca="true" t="shared" si="7" ref="J14:J35">(10^-6)*3.14*$P$6*B14*A14*$B$5</f>
        <v>-0.0009133086686205074</v>
      </c>
      <c r="K14" s="119">
        <f aca="true" t="shared" si="8" ref="K14:K35">($B$9/SQRT(2))*(1-EXP(-1*J14^2))</f>
        <v>4.718565277408399E-07</v>
      </c>
      <c r="L14" s="119">
        <f aca="true" t="shared" si="9" ref="L14:L35">10*LOG10(1/SQRT(1-($J$6*K14)^2))</f>
        <v>2.3941358012052466E-11</v>
      </c>
      <c r="M14" s="119"/>
      <c r="N14" s="119"/>
      <c r="O14" s="119">
        <f aca="true" t="shared" si="10" ref="O14:O35">10*LOG10(1/SQRT(1-($J$6*$J$6*((($J$11/AB14)^2)+M14+(K14*K14)))))-$T$11-L14-N14</f>
        <v>0</v>
      </c>
      <c r="P14" s="119">
        <f aca="true" t="shared" si="11" ref="P14:P35">Z14-AA14</f>
        <v>0</v>
      </c>
      <c r="Q14" s="119">
        <f aca="true" t="shared" si="12" ref="Q14:Q35">$B$10</f>
        <v>0.15</v>
      </c>
      <c r="R14" s="123">
        <f aca="true" t="shared" si="13" ref="R14:R35">-10*LOG10((2*SIN(3.1416*$P$9))/(3.1416*$P$9*(1-$P$9^2))-1)</f>
        <v>0.4458340956509569</v>
      </c>
      <c r="S14" s="124">
        <f aca="true" t="shared" si="14" ref="S14:S35">$E$9-$E$10</f>
        <v>6</v>
      </c>
      <c r="T14" s="178">
        <f aca="true" t="shared" si="15" ref="T14:T35">H14+I14+L14+N14+O14+P14+Q14+R14</f>
        <v>1.2145680979687041</v>
      </c>
      <c r="U14" s="119">
        <f aca="true" t="shared" si="16" ref="U14:U35">$E$10+I14</f>
        <v>1.5074976685384431</v>
      </c>
      <c r="V14" s="119">
        <f aca="true" t="shared" si="17" ref="V14:V35">T14-I14</f>
        <v>1.207070429430261</v>
      </c>
      <c r="W14" s="125">
        <f aca="true" t="shared" si="18" ref="W14:W35">S14-T14</f>
        <v>4.785431902031296</v>
      </c>
      <c r="X14" s="126">
        <f aca="true" t="shared" si="19" ref="X14:X35">$J$9-U14-R14-P14</f>
        <v>-11.4533317641894</v>
      </c>
      <c r="Y14" s="124"/>
      <c r="Z14" s="119">
        <f aca="true" t="shared" si="20" ref="Z14:Z35">10*LOG10((1+10^(-($B$6/10)))/(1-10^(-($B$6/10))))</f>
        <v>1.0993211590790997</v>
      </c>
      <c r="AA14" s="119">
        <f aca="true" t="shared" si="21" ref="AA14:AA35">10*LOG10((1+10^(-($J$10/10)))/(1-10^(-($J$10/10))))</f>
        <v>1.0993211590790997</v>
      </c>
      <c r="AB14" s="182">
        <f aca="true" t="shared" si="22" ref="AB14:AB35">10^(-(H14+R14)/10)</f>
        <v>0.7839582902179502</v>
      </c>
      <c r="AC14" s="153"/>
      <c r="AD14" s="154"/>
      <c r="AE14" s="122"/>
      <c r="AF14" s="122"/>
    </row>
    <row r="15" spans="1:32" s="21" customFormat="1" ht="15" customHeight="1">
      <c r="A15" s="136">
        <f>$J$3</f>
        <v>0.6</v>
      </c>
      <c r="B15" s="103">
        <f t="shared" si="0"/>
        <v>-123.18887999377392</v>
      </c>
      <c r="C15" s="146">
        <f t="shared" si="1"/>
        <v>0.06545</v>
      </c>
      <c r="D15" s="167">
        <f t="shared" si="2"/>
        <v>2976.458710675275</v>
      </c>
      <c r="E15" s="167">
        <f t="shared" si="3"/>
        <v>3666.666666666667</v>
      </c>
      <c r="F15" s="116">
        <f aca="true" t="shared" si="23" ref="F15:F35">SQRT((1000*$J$5/D15)^2+(1000*$J$5/E15)^2+$P$4^2)</f>
        <v>446.0000480916381</v>
      </c>
      <c r="G15" s="116">
        <f t="shared" si="4"/>
        <v>566.9356602805503</v>
      </c>
      <c r="H15" s="159">
        <f t="shared" si="5"/>
        <v>0.866168789684937</v>
      </c>
      <c r="I15" s="103">
        <f t="shared" si="6"/>
        <v>2.2493005615329276</v>
      </c>
      <c r="J15" s="103">
        <f t="shared" si="7"/>
        <v>-0.2739926005861522</v>
      </c>
      <c r="K15" s="103">
        <f t="shared" si="8"/>
        <v>0.040912212900838386</v>
      </c>
      <c r="L15" s="103">
        <f t="shared" si="9"/>
        <v>0.18788332199831173</v>
      </c>
      <c r="M15" s="103">
        <f aca="true" t="shared" si="24" ref="M15:M35">$P$5*10^9*($J$5/G15)*10^($B$8/10)</f>
        <v>0.0009291164554565492</v>
      </c>
      <c r="N15" s="103">
        <f aca="true" t="shared" si="25" ref="N15:N35">10*LOG10(1/SQRT(1-($J$6^2)*M15))</f>
        <v>0.10227920534613127</v>
      </c>
      <c r="O15" s="103">
        <f t="shared" si="10"/>
        <v>0.009485523964168824</v>
      </c>
      <c r="P15" s="103">
        <f t="shared" si="11"/>
        <v>0</v>
      </c>
      <c r="Q15" s="103">
        <f t="shared" si="12"/>
        <v>0.15</v>
      </c>
      <c r="R15" s="107">
        <f t="shared" si="13"/>
        <v>0.4458340956509569</v>
      </c>
      <c r="S15" s="108">
        <f t="shared" si="14"/>
        <v>6</v>
      </c>
      <c r="T15" s="104">
        <f t="shared" si="15"/>
        <v>4.010951498177433</v>
      </c>
      <c r="U15" s="103">
        <f t="shared" si="16"/>
        <v>3.7493005615329276</v>
      </c>
      <c r="V15" s="103">
        <f t="shared" si="17"/>
        <v>1.7616509366445054</v>
      </c>
      <c r="W15" s="109">
        <f t="shared" si="18"/>
        <v>1.989048501822567</v>
      </c>
      <c r="X15" s="110">
        <f t="shared" si="19"/>
        <v>-13.695134657183884</v>
      </c>
      <c r="Y15" s="20"/>
      <c r="Z15" s="19">
        <f t="shared" si="20"/>
        <v>1.0993211590790997</v>
      </c>
      <c r="AA15" s="19">
        <f t="shared" si="21"/>
        <v>1.0993211590790997</v>
      </c>
      <c r="AB15" s="183">
        <f t="shared" si="22"/>
        <v>0.7392642615087436</v>
      </c>
      <c r="AC15" s="155">
        <f aca="true" t="shared" si="26" ref="AC15:AC35">$J$2</f>
        <v>0.8</v>
      </c>
      <c r="AD15" s="156">
        <v>0</v>
      </c>
      <c r="AE15" s="156">
        <f>IF(A15=$J$2,W15,0)</f>
        <v>0</v>
      </c>
      <c r="AF15" s="18"/>
    </row>
    <row r="16" spans="1:32" s="27" customFormat="1" ht="15" customHeight="1">
      <c r="A16" s="137">
        <f aca="true" t="shared" si="27" ref="A16:A35">A15+$J$4</f>
        <v>0.62</v>
      </c>
      <c r="B16" s="51">
        <f t="shared" si="0"/>
        <v>-123.18887999377392</v>
      </c>
      <c r="C16" s="147">
        <f t="shared" si="1"/>
        <v>0.06545</v>
      </c>
      <c r="D16" s="168">
        <f t="shared" si="2"/>
        <v>2880.443913556718</v>
      </c>
      <c r="E16" s="168">
        <f t="shared" si="3"/>
        <v>3548.3870967741937</v>
      </c>
      <c r="F16" s="117">
        <f t="shared" si="23"/>
        <v>449.266323858913</v>
      </c>
      <c r="G16" s="117">
        <f t="shared" si="4"/>
        <v>569.5087617883519</v>
      </c>
      <c r="H16" s="52">
        <f t="shared" si="5"/>
        <v>0.8842152586665744</v>
      </c>
      <c r="I16" s="51">
        <f t="shared" si="6"/>
        <v>2.3242772469173585</v>
      </c>
      <c r="J16" s="51">
        <f t="shared" si="7"/>
        <v>-0.28312568727235726</v>
      </c>
      <c r="K16" s="51">
        <f t="shared" si="8"/>
        <v>0.043575587355421906</v>
      </c>
      <c r="L16" s="51">
        <f t="shared" si="9"/>
        <v>0.2144284069316474</v>
      </c>
      <c r="M16" s="51">
        <f t="shared" si="24"/>
        <v>0.0009249186079204529</v>
      </c>
      <c r="N16" s="51">
        <f t="shared" si="25"/>
        <v>0.10180609264438925</v>
      </c>
      <c r="O16" s="51">
        <f t="shared" si="10"/>
        <v>0.010844898066248637</v>
      </c>
      <c r="P16" s="51">
        <f t="shared" si="11"/>
        <v>0</v>
      </c>
      <c r="Q16" s="51">
        <f t="shared" si="12"/>
        <v>0.15</v>
      </c>
      <c r="R16" s="61">
        <f t="shared" si="13"/>
        <v>0.4458340956509569</v>
      </c>
      <c r="S16" s="54">
        <f t="shared" si="14"/>
        <v>6</v>
      </c>
      <c r="T16" s="55">
        <f t="shared" si="15"/>
        <v>4.131405998877175</v>
      </c>
      <c r="U16" s="51">
        <f t="shared" si="16"/>
        <v>3.8242772469173585</v>
      </c>
      <c r="V16" s="51">
        <f t="shared" si="17"/>
        <v>1.8071287519598163</v>
      </c>
      <c r="W16" s="56">
        <f t="shared" si="18"/>
        <v>1.8685940011228253</v>
      </c>
      <c r="X16" s="105">
        <f t="shared" si="19"/>
        <v>-13.770111342568315</v>
      </c>
      <c r="Y16" s="26">
        <f aca="true" t="shared" si="28" ref="Y16:Y34">(W17-W15)/2</f>
        <v>-0.12229183557863754</v>
      </c>
      <c r="Z16" s="24">
        <f t="shared" si="20"/>
        <v>1.0993211590790997</v>
      </c>
      <c r="AA16" s="24">
        <f t="shared" si="21"/>
        <v>1.0993211590790997</v>
      </c>
      <c r="AB16" s="184">
        <f t="shared" si="22"/>
        <v>0.7361987310996025</v>
      </c>
      <c r="AC16" s="155">
        <f t="shared" si="26"/>
        <v>0.8</v>
      </c>
      <c r="AD16" s="157">
        <f aca="true" t="shared" si="29" ref="AD16:AD34">AD17</f>
        <v>7.9</v>
      </c>
      <c r="AE16" s="156">
        <f aca="true" t="shared" si="30" ref="AE16:AE35">IF(A16=$J$2,W16,0)</f>
        <v>0</v>
      </c>
      <c r="AF16" s="23"/>
    </row>
    <row r="17" spans="1:32" s="27" customFormat="1" ht="15" customHeight="1">
      <c r="A17" s="137">
        <f t="shared" si="27"/>
        <v>0.64</v>
      </c>
      <c r="B17" s="51">
        <f t="shared" si="0"/>
        <v>-123.18887999377392</v>
      </c>
      <c r="C17" s="147">
        <f t="shared" si="1"/>
        <v>0.06545</v>
      </c>
      <c r="D17" s="168">
        <f t="shared" si="2"/>
        <v>2790.4300412580706</v>
      </c>
      <c r="E17" s="168">
        <f t="shared" si="3"/>
        <v>3437.5</v>
      </c>
      <c r="F17" s="117">
        <f t="shared" si="23"/>
        <v>452.6149484810944</v>
      </c>
      <c r="G17" s="117">
        <f t="shared" si="4"/>
        <v>572.1540802865463</v>
      </c>
      <c r="H17" s="52">
        <f t="shared" si="5"/>
        <v>0.9029403261049587</v>
      </c>
      <c r="I17" s="51">
        <f t="shared" si="6"/>
        <v>2.3992539323017894</v>
      </c>
      <c r="J17" s="51">
        <f t="shared" si="7"/>
        <v>-0.29225877395856237</v>
      </c>
      <c r="K17" s="51">
        <f t="shared" si="8"/>
        <v>0.04631209690687131</v>
      </c>
      <c r="L17" s="51">
        <f t="shared" si="9"/>
        <v>0.24382170192954325</v>
      </c>
      <c r="M17" s="51">
        <f t="shared" si="24"/>
        <v>0.0009206423047581457</v>
      </c>
      <c r="N17" s="51">
        <f t="shared" si="25"/>
        <v>0.1013242436724319</v>
      </c>
      <c r="O17" s="51">
        <f t="shared" si="10"/>
        <v>0.012360869675027586</v>
      </c>
      <c r="P17" s="51">
        <f t="shared" si="11"/>
        <v>0</v>
      </c>
      <c r="Q17" s="51">
        <f t="shared" si="12"/>
        <v>0.15</v>
      </c>
      <c r="R17" s="61">
        <f t="shared" si="13"/>
        <v>0.4458340956509569</v>
      </c>
      <c r="S17" s="54">
        <f t="shared" si="14"/>
        <v>6</v>
      </c>
      <c r="T17" s="55">
        <f t="shared" si="15"/>
        <v>4.255535169334708</v>
      </c>
      <c r="U17" s="51">
        <f t="shared" si="16"/>
        <v>3.8992539323017894</v>
      </c>
      <c r="V17" s="51">
        <f t="shared" si="17"/>
        <v>1.8562812370329187</v>
      </c>
      <c r="W17" s="56">
        <f t="shared" si="18"/>
        <v>1.744464830665292</v>
      </c>
      <c r="X17" s="105">
        <f t="shared" si="19"/>
        <v>-13.845088027952746</v>
      </c>
      <c r="Y17" s="26">
        <f t="shared" si="28"/>
        <v>-0.1261000751656276</v>
      </c>
      <c r="Z17" s="24">
        <f t="shared" si="20"/>
        <v>1.0993211590790997</v>
      </c>
      <c r="AA17" s="24">
        <f t="shared" si="21"/>
        <v>1.0993211590790997</v>
      </c>
      <c r="AB17" s="184">
        <f t="shared" si="22"/>
        <v>0.7330313652725131</v>
      </c>
      <c r="AC17" s="155">
        <f t="shared" si="26"/>
        <v>0.8</v>
      </c>
      <c r="AD17" s="157">
        <f t="shared" si="29"/>
        <v>7.9</v>
      </c>
      <c r="AE17" s="156">
        <f t="shared" si="30"/>
        <v>0</v>
      </c>
      <c r="AF17" s="23"/>
    </row>
    <row r="18" spans="1:31" s="27" customFormat="1" ht="15" customHeight="1">
      <c r="A18" s="137">
        <f t="shared" si="27"/>
        <v>0.66</v>
      </c>
      <c r="B18" s="51">
        <f t="shared" si="0"/>
        <v>-123.18887999377392</v>
      </c>
      <c r="C18" s="147">
        <f t="shared" si="1"/>
        <v>0.06545</v>
      </c>
      <c r="D18" s="168">
        <f t="shared" si="2"/>
        <v>2705.8715551593414</v>
      </c>
      <c r="E18" s="168">
        <f t="shared" si="3"/>
        <v>3333.333333333333</v>
      </c>
      <c r="F18" s="117">
        <f t="shared" si="23"/>
        <v>456.04410795697123</v>
      </c>
      <c r="G18" s="117">
        <f t="shared" si="4"/>
        <v>574.8706188372038</v>
      </c>
      <c r="H18" s="52">
        <f t="shared" si="5"/>
        <v>0.9223497267842027</v>
      </c>
      <c r="I18" s="51">
        <f t="shared" si="6"/>
        <v>2.4742306176862203</v>
      </c>
      <c r="J18" s="51">
        <f t="shared" si="7"/>
        <v>-0.3013918606447674</v>
      </c>
      <c r="K18" s="51">
        <f t="shared" si="8"/>
        <v>0.04912044765950779</v>
      </c>
      <c r="L18" s="51">
        <f t="shared" si="9"/>
        <v>0.27630694230682384</v>
      </c>
      <c r="M18" s="51">
        <f t="shared" si="24"/>
        <v>0.000916291829659418</v>
      </c>
      <c r="N18" s="51">
        <f t="shared" si="25"/>
        <v>0.10083414678652737</v>
      </c>
      <c r="O18" s="51">
        <f t="shared" si="10"/>
        <v>0.01405061999369904</v>
      </c>
      <c r="P18" s="51">
        <f t="shared" si="11"/>
        <v>0</v>
      </c>
      <c r="Q18" s="51">
        <f t="shared" si="12"/>
        <v>0.15</v>
      </c>
      <c r="R18" s="61">
        <f t="shared" si="13"/>
        <v>0.4458340956509569</v>
      </c>
      <c r="S18" s="54">
        <f t="shared" si="14"/>
        <v>6</v>
      </c>
      <c r="T18" s="55">
        <f t="shared" si="15"/>
        <v>4.38360614920843</v>
      </c>
      <c r="U18" s="51">
        <f t="shared" si="16"/>
        <v>3.9742306176862203</v>
      </c>
      <c r="V18" s="51">
        <f t="shared" si="17"/>
        <v>1.9093755315222096</v>
      </c>
      <c r="W18" s="56">
        <f t="shared" si="18"/>
        <v>1.61639385079157</v>
      </c>
      <c r="X18" s="105">
        <f t="shared" si="19"/>
        <v>-13.920064713337178</v>
      </c>
      <c r="Y18" s="26">
        <f t="shared" si="28"/>
        <v>-0.13018871157155543</v>
      </c>
      <c r="Z18" s="24">
        <f t="shared" si="20"/>
        <v>1.0993211590790997</v>
      </c>
      <c r="AA18" s="24">
        <f t="shared" si="21"/>
        <v>1.0993211590790997</v>
      </c>
      <c r="AB18" s="184">
        <f t="shared" si="22"/>
        <v>0.7297626261316609</v>
      </c>
      <c r="AC18" s="155">
        <f t="shared" si="26"/>
        <v>0.8</v>
      </c>
      <c r="AD18" s="157">
        <f t="shared" si="29"/>
        <v>7.9</v>
      </c>
      <c r="AE18" s="156">
        <f t="shared" si="30"/>
        <v>0</v>
      </c>
    </row>
    <row r="19" spans="1:31" s="27" customFormat="1" ht="15" customHeight="1">
      <c r="A19" s="137">
        <f t="shared" si="27"/>
        <v>0.68</v>
      </c>
      <c r="B19" s="51">
        <f t="shared" si="0"/>
        <v>-123.18887999377392</v>
      </c>
      <c r="C19" s="147">
        <f t="shared" si="1"/>
        <v>0.06545</v>
      </c>
      <c r="D19" s="168">
        <f t="shared" si="2"/>
        <v>2626.2870976546546</v>
      </c>
      <c r="E19" s="168">
        <f t="shared" si="3"/>
        <v>3235.2941176470586</v>
      </c>
      <c r="F19" s="117">
        <f t="shared" si="23"/>
        <v>459.55199944606863</v>
      </c>
      <c r="G19" s="117">
        <f t="shared" si="4"/>
        <v>577.6573726655615</v>
      </c>
      <c r="H19" s="52">
        <f t="shared" si="5"/>
        <v>0.9424490359728354</v>
      </c>
      <c r="I19" s="51">
        <f t="shared" si="6"/>
        <v>2.5492073030706512</v>
      </c>
      <c r="J19" s="51">
        <f t="shared" si="7"/>
        <v>-0.3105249473309725</v>
      </c>
      <c r="K19" s="51">
        <f t="shared" si="8"/>
        <v>0.051999316750586944</v>
      </c>
      <c r="L19" s="51">
        <f t="shared" si="9"/>
        <v>0.3121519220548983</v>
      </c>
      <c r="M19" s="51">
        <f t="shared" si="24"/>
        <v>0.0009118714242685658</v>
      </c>
      <c r="N19" s="51">
        <f t="shared" si="25"/>
        <v>0.10033628526753763</v>
      </c>
      <c r="O19" s="51">
        <f t="shared" si="10"/>
        <v>0.015933950460939816</v>
      </c>
      <c r="P19" s="51">
        <f t="shared" si="11"/>
        <v>0</v>
      </c>
      <c r="Q19" s="51">
        <f t="shared" si="12"/>
        <v>0.15</v>
      </c>
      <c r="R19" s="61">
        <f t="shared" si="13"/>
        <v>0.4458340956509569</v>
      </c>
      <c r="S19" s="54">
        <f t="shared" si="14"/>
        <v>6</v>
      </c>
      <c r="T19" s="55">
        <f t="shared" si="15"/>
        <v>4.515912592477819</v>
      </c>
      <c r="U19" s="51">
        <f t="shared" si="16"/>
        <v>4.049207303070651</v>
      </c>
      <c r="V19" s="51">
        <f t="shared" si="17"/>
        <v>1.9667052894071677</v>
      </c>
      <c r="W19" s="56">
        <f t="shared" si="18"/>
        <v>1.484087407522181</v>
      </c>
      <c r="X19" s="105">
        <f t="shared" si="19"/>
        <v>-13.99504139872161</v>
      </c>
      <c r="Y19" s="26">
        <f t="shared" si="28"/>
        <v>-0.1345865680473497</v>
      </c>
      <c r="Z19" s="24">
        <f t="shared" si="20"/>
        <v>1.0993211590790997</v>
      </c>
      <c r="AA19" s="24">
        <f t="shared" si="21"/>
        <v>1.0993211590790997</v>
      </c>
      <c r="AB19" s="184">
        <f t="shared" si="22"/>
        <v>0.726393060967735</v>
      </c>
      <c r="AC19" s="155">
        <f t="shared" si="26"/>
        <v>0.8</v>
      </c>
      <c r="AD19" s="157">
        <f t="shared" si="29"/>
        <v>7.9</v>
      </c>
      <c r="AE19" s="156">
        <f t="shared" si="30"/>
        <v>0</v>
      </c>
    </row>
    <row r="20" spans="1:31" s="21" customFormat="1" ht="15" customHeight="1">
      <c r="A20" s="136">
        <f t="shared" si="27"/>
        <v>0.7000000000000001</v>
      </c>
      <c r="B20" s="103">
        <f t="shared" si="0"/>
        <v>-123.18887999377392</v>
      </c>
      <c r="C20" s="146">
        <f t="shared" si="1"/>
        <v>0.06545</v>
      </c>
      <c r="D20" s="167">
        <f t="shared" si="2"/>
        <v>2551.25032343595</v>
      </c>
      <c r="E20" s="167">
        <f t="shared" si="3"/>
        <v>3142.8571428571427</v>
      </c>
      <c r="F20" s="116">
        <f t="shared" si="23"/>
        <v>463.1368339555526</v>
      </c>
      <c r="G20" s="116">
        <f t="shared" si="4"/>
        <v>580.5133305673291</v>
      </c>
      <c r="H20" s="106">
        <f t="shared" si="5"/>
        <v>0.9632436533293636</v>
      </c>
      <c r="I20" s="103">
        <f t="shared" si="6"/>
        <v>2.6241839884550826</v>
      </c>
      <c r="J20" s="103">
        <f t="shared" si="7"/>
        <v>-0.3196580340171776</v>
      </c>
      <c r="K20" s="103">
        <f t="shared" si="8"/>
        <v>0.05494735338717613</v>
      </c>
      <c r="L20" s="103">
        <f t="shared" si="9"/>
        <v>0.35165255190739814</v>
      </c>
      <c r="M20" s="103">
        <f t="shared" si="24"/>
        <v>0.0009073852802604844</v>
      </c>
      <c r="N20" s="103">
        <f t="shared" si="25"/>
        <v>0.0998311364165483</v>
      </c>
      <c r="O20" s="103">
        <f t="shared" si="10"/>
        <v>0.018033859543778993</v>
      </c>
      <c r="P20" s="103">
        <f t="shared" si="11"/>
        <v>0</v>
      </c>
      <c r="Q20" s="103">
        <f t="shared" si="12"/>
        <v>0.15</v>
      </c>
      <c r="R20" s="107">
        <f t="shared" si="13"/>
        <v>0.4458340956509569</v>
      </c>
      <c r="S20" s="108">
        <f t="shared" si="14"/>
        <v>6</v>
      </c>
      <c r="T20" s="104">
        <f t="shared" si="15"/>
        <v>4.652779285303129</v>
      </c>
      <c r="U20" s="103">
        <f t="shared" si="16"/>
        <v>4.124183988455083</v>
      </c>
      <c r="V20" s="103">
        <f t="shared" si="17"/>
        <v>2.0285952968480467</v>
      </c>
      <c r="W20" s="109">
        <f t="shared" si="18"/>
        <v>1.3472207146968707</v>
      </c>
      <c r="X20" s="110">
        <f t="shared" si="19"/>
        <v>-14.07001808410604</v>
      </c>
      <c r="Y20" s="28">
        <f t="shared" si="28"/>
        <v>-0.13932760726224824</v>
      </c>
      <c r="Z20" s="19">
        <f t="shared" si="20"/>
        <v>1.0993211590790997</v>
      </c>
      <c r="AA20" s="19">
        <f t="shared" si="21"/>
        <v>1.0993211590790997</v>
      </c>
      <c r="AB20" s="183">
        <f t="shared" si="22"/>
        <v>0.722923304509233</v>
      </c>
      <c r="AC20" s="155">
        <f t="shared" si="26"/>
        <v>0.8</v>
      </c>
      <c r="AD20" s="157">
        <f t="shared" si="29"/>
        <v>7.9</v>
      </c>
      <c r="AE20" s="156">
        <f t="shared" si="30"/>
        <v>0</v>
      </c>
    </row>
    <row r="21" spans="1:31" s="27" customFormat="1" ht="15" customHeight="1">
      <c r="A21" s="137">
        <f t="shared" si="27"/>
        <v>0.7200000000000001</v>
      </c>
      <c r="B21" s="51">
        <f t="shared" si="0"/>
        <v>-123.18887999377392</v>
      </c>
      <c r="C21" s="147">
        <f t="shared" si="1"/>
        <v>0.06545</v>
      </c>
      <c r="D21" s="168">
        <f t="shared" si="2"/>
        <v>2480.3822588960625</v>
      </c>
      <c r="E21" s="168">
        <f t="shared" si="3"/>
        <v>3055.555555555555</v>
      </c>
      <c r="F21" s="117">
        <f t="shared" si="23"/>
        <v>466.7968388032964</v>
      </c>
      <c r="G21" s="117">
        <f t="shared" si="4"/>
        <v>583.4374762703804</v>
      </c>
      <c r="H21" s="52">
        <f t="shared" si="5"/>
        <v>0.9847387881602404</v>
      </c>
      <c r="I21" s="51">
        <f t="shared" si="6"/>
        <v>2.6991606738395135</v>
      </c>
      <c r="J21" s="51">
        <f t="shared" si="7"/>
        <v>-0.3287911207033827</v>
      </c>
      <c r="K21" s="51">
        <f t="shared" si="8"/>
        <v>0.05796317990056987</v>
      </c>
      <c r="L21" s="51">
        <f t="shared" si="9"/>
        <v>0.39513780581264835</v>
      </c>
      <c r="M21" s="51">
        <f t="shared" si="24"/>
        <v>0.0009028375319991848</v>
      </c>
      <c r="N21" s="51">
        <f t="shared" si="25"/>
        <v>0.09931917071863872</v>
      </c>
      <c r="O21" s="51">
        <f t="shared" si="10"/>
        <v>0.020377272820317538</v>
      </c>
      <c r="P21" s="51">
        <f t="shared" si="11"/>
        <v>0</v>
      </c>
      <c r="Q21" s="51">
        <f t="shared" si="12"/>
        <v>0.15</v>
      </c>
      <c r="R21" s="61">
        <f t="shared" si="13"/>
        <v>0.4458340956509569</v>
      </c>
      <c r="S21" s="54">
        <f t="shared" si="14"/>
        <v>6</v>
      </c>
      <c r="T21" s="55">
        <f t="shared" si="15"/>
        <v>4.794567807002315</v>
      </c>
      <c r="U21" s="51">
        <f t="shared" si="16"/>
        <v>4.199160673839513</v>
      </c>
      <c r="V21" s="51">
        <f t="shared" si="17"/>
        <v>2.095407133162802</v>
      </c>
      <c r="W21" s="56">
        <f t="shared" si="18"/>
        <v>1.2054321929976846</v>
      </c>
      <c r="X21" s="105">
        <f t="shared" si="19"/>
        <v>-14.14499476949047</v>
      </c>
      <c r="Y21" s="26">
        <f t="shared" si="28"/>
        <v>-0.14445211671170366</v>
      </c>
      <c r="Z21" s="24">
        <f t="shared" si="20"/>
        <v>1.0993211590790997</v>
      </c>
      <c r="AA21" s="24">
        <f t="shared" si="21"/>
        <v>1.0993211590790997</v>
      </c>
      <c r="AB21" s="184">
        <f t="shared" si="22"/>
        <v>0.7193540807608125</v>
      </c>
      <c r="AC21" s="155">
        <f t="shared" si="26"/>
        <v>0.8</v>
      </c>
      <c r="AD21" s="157">
        <f t="shared" si="29"/>
        <v>7.9</v>
      </c>
      <c r="AE21" s="156">
        <f t="shared" si="30"/>
        <v>0</v>
      </c>
    </row>
    <row r="22" spans="1:31" s="27" customFormat="1" ht="15" customHeight="1">
      <c r="A22" s="137">
        <f t="shared" si="27"/>
        <v>0.7400000000000001</v>
      </c>
      <c r="B22" s="51">
        <f t="shared" si="0"/>
        <v>-123.18887999377392</v>
      </c>
      <c r="C22" s="147">
        <f t="shared" si="1"/>
        <v>0.06545</v>
      </c>
      <c r="D22" s="168">
        <f t="shared" si="2"/>
        <v>2413.3449005475204</v>
      </c>
      <c r="E22" s="168">
        <f t="shared" si="3"/>
        <v>2972.9729729729725</v>
      </c>
      <c r="F22" s="117">
        <f t="shared" si="23"/>
        <v>470.53025986222406</v>
      </c>
      <c r="G22" s="117">
        <f t="shared" si="4"/>
        <v>586.4287897486038</v>
      </c>
      <c r="H22" s="52">
        <f t="shared" si="5"/>
        <v>1.006939446084127</v>
      </c>
      <c r="I22" s="51">
        <f t="shared" si="6"/>
        <v>2.7741373592239444</v>
      </c>
      <c r="J22" s="51">
        <f t="shared" si="7"/>
        <v>-0.3379242073895878</v>
      </c>
      <c r="K22" s="51">
        <f t="shared" si="8"/>
        <v>0.061045392817092474</v>
      </c>
      <c r="L22" s="51">
        <f t="shared" si="9"/>
        <v>0.4429757907603351</v>
      </c>
      <c r="M22" s="51">
        <f t="shared" si="24"/>
        <v>0.0008982322497802255</v>
      </c>
      <c r="N22" s="51">
        <f t="shared" si="25"/>
        <v>0.09880085107488928</v>
      </c>
      <c r="O22" s="51">
        <f t="shared" si="10"/>
        <v>0.022995975932283697</v>
      </c>
      <c r="P22" s="51">
        <f t="shared" si="11"/>
        <v>0</v>
      </c>
      <c r="Q22" s="51">
        <f t="shared" si="12"/>
        <v>0.15</v>
      </c>
      <c r="R22" s="61">
        <f t="shared" si="13"/>
        <v>0.4458340956509569</v>
      </c>
      <c r="S22" s="54">
        <f t="shared" si="14"/>
        <v>6</v>
      </c>
      <c r="T22" s="55">
        <f t="shared" si="15"/>
        <v>4.941683518726537</v>
      </c>
      <c r="U22" s="51">
        <f t="shared" si="16"/>
        <v>4.274137359223944</v>
      </c>
      <c r="V22" s="51">
        <f t="shared" si="17"/>
        <v>2.167546159502592</v>
      </c>
      <c r="W22" s="56">
        <f t="shared" si="18"/>
        <v>1.0583164812734633</v>
      </c>
      <c r="X22" s="105">
        <f t="shared" si="19"/>
        <v>-14.219971454874901</v>
      </c>
      <c r="Y22" s="26">
        <f t="shared" si="28"/>
        <v>-0.15000822698316219</v>
      </c>
      <c r="Z22" s="24">
        <f t="shared" si="20"/>
        <v>1.0993211590790997</v>
      </c>
      <c r="AA22" s="24">
        <f t="shared" si="21"/>
        <v>1.0993211590790997</v>
      </c>
      <c r="AB22" s="184">
        <f t="shared" si="22"/>
        <v>0.7156862044200333</v>
      </c>
      <c r="AC22" s="155">
        <f t="shared" si="26"/>
        <v>0.8</v>
      </c>
      <c r="AD22" s="157">
        <f t="shared" si="29"/>
        <v>7.9</v>
      </c>
      <c r="AE22" s="156">
        <f t="shared" si="30"/>
        <v>0</v>
      </c>
    </row>
    <row r="23" spans="1:31" s="27" customFormat="1" ht="15" customHeight="1">
      <c r="A23" s="137">
        <f t="shared" si="27"/>
        <v>0.7600000000000001</v>
      </c>
      <c r="B23" s="51">
        <f t="shared" si="0"/>
        <v>-123.18887999377392</v>
      </c>
      <c r="C23" s="147">
        <f t="shared" si="1"/>
        <v>0.06545</v>
      </c>
      <c r="D23" s="168">
        <f t="shared" si="2"/>
        <v>2349.8358242173226</v>
      </c>
      <c r="E23" s="168">
        <f t="shared" si="3"/>
        <v>2894.736842105263</v>
      </c>
      <c r="F23" s="117">
        <f t="shared" si="23"/>
        <v>474.33536359221347</v>
      </c>
      <c r="G23" s="117">
        <f t="shared" si="4"/>
        <v>589.4862484860503</v>
      </c>
      <c r="H23" s="52">
        <f t="shared" si="5"/>
        <v>1.0298504171456555</v>
      </c>
      <c r="I23" s="51">
        <f t="shared" si="6"/>
        <v>2.8491140446083754</v>
      </c>
      <c r="J23" s="51">
        <f t="shared" si="7"/>
        <v>-0.34705729407579283</v>
      </c>
      <c r="K23" s="51">
        <f t="shared" si="8"/>
        <v>0.06419256394412605</v>
      </c>
      <c r="L23" s="51">
        <f t="shared" si="9"/>
        <v>0.4955812521213026</v>
      </c>
      <c r="M23" s="51">
        <f t="shared" si="24"/>
        <v>0.0008935734336544889</v>
      </c>
      <c r="N23" s="51">
        <f t="shared" si="25"/>
        <v>0.09827663210221689</v>
      </c>
      <c r="O23" s="51">
        <f t="shared" si="10"/>
        <v>0.025927819340131872</v>
      </c>
      <c r="P23" s="51">
        <f t="shared" si="11"/>
        <v>0</v>
      </c>
      <c r="Q23" s="51">
        <f t="shared" si="12"/>
        <v>0.15</v>
      </c>
      <c r="R23" s="61">
        <f t="shared" si="13"/>
        <v>0.4458340956509569</v>
      </c>
      <c r="S23" s="54">
        <f t="shared" si="14"/>
        <v>6</v>
      </c>
      <c r="T23" s="55">
        <f t="shared" si="15"/>
        <v>5.09458426096864</v>
      </c>
      <c r="U23" s="51">
        <f t="shared" si="16"/>
        <v>4.349114044608376</v>
      </c>
      <c r="V23" s="51">
        <f t="shared" si="17"/>
        <v>2.2454702163602644</v>
      </c>
      <c r="W23" s="56">
        <f t="shared" si="18"/>
        <v>0.9054157390313602</v>
      </c>
      <c r="X23" s="105">
        <f t="shared" si="19"/>
        <v>-14.294948140259333</v>
      </c>
      <c r="Y23" s="26">
        <f t="shared" si="28"/>
        <v>-0.15605387906451007</v>
      </c>
      <c r="Z23" s="24">
        <f t="shared" si="20"/>
        <v>1.0993211590790997</v>
      </c>
      <c r="AA23" s="24">
        <f t="shared" si="21"/>
        <v>1.0993211590790997</v>
      </c>
      <c r="AB23" s="184">
        <f t="shared" si="22"/>
        <v>0.7119205818672362</v>
      </c>
      <c r="AC23" s="155">
        <f t="shared" si="26"/>
        <v>0.8</v>
      </c>
      <c r="AD23" s="157">
        <f t="shared" si="29"/>
        <v>7.9</v>
      </c>
      <c r="AE23" s="156">
        <f t="shared" si="30"/>
        <v>0</v>
      </c>
    </row>
    <row r="24" spans="1:31" s="27" customFormat="1" ht="15" customHeight="1">
      <c r="A24" s="137">
        <f t="shared" si="27"/>
        <v>0.7800000000000001</v>
      </c>
      <c r="B24" s="51">
        <f t="shared" si="0"/>
        <v>-123.18887999377392</v>
      </c>
      <c r="C24" s="147">
        <f t="shared" si="1"/>
        <v>0.06545</v>
      </c>
      <c r="D24" s="168">
        <f t="shared" si="2"/>
        <v>2289.583623596365</v>
      </c>
      <c r="E24" s="168">
        <f t="shared" si="3"/>
        <v>2820.51282051282</v>
      </c>
      <c r="F24" s="117">
        <f t="shared" si="23"/>
        <v>478.2104388668095</v>
      </c>
      <c r="G24" s="117">
        <f t="shared" si="4"/>
        <v>592.6088286898757</v>
      </c>
      <c r="H24" s="52">
        <f t="shared" si="5"/>
        <v>1.0534762654113508</v>
      </c>
      <c r="I24" s="51">
        <f t="shared" si="6"/>
        <v>2.9240907299928063</v>
      </c>
      <c r="J24" s="51">
        <f t="shared" si="7"/>
        <v>-0.3561903807619979</v>
      </c>
      <c r="K24" s="51">
        <f t="shared" si="8"/>
        <v>0.06740324147019017</v>
      </c>
      <c r="L24" s="51">
        <f t="shared" si="9"/>
        <v>0.5534249342207933</v>
      </c>
      <c r="M24" s="51">
        <f t="shared" si="24"/>
        <v>0.0008888650078270128</v>
      </c>
      <c r="N24" s="51">
        <f t="shared" si="25"/>
        <v>0.0977469595002092</v>
      </c>
      <c r="O24" s="51">
        <f t="shared" si="10"/>
        <v>0.029218292079440572</v>
      </c>
      <c r="P24" s="51">
        <f t="shared" si="11"/>
        <v>0</v>
      </c>
      <c r="Q24" s="51">
        <f t="shared" si="12"/>
        <v>0.15</v>
      </c>
      <c r="R24" s="61">
        <f t="shared" si="13"/>
        <v>0.4458340956509569</v>
      </c>
      <c r="S24" s="54">
        <f t="shared" si="14"/>
        <v>6</v>
      </c>
      <c r="T24" s="55">
        <f t="shared" si="15"/>
        <v>5.253791276855557</v>
      </c>
      <c r="U24" s="51">
        <f t="shared" si="16"/>
        <v>4.424090729992806</v>
      </c>
      <c r="V24" s="51">
        <f t="shared" si="17"/>
        <v>2.3297005468627505</v>
      </c>
      <c r="W24" s="56">
        <f t="shared" si="18"/>
        <v>0.7462087231444432</v>
      </c>
      <c r="X24" s="105">
        <f t="shared" si="19"/>
        <v>-14.369924825643762</v>
      </c>
      <c r="Y24" s="26">
        <f t="shared" si="28"/>
        <v>-0.16265940560021797</v>
      </c>
      <c r="Z24" s="24">
        <f t="shared" si="20"/>
        <v>1.0993211590790997</v>
      </c>
      <c r="AA24" s="24">
        <f t="shared" si="21"/>
        <v>1.0993211590790997</v>
      </c>
      <c r="AB24" s="184">
        <f t="shared" si="22"/>
        <v>0.7080582117266768</v>
      </c>
      <c r="AC24" s="155">
        <f t="shared" si="26"/>
        <v>0.8</v>
      </c>
      <c r="AD24" s="157">
        <f t="shared" si="29"/>
        <v>7.9</v>
      </c>
      <c r="AE24" s="156">
        <f t="shared" si="30"/>
        <v>0</v>
      </c>
    </row>
    <row r="25" spans="1:31" s="21" customFormat="1" ht="15" customHeight="1">
      <c r="A25" s="136">
        <f t="shared" si="27"/>
        <v>0.8000000000000002</v>
      </c>
      <c r="B25" s="103">
        <f t="shared" si="0"/>
        <v>-123.18887999377392</v>
      </c>
      <c r="C25" s="146">
        <f t="shared" si="1"/>
        <v>0.06545</v>
      </c>
      <c r="D25" s="167">
        <f t="shared" si="2"/>
        <v>2232.344033006456</v>
      </c>
      <c r="E25" s="167">
        <f t="shared" si="3"/>
        <v>2749.9999999999995</v>
      </c>
      <c r="F25" s="116">
        <f t="shared" si="23"/>
        <v>482.1537986027898</v>
      </c>
      <c r="G25" s="116">
        <f t="shared" si="4"/>
        <v>595.7955064509127</v>
      </c>
      <c r="H25" s="106">
        <f t="shared" si="5"/>
        <v>1.0778213200699056</v>
      </c>
      <c r="I25" s="103">
        <f t="shared" si="6"/>
        <v>2.999067415377237</v>
      </c>
      <c r="J25" s="103">
        <f t="shared" si="7"/>
        <v>-0.365323467448203</v>
      </c>
      <c r="K25" s="103">
        <f t="shared" si="8"/>
        <v>0.07067595107788972</v>
      </c>
      <c r="L25" s="103">
        <f t="shared" si="9"/>
        <v>0.6170453678819287</v>
      </c>
      <c r="M25" s="103">
        <f t="shared" si="24"/>
        <v>0.000884110815621235</v>
      </c>
      <c r="N25" s="103">
        <f t="shared" si="25"/>
        <v>0.09721226948373318</v>
      </c>
      <c r="O25" s="103">
        <f t="shared" si="10"/>
        <v>0.032922603705314746</v>
      </c>
      <c r="P25" s="103">
        <f t="shared" si="11"/>
        <v>0</v>
      </c>
      <c r="Q25" s="103">
        <f t="shared" si="12"/>
        <v>0.15</v>
      </c>
      <c r="R25" s="107">
        <f t="shared" si="13"/>
        <v>0.4458340956509569</v>
      </c>
      <c r="S25" s="108">
        <f t="shared" si="14"/>
        <v>6</v>
      </c>
      <c r="T25" s="104">
        <f t="shared" si="15"/>
        <v>5.419903072169076</v>
      </c>
      <c r="U25" s="103">
        <f t="shared" si="16"/>
        <v>4.499067415377237</v>
      </c>
      <c r="V25" s="103">
        <f t="shared" si="17"/>
        <v>2.4208356567918385</v>
      </c>
      <c r="W25" s="109">
        <f t="shared" si="18"/>
        <v>0.5800969278309243</v>
      </c>
      <c r="X25" s="110">
        <f t="shared" si="19"/>
        <v>-14.444901511028194</v>
      </c>
      <c r="Y25" s="28">
        <f t="shared" si="28"/>
        <v>-0.1699109639863865</v>
      </c>
      <c r="Z25" s="19">
        <f t="shared" si="20"/>
        <v>1.0993211590790997</v>
      </c>
      <c r="AA25" s="19">
        <f t="shared" si="21"/>
        <v>1.0993211590790997</v>
      </c>
      <c r="AB25" s="183">
        <f t="shared" si="22"/>
        <v>0.7041001850003272</v>
      </c>
      <c r="AC25" s="155">
        <f t="shared" si="26"/>
        <v>0.8</v>
      </c>
      <c r="AD25" s="157">
        <f t="shared" si="29"/>
        <v>7.9</v>
      </c>
      <c r="AE25" s="156">
        <f t="shared" si="30"/>
        <v>0.5800969278309243</v>
      </c>
    </row>
    <row r="26" spans="1:31" s="27" customFormat="1" ht="15" customHeight="1">
      <c r="A26" s="137">
        <f t="shared" si="27"/>
        <v>0.8200000000000002</v>
      </c>
      <c r="B26" s="51">
        <f t="shared" si="0"/>
        <v>-123.18887999377392</v>
      </c>
      <c r="C26" s="147">
        <f t="shared" si="1"/>
        <v>0.06545</v>
      </c>
      <c r="D26" s="168">
        <f t="shared" si="2"/>
        <v>2177.896617567274</v>
      </c>
      <c r="E26" s="168">
        <f t="shared" si="3"/>
        <v>2682.9268292682923</v>
      </c>
      <c r="F26" s="117">
        <f t="shared" si="23"/>
        <v>486.1637812012496</v>
      </c>
      <c r="G26" s="117">
        <f t="shared" si="4"/>
        <v>599.0452588510292</v>
      </c>
      <c r="H26" s="52">
        <f t="shared" si="5"/>
        <v>1.1028896680487135</v>
      </c>
      <c r="I26" s="51">
        <f t="shared" si="6"/>
        <v>3.074044100761668</v>
      </c>
      <c r="J26" s="51">
        <f t="shared" si="7"/>
        <v>-0.3744565541344081</v>
      </c>
      <c r="K26" s="51">
        <f t="shared" si="8"/>
        <v>0.0740091970685411</v>
      </c>
      <c r="L26" s="51">
        <f t="shared" si="9"/>
        <v>0.6870638749397727</v>
      </c>
      <c r="M26" s="51">
        <f t="shared" si="24"/>
        <v>0.000879314614996019</v>
      </c>
      <c r="N26" s="51">
        <f t="shared" si="25"/>
        <v>0.0966729882797688</v>
      </c>
      <c r="O26" s="51">
        <f t="shared" si="10"/>
        <v>0.037108477147449886</v>
      </c>
      <c r="P26" s="51">
        <f t="shared" si="11"/>
        <v>0</v>
      </c>
      <c r="Q26" s="51">
        <f t="shared" si="12"/>
        <v>0.15</v>
      </c>
      <c r="R26" s="61">
        <f t="shared" si="13"/>
        <v>0.4458340956509569</v>
      </c>
      <c r="S26" s="54">
        <f t="shared" si="14"/>
        <v>6</v>
      </c>
      <c r="T26" s="55">
        <f t="shared" si="15"/>
        <v>5.59361320482833</v>
      </c>
      <c r="U26" s="51">
        <f t="shared" si="16"/>
        <v>4.574044100761668</v>
      </c>
      <c r="V26" s="51">
        <f t="shared" si="17"/>
        <v>2.5195691040666617</v>
      </c>
      <c r="W26" s="56">
        <f t="shared" si="18"/>
        <v>0.4063867951716702</v>
      </c>
      <c r="X26" s="105">
        <f t="shared" si="19"/>
        <v>-14.519878196412625</v>
      </c>
      <c r="Y26" s="26">
        <f t="shared" si="28"/>
        <v>-0.1779151706847637</v>
      </c>
      <c r="Z26" s="24">
        <f t="shared" si="20"/>
        <v>1.0993211590790997</v>
      </c>
      <c r="AA26" s="24">
        <f t="shared" si="21"/>
        <v>1.0993211590790997</v>
      </c>
      <c r="AB26" s="184">
        <f t="shared" si="22"/>
        <v>0.7000476847789744</v>
      </c>
      <c r="AC26" s="155">
        <f t="shared" si="26"/>
        <v>0.8</v>
      </c>
      <c r="AD26" s="157">
        <f t="shared" si="29"/>
        <v>7.9</v>
      </c>
      <c r="AE26" s="156">
        <f t="shared" si="30"/>
        <v>0</v>
      </c>
    </row>
    <row r="27" spans="1:31" s="27" customFormat="1" ht="15" customHeight="1">
      <c r="A27" s="137">
        <f t="shared" si="27"/>
        <v>0.8400000000000002</v>
      </c>
      <c r="B27" s="51">
        <f t="shared" si="0"/>
        <v>-123.18887999377392</v>
      </c>
      <c r="C27" s="147">
        <f t="shared" si="1"/>
        <v>0.06545</v>
      </c>
      <c r="D27" s="168">
        <f t="shared" si="2"/>
        <v>2126.0419361966246</v>
      </c>
      <c r="E27" s="168">
        <f t="shared" si="3"/>
        <v>2619.0476190476184</v>
      </c>
      <c r="F27" s="117">
        <f t="shared" si="23"/>
        <v>490.2387518093376</v>
      </c>
      <c r="G27" s="117">
        <f t="shared" si="4"/>
        <v>602.3570650167368</v>
      </c>
      <c r="H27" s="52">
        <f t="shared" si="5"/>
        <v>1.1286851481487308</v>
      </c>
      <c r="I27" s="51">
        <f t="shared" si="6"/>
        <v>3.1490207861460995</v>
      </c>
      <c r="J27" s="51">
        <f t="shared" si="7"/>
        <v>-0.38358964082061314</v>
      </c>
      <c r="K27" s="51">
        <f t="shared" si="8"/>
        <v>0.07740146349727998</v>
      </c>
      <c r="L27" s="51">
        <f t="shared" si="9"/>
        <v>0.7642038985900697</v>
      </c>
      <c r="M27" s="51">
        <f t="shared" si="24"/>
        <v>0.000874480074600183</v>
      </c>
      <c r="N27" s="51">
        <f t="shared" si="25"/>
        <v>0.09612953168658236</v>
      </c>
      <c r="O27" s="51">
        <f t="shared" si="10"/>
        <v>0.04185995331616452</v>
      </c>
      <c r="P27" s="51">
        <f t="shared" si="11"/>
        <v>0</v>
      </c>
      <c r="Q27" s="51">
        <f t="shared" si="12"/>
        <v>0.15</v>
      </c>
      <c r="R27" s="61">
        <f t="shared" si="13"/>
        <v>0.4458340956509569</v>
      </c>
      <c r="S27" s="54">
        <f t="shared" si="14"/>
        <v>6</v>
      </c>
      <c r="T27" s="55">
        <f t="shared" si="15"/>
        <v>5.775733413538603</v>
      </c>
      <c r="U27" s="51">
        <f t="shared" si="16"/>
        <v>4.6490207861460995</v>
      </c>
      <c r="V27" s="51">
        <f t="shared" si="17"/>
        <v>2.6267126273925037</v>
      </c>
      <c r="W27" s="56">
        <f t="shared" si="18"/>
        <v>0.22426658646139686</v>
      </c>
      <c r="X27" s="105">
        <f t="shared" si="19"/>
        <v>-14.594854881797056</v>
      </c>
      <c r="Y27" s="26">
        <f t="shared" si="28"/>
        <v>-0.18680546013504484</v>
      </c>
      <c r="Z27" s="24">
        <f t="shared" si="20"/>
        <v>1.0993211590790997</v>
      </c>
      <c r="AA27" s="24">
        <f t="shared" si="21"/>
        <v>1.0993211590790997</v>
      </c>
      <c r="AB27" s="184">
        <f t="shared" si="22"/>
        <v>0.695901985538304</v>
      </c>
      <c r="AC27" s="155">
        <f t="shared" si="26"/>
        <v>0.8</v>
      </c>
      <c r="AD27" s="157">
        <f t="shared" si="29"/>
        <v>7.9</v>
      </c>
      <c r="AE27" s="156">
        <f t="shared" si="30"/>
        <v>0</v>
      </c>
    </row>
    <row r="28" spans="1:31" s="27" customFormat="1" ht="15" customHeight="1">
      <c r="A28" s="137">
        <f t="shared" si="27"/>
        <v>0.8600000000000002</v>
      </c>
      <c r="B28" s="51">
        <f t="shared" si="0"/>
        <v>-123.18887999377392</v>
      </c>
      <c r="C28" s="147">
        <f t="shared" si="1"/>
        <v>0.06545</v>
      </c>
      <c r="D28" s="168">
        <f t="shared" si="2"/>
        <v>2076.5991004711223</v>
      </c>
      <c r="E28" s="168">
        <f t="shared" si="3"/>
        <v>2558.1395348837204</v>
      </c>
      <c r="F28" s="117">
        <f t="shared" si="23"/>
        <v>494.3771034121038</v>
      </c>
      <c r="G28" s="117">
        <f t="shared" si="4"/>
        <v>605.7299071187933</v>
      </c>
      <c r="H28" s="52">
        <f t="shared" si="5"/>
        <v>1.1552113466901741</v>
      </c>
      <c r="I28" s="51">
        <f t="shared" si="6"/>
        <v>3.2239974715305304</v>
      </c>
      <c r="J28" s="51">
        <f t="shared" si="7"/>
        <v>-0.39272272750681825</v>
      </c>
      <c r="K28" s="51">
        <f t="shared" si="8"/>
        <v>0.08085121531744902</v>
      </c>
      <c r="L28" s="51">
        <f t="shared" si="9"/>
        <v>0.8493162432683454</v>
      </c>
      <c r="M28" s="51">
        <f t="shared" si="24"/>
        <v>0.0008696107703469878</v>
      </c>
      <c r="N28" s="51">
        <f t="shared" si="25"/>
        <v>0.09558230469312656</v>
      </c>
      <c r="O28" s="51">
        <f t="shared" si="10"/>
        <v>0.04728266326528607</v>
      </c>
      <c r="P28" s="51">
        <f t="shared" si="11"/>
        <v>0</v>
      </c>
      <c r="Q28" s="51">
        <f t="shared" si="12"/>
        <v>0.15</v>
      </c>
      <c r="R28" s="61">
        <f t="shared" si="13"/>
        <v>0.4458340956509569</v>
      </c>
      <c r="S28" s="54">
        <f t="shared" si="14"/>
        <v>6</v>
      </c>
      <c r="T28" s="55">
        <f t="shared" si="15"/>
        <v>5.9672241250984195</v>
      </c>
      <c r="U28" s="51">
        <f t="shared" si="16"/>
        <v>4.723997471530531</v>
      </c>
      <c r="V28" s="51">
        <f t="shared" si="17"/>
        <v>2.743226653567889</v>
      </c>
      <c r="W28" s="56">
        <f t="shared" si="18"/>
        <v>0.032775874901580515</v>
      </c>
      <c r="X28" s="105">
        <f t="shared" si="19"/>
        <v>-14.669831567181488</v>
      </c>
      <c r="Y28" s="26">
        <f t="shared" si="28"/>
        <v>-0.19675096974757444</v>
      </c>
      <c r="Z28" s="24">
        <f t="shared" si="20"/>
        <v>1.0993211590790997</v>
      </c>
      <c r="AA28" s="24">
        <f t="shared" si="21"/>
        <v>1.0993211590790997</v>
      </c>
      <c r="AB28" s="184">
        <f t="shared" si="22"/>
        <v>0.6916644520305788</v>
      </c>
      <c r="AC28" s="155">
        <f t="shared" si="26"/>
        <v>0.8</v>
      </c>
      <c r="AD28" s="157">
        <f t="shared" si="29"/>
        <v>7.9</v>
      </c>
      <c r="AE28" s="156">
        <f t="shared" si="30"/>
        <v>0</v>
      </c>
    </row>
    <row r="29" spans="1:31" s="27" customFormat="1" ht="15" customHeight="1">
      <c r="A29" s="137">
        <f t="shared" si="27"/>
        <v>0.8800000000000002</v>
      </c>
      <c r="B29" s="51">
        <f t="shared" si="0"/>
        <v>-123.18887999377392</v>
      </c>
      <c r="C29" s="147">
        <f t="shared" si="1"/>
        <v>0.06545</v>
      </c>
      <c r="D29" s="168">
        <f t="shared" si="2"/>
        <v>2029.4036663695053</v>
      </c>
      <c r="E29" s="168">
        <f t="shared" si="3"/>
        <v>2499.9999999999995</v>
      </c>
      <c r="F29" s="117">
        <f t="shared" si="23"/>
        <v>498.57725776412076</v>
      </c>
      <c r="G29" s="117">
        <f t="shared" si="4"/>
        <v>609.1627713178067</v>
      </c>
      <c r="H29" s="52">
        <f t="shared" si="5"/>
        <v>1.182471594652618</v>
      </c>
      <c r="I29" s="51">
        <f t="shared" si="6"/>
        <v>3.2989741569149613</v>
      </c>
      <c r="J29" s="51">
        <f t="shared" si="7"/>
        <v>-0.40185581419302335</v>
      </c>
      <c r="K29" s="51">
        <f t="shared" si="8"/>
        <v>0.08435689953306214</v>
      </c>
      <c r="L29" s="51">
        <f t="shared" si="9"/>
        <v>0.9434125300032314</v>
      </c>
      <c r="M29" s="51">
        <f t="shared" si="24"/>
        <v>0.0008647101824890946</v>
      </c>
      <c r="N29" s="51">
        <f t="shared" si="25"/>
        <v>0.09503170115632176</v>
      </c>
      <c r="O29" s="51">
        <f t="shared" si="10"/>
        <v>0.05351127465566097</v>
      </c>
      <c r="P29" s="51">
        <f t="shared" si="11"/>
        <v>0</v>
      </c>
      <c r="Q29" s="51">
        <f t="shared" si="12"/>
        <v>0.15</v>
      </c>
      <c r="R29" s="61">
        <f t="shared" si="13"/>
        <v>0.4458340956509569</v>
      </c>
      <c r="S29" s="54">
        <f t="shared" si="14"/>
        <v>6</v>
      </c>
      <c r="T29" s="55">
        <f t="shared" si="15"/>
        <v>6.169235353033752</v>
      </c>
      <c r="U29" s="51">
        <f t="shared" si="16"/>
        <v>4.798974156914961</v>
      </c>
      <c r="V29" s="51">
        <f t="shared" si="17"/>
        <v>2.8702611961187907</v>
      </c>
      <c r="W29" s="56">
        <f t="shared" si="18"/>
        <v>-0.16923535303375203</v>
      </c>
      <c r="X29" s="105">
        <f t="shared" si="19"/>
        <v>-14.74480825256592</v>
      </c>
      <c r="Y29" s="26">
        <f t="shared" si="28"/>
        <v>-0.20796920892123927</v>
      </c>
      <c r="Z29" s="24">
        <f t="shared" si="20"/>
        <v>1.0993211590790997</v>
      </c>
      <c r="AA29" s="24">
        <f t="shared" si="21"/>
        <v>1.0993211590790997</v>
      </c>
      <c r="AB29" s="184">
        <f t="shared" si="22"/>
        <v>0.6873365377852377</v>
      </c>
      <c r="AC29" s="155">
        <f t="shared" si="26"/>
        <v>0.8</v>
      </c>
      <c r="AD29" s="157">
        <f t="shared" si="29"/>
        <v>7.9</v>
      </c>
      <c r="AE29" s="156">
        <f t="shared" si="30"/>
        <v>0</v>
      </c>
    </row>
    <row r="30" spans="1:31" s="21" customFormat="1" ht="15" customHeight="1">
      <c r="A30" s="136">
        <f t="shared" si="27"/>
        <v>0.9000000000000002</v>
      </c>
      <c r="B30" s="103">
        <f t="shared" si="0"/>
        <v>-123.18887999377392</v>
      </c>
      <c r="C30" s="146">
        <f t="shared" si="1"/>
        <v>0.06545</v>
      </c>
      <c r="D30" s="167">
        <f t="shared" si="2"/>
        <v>1984.3058071168498</v>
      </c>
      <c r="E30" s="167">
        <f t="shared" si="3"/>
        <v>2444.444444444444</v>
      </c>
      <c r="F30" s="116">
        <f t="shared" si="23"/>
        <v>502.837666170627</v>
      </c>
      <c r="G30" s="116">
        <f t="shared" si="4"/>
        <v>612.6546486560948</v>
      </c>
      <c r="H30" s="106">
        <f t="shared" si="5"/>
        <v>1.21046896628468</v>
      </c>
      <c r="I30" s="103">
        <f t="shared" si="6"/>
        <v>3.3739508422993922</v>
      </c>
      <c r="J30" s="103">
        <f t="shared" si="7"/>
        <v>-0.4109889008792284</v>
      </c>
      <c r="K30" s="103">
        <f t="shared" si="8"/>
        <v>0.08791694635814022</v>
      </c>
      <c r="L30" s="103">
        <f t="shared" si="9"/>
        <v>1.0477102980585487</v>
      </c>
      <c r="M30" s="103">
        <f t="shared" si="24"/>
        <v>0.0008597816931728966</v>
      </c>
      <c r="N30" s="103">
        <f t="shared" si="25"/>
        <v>0.09447810353368018</v>
      </c>
      <c r="O30" s="103">
        <f t="shared" si="10"/>
        <v>0.060720237113639455</v>
      </c>
      <c r="P30" s="103">
        <f t="shared" si="11"/>
        <v>0</v>
      </c>
      <c r="Q30" s="103">
        <f t="shared" si="12"/>
        <v>0.15</v>
      </c>
      <c r="R30" s="107">
        <f t="shared" si="13"/>
        <v>0.4458340956509569</v>
      </c>
      <c r="S30" s="108">
        <f t="shared" si="14"/>
        <v>6</v>
      </c>
      <c r="T30" s="104">
        <f t="shared" si="15"/>
        <v>6.383162542940898</v>
      </c>
      <c r="U30" s="103">
        <f t="shared" si="16"/>
        <v>4.873950842299392</v>
      </c>
      <c r="V30" s="103">
        <f t="shared" si="17"/>
        <v>3.009211700641506</v>
      </c>
      <c r="W30" s="109">
        <f t="shared" si="18"/>
        <v>-0.383162542940898</v>
      </c>
      <c r="X30" s="110">
        <f t="shared" si="19"/>
        <v>-14.819784937950349</v>
      </c>
      <c r="Y30" s="28">
        <f t="shared" si="28"/>
        <v>-0.22074454196105409</v>
      </c>
      <c r="Z30" s="19">
        <f t="shared" si="20"/>
        <v>1.0993211590790997</v>
      </c>
      <c r="AA30" s="19">
        <f t="shared" si="21"/>
        <v>1.0993211590790997</v>
      </c>
      <c r="AB30" s="183">
        <f t="shared" si="22"/>
        <v>0.6829197832342367</v>
      </c>
      <c r="AC30" s="155">
        <f t="shared" si="26"/>
        <v>0.8</v>
      </c>
      <c r="AD30" s="157">
        <f t="shared" si="29"/>
        <v>7.9</v>
      </c>
      <c r="AE30" s="156">
        <f t="shared" si="30"/>
        <v>0</v>
      </c>
    </row>
    <row r="31" spans="1:31" s="27" customFormat="1" ht="15" customHeight="1">
      <c r="A31" s="137">
        <f t="shared" si="27"/>
        <v>0.9200000000000003</v>
      </c>
      <c r="B31" s="51">
        <f t="shared" si="0"/>
        <v>-123.18887999377392</v>
      </c>
      <c r="C31" s="147">
        <f t="shared" si="1"/>
        <v>0.06545</v>
      </c>
      <c r="D31" s="168">
        <f t="shared" si="2"/>
        <v>1941.16872435344</v>
      </c>
      <c r="E31" s="168">
        <f t="shared" si="3"/>
        <v>2391.304347826086</v>
      </c>
      <c r="F31" s="117">
        <f t="shared" si="23"/>
        <v>507.156810127932</v>
      </c>
      <c r="G31" s="117">
        <f t="shared" si="4"/>
        <v>616.2045358962714</v>
      </c>
      <c r="H31" s="52">
        <f t="shared" si="5"/>
        <v>1.2392062791506624</v>
      </c>
      <c r="I31" s="51">
        <f t="shared" si="6"/>
        <v>3.448927527683823</v>
      </c>
      <c r="J31" s="51">
        <f t="shared" si="7"/>
        <v>-0.42012198756543345</v>
      </c>
      <c r="K31" s="51">
        <f t="shared" si="8"/>
        <v>0.09152977038171314</v>
      </c>
      <c r="L31" s="51">
        <f t="shared" si="9"/>
        <v>1.16369498272025</v>
      </c>
      <c r="M31" s="51">
        <f t="shared" si="24"/>
        <v>0.0008548285844498447</v>
      </c>
      <c r="N31" s="51">
        <f t="shared" si="25"/>
        <v>0.09392188266860792</v>
      </c>
      <c r="O31" s="51">
        <f t="shared" si="10"/>
        <v>0.06913966908155865</v>
      </c>
      <c r="P31" s="51">
        <f t="shared" si="11"/>
        <v>0</v>
      </c>
      <c r="Q31" s="51">
        <f t="shared" si="12"/>
        <v>0.15</v>
      </c>
      <c r="R31" s="61">
        <f t="shared" si="13"/>
        <v>0.4458340956509569</v>
      </c>
      <c r="S31" s="54">
        <f t="shared" si="14"/>
        <v>6</v>
      </c>
      <c r="T31" s="55">
        <f t="shared" si="15"/>
        <v>6.61072443695586</v>
      </c>
      <c r="U31" s="51">
        <f t="shared" si="16"/>
        <v>4.948927527683823</v>
      </c>
      <c r="V31" s="51">
        <f t="shared" si="17"/>
        <v>3.161796909272037</v>
      </c>
      <c r="W31" s="56">
        <f t="shared" si="18"/>
        <v>-0.6107244369558602</v>
      </c>
      <c r="X31" s="105">
        <f t="shared" si="19"/>
        <v>-14.89476162333478</v>
      </c>
      <c r="Y31" s="26">
        <f t="shared" si="28"/>
        <v>-0.23545586512879035</v>
      </c>
      <c r="Z31" s="24">
        <f t="shared" si="20"/>
        <v>1.0993211590790997</v>
      </c>
      <c r="AA31" s="24">
        <f t="shared" si="21"/>
        <v>1.0993211590790997</v>
      </c>
      <c r="AB31" s="184">
        <f t="shared" si="22"/>
        <v>0.6784158134802464</v>
      </c>
      <c r="AC31" s="155">
        <f t="shared" si="26"/>
        <v>0.8</v>
      </c>
      <c r="AD31" s="157">
        <f t="shared" si="29"/>
        <v>7.9</v>
      </c>
      <c r="AE31" s="156">
        <f t="shared" si="30"/>
        <v>0</v>
      </c>
    </row>
    <row r="32" spans="1:31" s="27" customFormat="1" ht="15" customHeight="1">
      <c r="A32" s="137">
        <f t="shared" si="27"/>
        <v>0.9400000000000003</v>
      </c>
      <c r="B32" s="51">
        <f t="shared" si="0"/>
        <v>-123.18887999377392</v>
      </c>
      <c r="C32" s="147">
        <f t="shared" si="1"/>
        <v>0.06545</v>
      </c>
      <c r="D32" s="168">
        <f t="shared" si="2"/>
        <v>1899.8672621331539</v>
      </c>
      <c r="E32" s="168">
        <f t="shared" si="3"/>
        <v>2340.425531914893</v>
      </c>
      <c r="F32" s="117">
        <f t="shared" si="23"/>
        <v>511.533201832725</v>
      </c>
      <c r="G32" s="117">
        <f t="shared" si="4"/>
        <v>619.8114363072365</v>
      </c>
      <c r="H32" s="52">
        <f t="shared" si="5"/>
        <v>1.2686860955745383</v>
      </c>
      <c r="I32" s="51">
        <f t="shared" si="6"/>
        <v>3.523904213068254</v>
      </c>
      <c r="J32" s="51">
        <f t="shared" si="7"/>
        <v>-0.42925507425163856</v>
      </c>
      <c r="K32" s="51">
        <f t="shared" si="8"/>
        <v>0.09519377173728612</v>
      </c>
      <c r="L32" s="51">
        <f t="shared" si="9"/>
        <v>1.2932069639456856</v>
      </c>
      <c r="M32" s="51">
        <f t="shared" si="24"/>
        <v>0.0008498540367213828</v>
      </c>
      <c r="N32" s="51">
        <f t="shared" si="25"/>
        <v>0.0933633976256129</v>
      </c>
      <c r="O32" s="51">
        <f t="shared" si="10"/>
        <v>0.07907950733343146</v>
      </c>
      <c r="P32" s="51">
        <f t="shared" si="11"/>
        <v>0</v>
      </c>
      <c r="Q32" s="51">
        <f t="shared" si="12"/>
        <v>0.15</v>
      </c>
      <c r="R32" s="61">
        <f t="shared" si="13"/>
        <v>0.4458340956509569</v>
      </c>
      <c r="S32" s="54">
        <f t="shared" si="14"/>
        <v>6</v>
      </c>
      <c r="T32" s="55">
        <f t="shared" si="15"/>
        <v>6.854074273198479</v>
      </c>
      <c r="U32" s="51">
        <f t="shared" si="16"/>
        <v>5.0239042130682545</v>
      </c>
      <c r="V32" s="51">
        <f t="shared" si="17"/>
        <v>3.3301700601302247</v>
      </c>
      <c r="W32" s="56">
        <f t="shared" si="18"/>
        <v>-0.8540742731984787</v>
      </c>
      <c r="X32" s="105">
        <f t="shared" si="19"/>
        <v>-14.969738308719212</v>
      </c>
      <c r="Y32" s="26">
        <f t="shared" si="28"/>
        <v>-0.25261931350672917</v>
      </c>
      <c r="Z32" s="24">
        <f t="shared" si="20"/>
        <v>1.0993211590790997</v>
      </c>
      <c r="AA32" s="24">
        <f t="shared" si="21"/>
        <v>1.0993211590790997</v>
      </c>
      <c r="AB32" s="184">
        <f t="shared" si="22"/>
        <v>0.6738263357278214</v>
      </c>
      <c r="AC32" s="155">
        <f t="shared" si="26"/>
        <v>0.8</v>
      </c>
      <c r="AD32" s="157">
        <f t="shared" si="29"/>
        <v>7.9</v>
      </c>
      <c r="AE32" s="156">
        <f t="shared" si="30"/>
        <v>0</v>
      </c>
    </row>
    <row r="33" spans="1:31" s="27" customFormat="1" ht="15" customHeight="1">
      <c r="A33" s="137">
        <f t="shared" si="27"/>
        <v>0.9600000000000003</v>
      </c>
      <c r="B33" s="51">
        <f t="shared" si="0"/>
        <v>-123.18887999377392</v>
      </c>
      <c r="C33" s="147">
        <f t="shared" si="1"/>
        <v>0.06545</v>
      </c>
      <c r="D33" s="168">
        <f t="shared" si="2"/>
        <v>1860.2866941720465</v>
      </c>
      <c r="E33" s="168">
        <f t="shared" si="3"/>
        <v>2291.666666666666</v>
      </c>
      <c r="F33" s="117">
        <f t="shared" si="23"/>
        <v>515.965384569763</v>
      </c>
      <c r="G33" s="117">
        <f t="shared" si="4"/>
        <v>623.4743603984236</v>
      </c>
      <c r="H33" s="52">
        <f t="shared" si="5"/>
        <v>1.2989107254352596</v>
      </c>
      <c r="I33" s="51">
        <f t="shared" si="6"/>
        <v>3.5988808984526854</v>
      </c>
      <c r="J33" s="51">
        <f t="shared" si="7"/>
        <v>-0.43838816093784366</v>
      </c>
      <c r="K33" s="51">
        <f t="shared" si="8"/>
        <v>0.09890733727557084</v>
      </c>
      <c r="L33" s="51">
        <f t="shared" si="9"/>
        <v>1.438566936707326</v>
      </c>
      <c r="M33" s="51">
        <f t="shared" si="24"/>
        <v>0.0008448611275933955</v>
      </c>
      <c r="N33" s="51">
        <f t="shared" si="25"/>
        <v>0.09280299557254588</v>
      </c>
      <c r="O33" s="51">
        <f t="shared" si="10"/>
        <v>0.09096741215054406</v>
      </c>
      <c r="P33" s="51">
        <f t="shared" si="11"/>
        <v>0</v>
      </c>
      <c r="Q33" s="51">
        <f t="shared" si="12"/>
        <v>0.15</v>
      </c>
      <c r="R33" s="61">
        <f t="shared" si="13"/>
        <v>0.4458340956509569</v>
      </c>
      <c r="S33" s="54">
        <f t="shared" si="14"/>
        <v>6</v>
      </c>
      <c r="T33" s="55">
        <f t="shared" si="15"/>
        <v>7.1159630639693185</v>
      </c>
      <c r="U33" s="51">
        <f t="shared" si="16"/>
        <v>5.098880898452686</v>
      </c>
      <c r="V33" s="51">
        <f t="shared" si="17"/>
        <v>3.517082165516633</v>
      </c>
      <c r="W33" s="56">
        <f t="shared" si="18"/>
        <v>-1.1159630639693185</v>
      </c>
      <c r="X33" s="105">
        <f t="shared" si="19"/>
        <v>-15.044714994103643</v>
      </c>
      <c r="Y33" s="26">
        <f t="shared" si="28"/>
        <v>-0.27295650259171733</v>
      </c>
      <c r="Z33" s="24">
        <f t="shared" si="20"/>
        <v>1.0993211590790997</v>
      </c>
      <c r="AA33" s="24">
        <f t="shared" si="21"/>
        <v>1.0993211590790997</v>
      </c>
      <c r="AB33" s="184">
        <f t="shared" si="22"/>
        <v>0.669153136399443</v>
      </c>
      <c r="AC33" s="155">
        <f t="shared" si="26"/>
        <v>0.8</v>
      </c>
      <c r="AD33" s="157">
        <f t="shared" si="29"/>
        <v>7.9</v>
      </c>
      <c r="AE33" s="156">
        <f t="shared" si="30"/>
        <v>0</v>
      </c>
    </row>
    <row r="34" spans="1:31" s="27" customFormat="1" ht="15" customHeight="1">
      <c r="A34" s="137">
        <f t="shared" si="27"/>
        <v>0.9800000000000003</v>
      </c>
      <c r="B34" s="51">
        <f t="shared" si="0"/>
        <v>-123.18887999377392</v>
      </c>
      <c r="C34" s="147">
        <f t="shared" si="1"/>
        <v>0.06545</v>
      </c>
      <c r="D34" s="168">
        <f t="shared" si="2"/>
        <v>1822.3216595971069</v>
      </c>
      <c r="E34" s="168">
        <f t="shared" si="3"/>
        <v>2244.897959183673</v>
      </c>
      <c r="F34" s="117">
        <f t="shared" si="23"/>
        <v>520.4519329871792</v>
      </c>
      <c r="G34" s="117">
        <f t="shared" si="4"/>
        <v>627.1923266033245</v>
      </c>
      <c r="H34" s="52">
        <f t="shared" si="5"/>
        <v>1.3298822302618298</v>
      </c>
      <c r="I34" s="51">
        <f t="shared" si="6"/>
        <v>3.6738575838371164</v>
      </c>
      <c r="J34" s="51">
        <f t="shared" si="7"/>
        <v>-0.44752124762404877</v>
      </c>
      <c r="K34" s="51">
        <f t="shared" si="8"/>
        <v>0.1026688417392873</v>
      </c>
      <c r="L34" s="51">
        <f t="shared" si="9"/>
        <v>1.6027618225418572</v>
      </c>
      <c r="M34" s="51">
        <f t="shared" si="24"/>
        <v>0.0008398528311156018</v>
      </c>
      <c r="N34" s="51">
        <f t="shared" si="25"/>
        <v>0.0922410117069833</v>
      </c>
      <c r="O34" s="51">
        <f t="shared" si="10"/>
        <v>0.10541053438316937</v>
      </c>
      <c r="P34" s="51">
        <f t="shared" si="11"/>
        <v>0</v>
      </c>
      <c r="Q34" s="51">
        <f t="shared" si="12"/>
        <v>0.15</v>
      </c>
      <c r="R34" s="61">
        <f t="shared" si="13"/>
        <v>0.4458340956509569</v>
      </c>
      <c r="S34" s="54">
        <f t="shared" si="14"/>
        <v>6</v>
      </c>
      <c r="T34" s="55">
        <f t="shared" si="15"/>
        <v>7.399987278381913</v>
      </c>
      <c r="U34" s="51">
        <f t="shared" si="16"/>
        <v>5.173857583837116</v>
      </c>
      <c r="V34" s="51">
        <f t="shared" si="17"/>
        <v>3.726129694544797</v>
      </c>
      <c r="W34" s="56">
        <f t="shared" si="18"/>
        <v>-1.3999872783819134</v>
      </c>
      <c r="X34" s="105">
        <f t="shared" si="19"/>
        <v>-15.119691679488072</v>
      </c>
      <c r="Y34" s="26">
        <f t="shared" si="28"/>
        <v>-0.29750816622368204</v>
      </c>
      <c r="Z34" s="24">
        <f t="shared" si="20"/>
        <v>1.0993211590790997</v>
      </c>
      <c r="AA34" s="24">
        <f t="shared" si="21"/>
        <v>1.0993211590790997</v>
      </c>
      <c r="AB34" s="184">
        <f t="shared" si="22"/>
        <v>0.664398077959823</v>
      </c>
      <c r="AC34" s="155">
        <f t="shared" si="26"/>
        <v>0.8</v>
      </c>
      <c r="AD34" s="157">
        <f t="shared" si="29"/>
        <v>7.9</v>
      </c>
      <c r="AE34" s="156">
        <f t="shared" si="30"/>
        <v>0</v>
      </c>
    </row>
    <row r="35" spans="1:31" s="84" customFormat="1" ht="15" customHeight="1">
      <c r="A35" s="138">
        <f t="shared" si="27"/>
        <v>1.0000000000000002</v>
      </c>
      <c r="B35" s="77">
        <f t="shared" si="0"/>
        <v>-123.18887999377392</v>
      </c>
      <c r="C35" s="148">
        <f t="shared" si="1"/>
        <v>0.06545</v>
      </c>
      <c r="D35" s="169">
        <f t="shared" si="2"/>
        <v>1785.8752264051648</v>
      </c>
      <c r="E35" s="169">
        <f t="shared" si="3"/>
        <v>2199.9999999999995</v>
      </c>
      <c r="F35" s="118">
        <f t="shared" si="23"/>
        <v>524.9914532683775</v>
      </c>
      <c r="G35" s="118">
        <f t="shared" si="4"/>
        <v>630.9643619134467</v>
      </c>
      <c r="H35" s="78">
        <f t="shared" si="5"/>
        <v>1.361602428571778</v>
      </c>
      <c r="I35" s="77">
        <f t="shared" si="6"/>
        <v>3.748834269221547</v>
      </c>
      <c r="J35" s="77">
        <f t="shared" si="7"/>
        <v>-0.45665433431025376</v>
      </c>
      <c r="K35" s="77">
        <f t="shared" si="8"/>
        <v>0.10647664893885005</v>
      </c>
      <c r="L35" s="77">
        <f t="shared" si="9"/>
        <v>1.7897300974664712</v>
      </c>
      <c r="M35" s="77">
        <f t="shared" si="24"/>
        <v>0.000834832017381103</v>
      </c>
      <c r="N35" s="77">
        <f t="shared" si="25"/>
        <v>0.09167776922381857</v>
      </c>
      <c r="O35" s="77">
        <f t="shared" si="10"/>
        <v>0.12330073628211022</v>
      </c>
      <c r="P35" s="77">
        <f t="shared" si="11"/>
        <v>0</v>
      </c>
      <c r="Q35" s="77">
        <f t="shared" si="12"/>
        <v>0.15</v>
      </c>
      <c r="R35" s="79">
        <f t="shared" si="13"/>
        <v>0.4458340956509569</v>
      </c>
      <c r="S35" s="80">
        <f t="shared" si="14"/>
        <v>6</v>
      </c>
      <c r="T35" s="81">
        <f t="shared" si="15"/>
        <v>7.710979396416683</v>
      </c>
      <c r="U35" s="77">
        <f t="shared" si="16"/>
        <v>5.248834269221547</v>
      </c>
      <c r="V35" s="77">
        <f t="shared" si="17"/>
        <v>3.962145127195136</v>
      </c>
      <c r="W35" s="82">
        <f t="shared" si="18"/>
        <v>-1.7109793964166826</v>
      </c>
      <c r="X35" s="111">
        <f t="shared" si="19"/>
        <v>-15.194668364872504</v>
      </c>
      <c r="Y35" s="83"/>
      <c r="Z35" s="77">
        <f t="shared" si="20"/>
        <v>1.0993211590790997</v>
      </c>
      <c r="AA35" s="77">
        <f t="shared" si="21"/>
        <v>1.0993211590790997</v>
      </c>
      <c r="AB35" s="185">
        <f t="shared" si="22"/>
        <v>0.6595630954730833</v>
      </c>
      <c r="AC35" s="164">
        <f t="shared" si="26"/>
        <v>0.8</v>
      </c>
      <c r="AD35" s="158">
        <f>ROUNDUP(E9,0)-0.1</f>
        <v>7.9</v>
      </c>
      <c r="AE35" s="171">
        <f t="shared" si="30"/>
        <v>0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7"/>
      <c r="S36" s="6"/>
      <c r="T36" s="13"/>
      <c r="V36" s="13"/>
      <c r="W36" s="13"/>
      <c r="X36" s="14"/>
      <c r="AE36" s="172">
        <f>SUM(AE15:AE35)</f>
        <v>0.5800969278309243</v>
      </c>
    </row>
    <row r="37" spans="1:31" s="27" customFormat="1" ht="15" customHeight="1">
      <c r="A37" s="85" t="s">
        <v>69</v>
      </c>
      <c r="B37" s="23"/>
      <c r="C37" s="23"/>
      <c r="D37" s="22"/>
      <c r="E37" s="23"/>
      <c r="F37" s="23"/>
      <c r="G37" s="29"/>
      <c r="X37" s="32"/>
      <c r="Y37" s="32"/>
      <c r="AE37" s="145"/>
    </row>
    <row r="38" spans="1:25" s="27" customFormat="1" ht="15" customHeight="1">
      <c r="A38" s="30" t="s">
        <v>128</v>
      </c>
      <c r="B38" s="23"/>
      <c r="C38" s="23"/>
      <c r="D38" s="22"/>
      <c r="E38" s="23"/>
      <c r="F38" s="23"/>
      <c r="G38" s="29"/>
      <c r="K38" s="24"/>
      <c r="L38" s="23"/>
      <c r="M38" s="24"/>
      <c r="N38" s="24"/>
      <c r="O38" s="24"/>
      <c r="P38" s="24"/>
      <c r="Q38" s="24"/>
      <c r="R38" s="62"/>
      <c r="S38" s="25"/>
      <c r="T38" s="24"/>
      <c r="U38" s="31"/>
      <c r="V38" s="24"/>
      <c r="X38" s="32"/>
      <c r="Y38" s="32"/>
    </row>
    <row r="39" spans="1:25" s="27" customFormat="1" ht="15" customHeight="1">
      <c r="A39" s="24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23"/>
      <c r="M39" s="24"/>
      <c r="N39" s="24"/>
      <c r="O39" s="24"/>
      <c r="P39" s="24"/>
      <c r="Q39" s="24"/>
      <c r="R39" s="62"/>
      <c r="S39" s="25"/>
      <c r="T39" s="24"/>
      <c r="U39" s="31"/>
      <c r="V39" s="24"/>
      <c r="X39" s="32"/>
      <c r="Y39" s="32"/>
    </row>
    <row r="40" spans="1:25" s="27" customFormat="1" ht="15" customHeight="1">
      <c r="A40" s="30"/>
      <c r="B40" s="23"/>
      <c r="C40" s="23"/>
      <c r="D40" s="22"/>
      <c r="E40" s="23"/>
      <c r="F40" s="23"/>
      <c r="G40" s="29"/>
      <c r="H40" s="24"/>
      <c r="I40" s="24"/>
      <c r="J40" s="24"/>
      <c r="K40" s="24"/>
      <c r="L40" s="23"/>
      <c r="M40" s="24"/>
      <c r="N40" s="24"/>
      <c r="O40" s="24"/>
      <c r="P40" s="24"/>
      <c r="Q40" s="24"/>
      <c r="R40" s="62"/>
      <c r="S40" s="25"/>
      <c r="T40" s="24"/>
      <c r="U40" s="31"/>
      <c r="V40" s="24"/>
      <c r="X40" s="32"/>
      <c r="Y40" s="32"/>
    </row>
    <row r="41" spans="1:25" s="27" customFormat="1" ht="15" customHeight="1">
      <c r="A41" s="25"/>
      <c r="B41" s="23"/>
      <c r="C41" s="23"/>
      <c r="D41" s="22"/>
      <c r="E41" s="23"/>
      <c r="F41" s="23"/>
      <c r="G41" s="29"/>
      <c r="H41" s="24"/>
      <c r="I41" s="24"/>
      <c r="J41" s="24"/>
      <c r="K41" s="24"/>
      <c r="L41" s="23"/>
      <c r="M41" s="24"/>
      <c r="N41" s="24"/>
      <c r="O41" s="24"/>
      <c r="P41" s="24"/>
      <c r="Q41" s="24"/>
      <c r="R41" s="62"/>
      <c r="S41" s="25"/>
      <c r="T41" s="24"/>
      <c r="U41" s="31"/>
      <c r="V41" s="24"/>
      <c r="X41" s="32"/>
      <c r="Y41" s="32"/>
    </row>
    <row r="42" spans="1:25" s="27" customFormat="1" ht="15" customHeight="1">
      <c r="A42" s="25"/>
      <c r="B42" s="23"/>
      <c r="C42" s="23"/>
      <c r="D42" s="22"/>
      <c r="E42" s="23"/>
      <c r="F42" s="23"/>
      <c r="G42" s="29"/>
      <c r="H42" s="24"/>
      <c r="I42" s="24"/>
      <c r="J42" s="24"/>
      <c r="K42" s="24"/>
      <c r="L42" s="23"/>
      <c r="M42" s="24"/>
      <c r="N42" s="24"/>
      <c r="O42" s="24"/>
      <c r="P42" s="24"/>
      <c r="Q42" s="24"/>
      <c r="R42" s="62"/>
      <c r="S42" s="25"/>
      <c r="T42" s="24"/>
      <c r="U42" s="31"/>
      <c r="V42" s="24"/>
      <c r="X42" s="32"/>
      <c r="Y42" s="32"/>
    </row>
    <row r="43" spans="1:25" s="27" customFormat="1" ht="15" customHeight="1">
      <c r="A43" s="29"/>
      <c r="D43" s="22"/>
      <c r="E43" s="23"/>
      <c r="F43" s="23"/>
      <c r="G43" s="29"/>
      <c r="H43" s="24"/>
      <c r="I43" s="24"/>
      <c r="J43" s="24"/>
      <c r="K43" s="24"/>
      <c r="L43" s="23"/>
      <c r="M43" s="24"/>
      <c r="N43" s="24"/>
      <c r="O43" s="24"/>
      <c r="P43" s="24"/>
      <c r="Q43" s="24"/>
      <c r="R43" s="62"/>
      <c r="S43" s="25"/>
      <c r="T43" s="24"/>
      <c r="U43" s="31"/>
      <c r="V43" s="24"/>
      <c r="X43" s="32"/>
      <c r="Y43" s="32"/>
    </row>
    <row r="44" spans="1:25" s="27" customFormat="1" ht="15" customHeight="1">
      <c r="A44" s="29"/>
      <c r="B44" s="23"/>
      <c r="D44" s="22"/>
      <c r="E44" s="23"/>
      <c r="F44" s="23"/>
      <c r="G44" s="29"/>
      <c r="H44" s="24"/>
      <c r="I44" s="24"/>
      <c r="J44" s="24"/>
      <c r="K44" s="24"/>
      <c r="L44" s="23"/>
      <c r="M44" s="24"/>
      <c r="N44" s="24"/>
      <c r="O44" s="24"/>
      <c r="P44" s="24"/>
      <c r="Q44" s="24"/>
      <c r="R44" s="62"/>
      <c r="S44" s="25"/>
      <c r="T44" s="24"/>
      <c r="U44" s="31"/>
      <c r="V44" s="24"/>
      <c r="X44" s="32"/>
      <c r="Y44" s="32"/>
    </row>
    <row r="45" spans="1:25" s="27" customFormat="1" ht="15" customHeight="1">
      <c r="A45" s="29"/>
      <c r="B45" s="23"/>
      <c r="D45" s="22"/>
      <c r="E45" s="23"/>
      <c r="F45" s="23"/>
      <c r="G45" s="29"/>
      <c r="H45" s="24"/>
      <c r="I45" s="24"/>
      <c r="J45" s="24"/>
      <c r="K45" s="24"/>
      <c r="L45" s="23"/>
      <c r="M45" s="24"/>
      <c r="N45" s="24"/>
      <c r="O45" s="24"/>
      <c r="P45" s="24"/>
      <c r="Q45" s="24"/>
      <c r="R45" s="62"/>
      <c r="S45" s="25"/>
      <c r="T45" s="24"/>
      <c r="U45" s="31"/>
      <c r="V45" s="24"/>
      <c r="X45" s="32"/>
      <c r="Y45" s="32"/>
    </row>
    <row r="46" spans="1:22" ht="15" customHeight="1">
      <c r="A46" s="29"/>
      <c r="B46" s="23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7"/>
      <c r="S46" s="6"/>
      <c r="T46" s="4"/>
      <c r="V46" s="4"/>
    </row>
    <row r="47" spans="1:22" ht="15" customHeight="1">
      <c r="A47" s="2"/>
      <c r="B47" s="23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7"/>
      <c r="S47" s="6"/>
      <c r="T47" s="4"/>
      <c r="V47" s="4"/>
    </row>
    <row r="48" spans="1:22" ht="15" customHeight="1">
      <c r="A48" s="2"/>
      <c r="B48" s="23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3"/>
      <c r="S48" s="6"/>
      <c r="T48" s="4"/>
      <c r="V48" s="4"/>
    </row>
    <row r="49" spans="1:22" ht="15" customHeight="1">
      <c r="A49" s="25"/>
      <c r="B49" s="23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7"/>
      <c r="S49" s="6"/>
      <c r="T49" s="4"/>
      <c r="V49" s="4"/>
    </row>
    <row r="50" spans="1:16" ht="15" customHeight="1">
      <c r="A50" s="15"/>
      <c r="B50" s="16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5"/>
      <c r="B51" s="16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O1:P1"/>
  </mergeCells>
  <printOptions horizontalCentered="1"/>
  <pageMargins left="0.5" right="0.5" top="0.5" bottom="0.5" header="0.3" footer="0.3"/>
  <pageSetup fitToHeight="1" fitToWidth="1" horizontalDpi="600" verticalDpi="600" orientation="landscape" r:id="rId2"/>
  <headerFooter alignWithMargins="0">
    <oddHeader xml:space="preserve">&amp;CBy Agilent Technologies&amp;R </oddHeader>
    <oddFooter>&amp;L&amp;F tab &amp;A page &amp;P of &amp;N&amp;RPrinted &amp;T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showGridLines="0" showOutlineSymbols="0" zoomScale="70" zoomScaleNormal="70" workbookViewId="0" topLeftCell="A1">
      <selection activeCell="N1" sqref="N1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8" customWidth="1"/>
    <col min="19" max="19" width="6.00390625" style="5" customWidth="1"/>
    <col min="20" max="20" width="6.57421875" style="5" customWidth="1"/>
    <col min="21" max="21" width="7.28125" style="7" customWidth="1"/>
    <col min="22" max="22" width="7.421875" style="5" customWidth="1"/>
    <col min="23" max="23" width="7.7109375" style="5" customWidth="1"/>
    <col min="24" max="24" width="11.140625" style="10" customWidth="1"/>
    <col min="25" max="25" width="8.8515625" style="10" customWidth="1"/>
    <col min="26" max="26" width="8.140625" style="5" customWidth="1"/>
    <col min="27" max="27" width="7.57421875" style="5" customWidth="1"/>
    <col min="28" max="28" width="10.00390625" style="188" customWidth="1"/>
    <col min="29" max="32" width="10.00390625" style="5" customWidth="1"/>
    <col min="33" max="16384" width="11.140625" style="5" customWidth="1"/>
  </cols>
  <sheetData>
    <row r="1" spans="1:32" s="145" customFormat="1" ht="15.75">
      <c r="A1" s="140" t="s">
        <v>106</v>
      </c>
      <c r="B1" s="122"/>
      <c r="C1" s="122"/>
      <c r="D1" s="122"/>
      <c r="E1" s="127"/>
      <c r="F1" s="127"/>
      <c r="G1" s="127"/>
      <c r="H1" s="127"/>
      <c r="I1" s="127"/>
      <c r="J1" s="127"/>
      <c r="K1" s="141" t="s">
        <v>76</v>
      </c>
      <c r="L1" s="122" t="s">
        <v>95</v>
      </c>
      <c r="M1" s="127"/>
      <c r="N1" s="150" t="s">
        <v>0</v>
      </c>
      <c r="O1" s="200">
        <v>36587</v>
      </c>
      <c r="P1" s="201"/>
      <c r="Q1" s="142" t="s">
        <v>1</v>
      </c>
      <c r="R1" s="143" t="s">
        <v>127</v>
      </c>
      <c r="S1" s="54"/>
      <c r="T1" s="51"/>
      <c r="U1" s="144"/>
      <c r="V1" s="51"/>
      <c r="W1" s="53"/>
      <c r="X1" s="54"/>
      <c r="Y1" s="54"/>
      <c r="Z1" s="53"/>
      <c r="AA1" s="53"/>
      <c r="AB1" s="186"/>
      <c r="AC1" s="53"/>
      <c r="AD1" s="53"/>
      <c r="AE1" s="53"/>
      <c r="AF1" s="53"/>
    </row>
    <row r="2" spans="1:32" ht="15.75">
      <c r="A2" s="65" t="s">
        <v>2</v>
      </c>
      <c r="B2" s="131" t="s">
        <v>3</v>
      </c>
      <c r="C2" s="76"/>
      <c r="D2" s="68"/>
      <c r="E2" s="76"/>
      <c r="F2" s="76"/>
      <c r="G2" s="65"/>
      <c r="H2" s="64"/>
      <c r="I2" s="68" t="s">
        <v>107</v>
      </c>
      <c r="J2" s="149">
        <v>0.22</v>
      </c>
      <c r="K2" s="64" t="s">
        <v>108</v>
      </c>
      <c r="L2" s="64"/>
      <c r="M2" s="76"/>
      <c r="N2" s="64"/>
      <c r="O2" s="65" t="s">
        <v>114</v>
      </c>
      <c r="P2" s="161">
        <f>1000000/$P$6</f>
        <v>720</v>
      </c>
      <c r="Q2" s="64" t="s">
        <v>101</v>
      </c>
      <c r="R2" s="86"/>
      <c r="S2" s="69"/>
      <c r="T2" s="70"/>
      <c r="U2" s="87"/>
      <c r="V2" s="70"/>
      <c r="W2" s="76"/>
      <c r="X2" s="69"/>
      <c r="Y2" s="6"/>
      <c r="Z2" s="1"/>
      <c r="AA2" s="1"/>
      <c r="AB2" s="187"/>
      <c r="AC2" s="1"/>
      <c r="AD2" s="1"/>
      <c r="AE2" s="1"/>
      <c r="AF2" s="1"/>
    </row>
    <row r="3" spans="1:32" ht="15" customHeight="1">
      <c r="A3" s="76"/>
      <c r="B3" s="76"/>
      <c r="C3" s="76"/>
      <c r="D3" s="68" t="s">
        <v>5</v>
      </c>
      <c r="E3" s="170">
        <v>160</v>
      </c>
      <c r="F3" s="64"/>
      <c r="G3" s="64"/>
      <c r="H3" s="76"/>
      <c r="I3" s="65" t="s">
        <v>111</v>
      </c>
      <c r="J3" s="130">
        <v>0.15</v>
      </c>
      <c r="K3" s="76" t="s">
        <v>108</v>
      </c>
      <c r="L3" s="64"/>
      <c r="M3" s="76"/>
      <c r="N3" s="64"/>
      <c r="O3" s="65" t="s">
        <v>4</v>
      </c>
      <c r="P3" s="51">
        <f>IF($B$4&gt;1000,$E$6/1.5,$E$6/3.5)</f>
        <v>1.0714285714285714</v>
      </c>
      <c r="Q3" s="64"/>
      <c r="R3" s="86"/>
      <c r="S3" s="89"/>
      <c r="T3" s="90"/>
      <c r="U3" s="87"/>
      <c r="V3" s="70"/>
      <c r="W3" s="76"/>
      <c r="X3" s="69"/>
      <c r="Y3" s="6"/>
      <c r="Z3" s="1"/>
      <c r="AA3" s="1"/>
      <c r="AB3" s="187"/>
      <c r="AC3" s="1"/>
      <c r="AD3" s="1"/>
      <c r="AE3" s="1"/>
      <c r="AF3" s="1"/>
    </row>
    <row r="4" spans="1:32" ht="15" customHeight="1">
      <c r="A4" s="65" t="s">
        <v>55</v>
      </c>
      <c r="B4" s="91">
        <v>830</v>
      </c>
      <c r="C4" s="76"/>
      <c r="D4" s="68" t="s">
        <v>9</v>
      </c>
      <c r="E4" s="88">
        <v>0.11</v>
      </c>
      <c r="F4" s="64"/>
      <c r="G4" s="64"/>
      <c r="H4" s="76"/>
      <c r="I4" s="65" t="s">
        <v>112</v>
      </c>
      <c r="J4" s="177">
        <f>10^(INT(LOG10(J3/9)))</f>
        <v>0.01</v>
      </c>
      <c r="K4" s="64" t="s">
        <v>108</v>
      </c>
      <c r="L4" s="64"/>
      <c r="M4" s="64"/>
      <c r="N4" s="64"/>
      <c r="O4" s="65" t="s">
        <v>6</v>
      </c>
      <c r="P4" s="161">
        <f>B7*1.518</f>
        <v>394.68</v>
      </c>
      <c r="Q4" s="76" t="s">
        <v>101</v>
      </c>
      <c r="R4" s="92" t="s">
        <v>7</v>
      </c>
      <c r="S4" s="90"/>
      <c r="T4" s="90"/>
      <c r="U4" s="87"/>
      <c r="V4" s="70"/>
      <c r="W4" s="76"/>
      <c r="X4" s="69"/>
      <c r="Y4" s="6"/>
      <c r="Z4" s="1"/>
      <c r="AA4" s="1"/>
      <c r="AB4" s="187"/>
      <c r="AC4" s="1"/>
      <c r="AD4" s="1"/>
      <c r="AE4" s="1"/>
      <c r="AF4" s="1"/>
    </row>
    <row r="5" spans="1:32" ht="15" customHeight="1">
      <c r="A5" s="65" t="s">
        <v>8</v>
      </c>
      <c r="B5" s="93">
        <v>0.85</v>
      </c>
      <c r="C5" s="76"/>
      <c r="D5" s="68" t="s">
        <v>56</v>
      </c>
      <c r="E5" s="88">
        <v>1365</v>
      </c>
      <c r="F5" s="64"/>
      <c r="G5" s="64"/>
      <c r="H5" s="76"/>
      <c r="I5" s="65" t="s">
        <v>12</v>
      </c>
      <c r="J5" s="94">
        <v>480</v>
      </c>
      <c r="K5" s="64" t="s">
        <v>105</v>
      </c>
      <c r="L5" s="76"/>
      <c r="M5" s="70"/>
      <c r="N5" s="64"/>
      <c r="O5" s="65" t="s">
        <v>10</v>
      </c>
      <c r="P5" s="103">
        <v>0.55</v>
      </c>
      <c r="Q5" s="64"/>
      <c r="R5" s="92" t="s">
        <v>11</v>
      </c>
      <c r="S5" s="90"/>
      <c r="T5" s="86"/>
      <c r="U5" s="87"/>
      <c r="V5" s="70"/>
      <c r="W5" s="76"/>
      <c r="X5" s="69"/>
      <c r="Y5" s="6"/>
      <c r="Z5" s="1"/>
      <c r="AA5" s="1"/>
      <c r="AB5" s="187"/>
      <c r="AC5" s="1"/>
      <c r="AD5" s="1"/>
      <c r="AE5" s="1"/>
      <c r="AF5" s="1"/>
    </row>
    <row r="6" spans="1:32" ht="15" customHeight="1">
      <c r="A6" s="65" t="s">
        <v>74</v>
      </c>
      <c r="B6" s="88">
        <v>9</v>
      </c>
      <c r="C6" s="76" t="s">
        <v>63</v>
      </c>
      <c r="D6" s="68" t="s">
        <v>97</v>
      </c>
      <c r="E6" s="88">
        <v>3.75</v>
      </c>
      <c r="F6" s="64" t="str">
        <f>"dB/km at "&amp;IF(B4&lt;1000,850,1300)&amp;" nm"</f>
        <v>dB/km at 850 nm</v>
      </c>
      <c r="G6" s="64"/>
      <c r="H6" s="76"/>
      <c r="I6" s="65" t="s">
        <v>15</v>
      </c>
      <c r="J6" s="93">
        <v>7.037</v>
      </c>
      <c r="K6" s="64"/>
      <c r="L6" s="64"/>
      <c r="M6" s="70"/>
      <c r="N6" s="64"/>
      <c r="O6" s="68" t="s">
        <v>13</v>
      </c>
      <c r="P6" s="95">
        <f>(P7)</f>
        <v>1388.888888888889</v>
      </c>
      <c r="Q6" s="69"/>
      <c r="R6" s="90"/>
      <c r="S6" s="86"/>
      <c r="T6" s="86"/>
      <c r="U6" s="87"/>
      <c r="V6" s="70"/>
      <c r="W6" s="76"/>
      <c r="X6" s="69"/>
      <c r="AA6" s="1"/>
      <c r="AB6" s="187"/>
      <c r="AC6" s="1"/>
      <c r="AD6" s="1"/>
      <c r="AE6" s="1"/>
      <c r="AF6" s="1"/>
    </row>
    <row r="7" spans="1:32" ht="15" customHeight="1">
      <c r="A7" s="65" t="s">
        <v>14</v>
      </c>
      <c r="B7" s="88">
        <v>260</v>
      </c>
      <c r="C7" s="76" t="s">
        <v>101</v>
      </c>
      <c r="D7" s="65" t="s">
        <v>98</v>
      </c>
      <c r="E7" s="176">
        <v>1250</v>
      </c>
      <c r="F7" s="76" t="s">
        <v>103</v>
      </c>
      <c r="G7" s="70"/>
      <c r="H7" s="70"/>
      <c r="I7" s="68" t="s">
        <v>102</v>
      </c>
      <c r="J7" s="174">
        <f>2.5*10^5/$E$7</f>
        <v>200</v>
      </c>
      <c r="K7" s="70" t="s">
        <v>101</v>
      </c>
      <c r="L7" s="64"/>
      <c r="M7" s="70"/>
      <c r="N7" s="64"/>
      <c r="O7" s="68" t="s">
        <v>16</v>
      </c>
      <c r="P7" s="96">
        <f>1/((1/$E$7)-$J$8*10^-6)</f>
        <v>1388.888888888889</v>
      </c>
      <c r="Q7" s="69"/>
      <c r="R7" s="90"/>
      <c r="S7" s="98" t="s">
        <v>33</v>
      </c>
      <c r="T7" s="128">
        <f>AE36</f>
        <v>0.8207714725163351</v>
      </c>
      <c r="U7" s="99" t="str">
        <f>"dB at target "&amp;J2&amp;" km"</f>
        <v>dB at target 0.22 km</v>
      </c>
      <c r="V7" s="70"/>
      <c r="W7" s="76"/>
      <c r="X7" s="132"/>
      <c r="AA7" s="1"/>
      <c r="AB7" s="187"/>
      <c r="AC7" s="1"/>
      <c r="AD7" s="1"/>
      <c r="AE7" s="1"/>
      <c r="AF7" s="1"/>
    </row>
    <row r="8" spans="1:32" ht="15" customHeight="1">
      <c r="A8" s="65" t="s">
        <v>86</v>
      </c>
      <c r="B8" s="88">
        <v>-117</v>
      </c>
      <c r="C8" s="114" t="s">
        <v>85</v>
      </c>
      <c r="D8" s="68" t="s">
        <v>99</v>
      </c>
      <c r="E8" s="170">
        <v>1000</v>
      </c>
      <c r="F8" s="76" t="s">
        <v>104</v>
      </c>
      <c r="G8" s="70"/>
      <c r="H8" s="64"/>
      <c r="I8" s="68" t="s">
        <v>19</v>
      </c>
      <c r="J8" s="88">
        <v>80</v>
      </c>
      <c r="K8" s="64"/>
      <c r="L8" s="64"/>
      <c r="M8" s="64"/>
      <c r="N8" s="64"/>
      <c r="O8" s="65" t="s">
        <v>17</v>
      </c>
      <c r="P8" s="66">
        <f>(10^-6)*$J$7*$P$7</f>
        <v>0.27777777777777773</v>
      </c>
      <c r="Q8" s="69"/>
      <c r="R8" s="90"/>
      <c r="S8" s="68" t="s">
        <v>117</v>
      </c>
      <c r="T8" s="53">
        <f>$P$3*((1/(0.00094*$B$4)^4)+1.05)</f>
        <v>4.016608145594513</v>
      </c>
      <c r="U8" s="64" t="str">
        <f>"dB/km at "&amp;B4&amp;" nm"</f>
        <v>dB/km at 830 nm</v>
      </c>
      <c r="V8" s="70"/>
      <c r="W8" s="76"/>
      <c r="X8" s="69"/>
      <c r="Y8" s="6"/>
      <c r="Z8" s="1"/>
      <c r="AA8" s="1"/>
      <c r="AB8" s="187"/>
      <c r="AC8" s="1"/>
      <c r="AD8" s="1"/>
      <c r="AE8" s="1"/>
      <c r="AF8" s="1"/>
    </row>
    <row r="9" spans="1:32" ht="15" customHeight="1">
      <c r="A9" s="65" t="s">
        <v>18</v>
      </c>
      <c r="B9" s="88">
        <v>0.8</v>
      </c>
      <c r="C9" s="76"/>
      <c r="D9" s="68" t="s">
        <v>67</v>
      </c>
      <c r="E9" s="88">
        <v>7.5</v>
      </c>
      <c r="F9" s="76"/>
      <c r="G9" s="76"/>
      <c r="H9" s="64"/>
      <c r="I9" s="68" t="s">
        <v>22</v>
      </c>
      <c r="J9" s="139">
        <v>-9.5</v>
      </c>
      <c r="K9" s="70"/>
      <c r="L9" s="64"/>
      <c r="M9" s="70"/>
      <c r="N9" s="64"/>
      <c r="O9" s="65" t="s">
        <v>20</v>
      </c>
      <c r="P9" s="97">
        <f>(P8)</f>
        <v>0.27777777777777773</v>
      </c>
      <c r="Q9" s="69"/>
      <c r="R9" s="90"/>
      <c r="S9" s="98" t="s">
        <v>73</v>
      </c>
      <c r="T9" s="160">
        <f>350000/$E$8</f>
        <v>350</v>
      </c>
      <c r="U9" s="99" t="s">
        <v>101</v>
      </c>
      <c r="V9" s="70"/>
      <c r="W9" s="33"/>
      <c r="X9" s="43"/>
      <c r="Y9" s="69"/>
      <c r="Z9" s="76"/>
      <c r="AA9" s="76"/>
      <c r="AB9" s="179"/>
      <c r="AC9" s="1"/>
      <c r="AD9" s="1"/>
      <c r="AE9" s="1"/>
      <c r="AF9" s="1"/>
    </row>
    <row r="10" spans="1:32" ht="15" customHeight="1">
      <c r="A10" s="65" t="s">
        <v>21</v>
      </c>
      <c r="B10" s="88">
        <v>0.15</v>
      </c>
      <c r="C10" s="76"/>
      <c r="D10" s="68" t="s">
        <v>68</v>
      </c>
      <c r="E10" s="88">
        <v>1.5</v>
      </c>
      <c r="F10" s="76"/>
      <c r="G10" s="65"/>
      <c r="H10" s="64"/>
      <c r="I10" s="65" t="s">
        <v>26</v>
      </c>
      <c r="J10" s="129">
        <v>9</v>
      </c>
      <c r="K10" s="64"/>
      <c r="L10" s="64"/>
      <c r="M10" s="70"/>
      <c r="N10" s="64"/>
      <c r="O10" s="65" t="s">
        <v>23</v>
      </c>
      <c r="P10" s="51">
        <f>T35-S35</f>
        <v>5.483621290766635</v>
      </c>
      <c r="Q10" s="70" t="s">
        <v>24</v>
      </c>
      <c r="R10" s="90"/>
      <c r="S10" s="98" t="s">
        <v>100</v>
      </c>
      <c r="T10" s="128">
        <f>(1-1.425*EXP(-1.28*($P$2/$T$9)^2))*((2*SIN(3.1416*$P$9))/(3.1416*$P$9*(1-$P$9^2))-1)</f>
        <v>0.8967246580471736</v>
      </c>
      <c r="U10" s="99" t="s">
        <v>77</v>
      </c>
      <c r="V10" s="112"/>
      <c r="W10" s="76"/>
      <c r="X10" s="115" t="s">
        <v>25</v>
      </c>
      <c r="Y10" s="69"/>
      <c r="Z10" s="64"/>
      <c r="AA10" s="76"/>
      <c r="AB10" s="179"/>
      <c r="AC10" s="1"/>
      <c r="AD10" s="1"/>
      <c r="AE10" s="1"/>
      <c r="AF10" s="1"/>
    </row>
    <row r="11" spans="1:32" ht="15" customHeight="1">
      <c r="A11" s="33"/>
      <c r="B11" s="33"/>
      <c r="C11" s="33"/>
      <c r="D11" s="34"/>
      <c r="E11" s="34"/>
      <c r="F11" s="34"/>
      <c r="G11" s="34"/>
      <c r="H11" s="34"/>
      <c r="I11" s="35" t="s">
        <v>75</v>
      </c>
      <c r="J11" s="36">
        <v>0</v>
      </c>
      <c r="K11" s="37" t="s">
        <v>66</v>
      </c>
      <c r="L11" s="38"/>
      <c r="M11" s="38"/>
      <c r="N11" s="34"/>
      <c r="O11" s="39" t="s">
        <v>62</v>
      </c>
      <c r="P11" s="40">
        <f>10*LOG10(1/SQRT(1-($J$6*J11)^2))</f>
        <v>0</v>
      </c>
      <c r="Q11" s="37" t="s">
        <v>63</v>
      </c>
      <c r="R11" s="59"/>
      <c r="S11" s="39" t="s">
        <v>61</v>
      </c>
      <c r="T11" s="41">
        <f>10*LOG10(1/SQRT(1-($J$6*$J$11/$T$10)^2))</f>
        <v>0</v>
      </c>
      <c r="U11" s="42" t="s">
        <v>63</v>
      </c>
      <c r="V11" s="113"/>
      <c r="W11" s="76"/>
      <c r="X11" s="100" t="s">
        <v>27</v>
      </c>
      <c r="Y11" s="6" t="s">
        <v>28</v>
      </c>
      <c r="Z11" s="12" t="s">
        <v>34</v>
      </c>
      <c r="AA11" s="12" t="s">
        <v>29</v>
      </c>
      <c r="AB11" s="180" t="s">
        <v>78</v>
      </c>
      <c r="AC11" s="1"/>
      <c r="AD11" s="1"/>
      <c r="AE11" s="1"/>
      <c r="AF11" s="1"/>
    </row>
    <row r="12" spans="1:32" ht="15" customHeight="1">
      <c r="A12" s="133" t="s">
        <v>88</v>
      </c>
      <c r="B12" s="69" t="s">
        <v>57</v>
      </c>
      <c r="C12" s="69" t="s">
        <v>36</v>
      </c>
      <c r="D12" s="75" t="s">
        <v>80</v>
      </c>
      <c r="E12" s="75" t="s">
        <v>81</v>
      </c>
      <c r="F12" s="76" t="s">
        <v>82</v>
      </c>
      <c r="G12" s="76" t="s">
        <v>83</v>
      </c>
      <c r="H12" s="67" t="s">
        <v>37</v>
      </c>
      <c r="I12" s="68" t="s">
        <v>38</v>
      </c>
      <c r="J12" s="69" t="s">
        <v>39</v>
      </c>
      <c r="K12" s="70" t="s">
        <v>40</v>
      </c>
      <c r="L12" s="68" t="s">
        <v>41</v>
      </c>
      <c r="M12" s="68" t="s">
        <v>42</v>
      </c>
      <c r="N12" s="68" t="s">
        <v>43</v>
      </c>
      <c r="O12" s="71" t="s">
        <v>79</v>
      </c>
      <c r="P12" s="68" t="s">
        <v>44</v>
      </c>
      <c r="Q12" s="68" t="s">
        <v>45</v>
      </c>
      <c r="R12" s="72" t="s">
        <v>46</v>
      </c>
      <c r="S12" s="69" t="s">
        <v>47</v>
      </c>
      <c r="T12" s="73" t="s">
        <v>48</v>
      </c>
      <c r="U12" s="71" t="s">
        <v>49</v>
      </c>
      <c r="V12" s="70" t="s">
        <v>50</v>
      </c>
      <c r="W12" s="74" t="s">
        <v>33</v>
      </c>
      <c r="X12" s="101" t="s">
        <v>32</v>
      </c>
      <c r="Y12" s="6" t="s">
        <v>33</v>
      </c>
      <c r="Z12" s="10" t="s">
        <v>89</v>
      </c>
      <c r="AA12" s="6" t="s">
        <v>35</v>
      </c>
      <c r="AB12" s="180" t="s">
        <v>65</v>
      </c>
      <c r="AC12" s="1"/>
      <c r="AD12" s="1"/>
      <c r="AE12" s="173" t="s">
        <v>118</v>
      </c>
      <c r="AF12" s="1"/>
    </row>
    <row r="13" spans="1:32" s="34" customFormat="1" ht="15" customHeight="1">
      <c r="A13" s="134" t="s">
        <v>87</v>
      </c>
      <c r="B13" s="44" t="s">
        <v>58</v>
      </c>
      <c r="C13" s="44" t="s">
        <v>58</v>
      </c>
      <c r="D13" s="45" t="s">
        <v>84</v>
      </c>
      <c r="E13" s="45" t="s">
        <v>84</v>
      </c>
      <c r="F13" s="33" t="s">
        <v>113</v>
      </c>
      <c r="G13" s="33" t="s">
        <v>113</v>
      </c>
      <c r="H13" s="46" t="s">
        <v>30</v>
      </c>
      <c r="I13" s="47" t="s">
        <v>30</v>
      </c>
      <c r="J13" s="33"/>
      <c r="K13" s="48"/>
      <c r="L13" s="47" t="s">
        <v>30</v>
      </c>
      <c r="M13" s="47"/>
      <c r="N13" s="47" t="s">
        <v>30</v>
      </c>
      <c r="O13" s="47" t="s">
        <v>30</v>
      </c>
      <c r="P13" s="47" t="s">
        <v>30</v>
      </c>
      <c r="Q13" s="47" t="s">
        <v>30</v>
      </c>
      <c r="R13" s="60" t="s">
        <v>30</v>
      </c>
      <c r="S13" s="44" t="s">
        <v>30</v>
      </c>
      <c r="T13" s="48" t="s">
        <v>30</v>
      </c>
      <c r="U13" s="49" t="s">
        <v>30</v>
      </c>
      <c r="V13" s="49" t="s">
        <v>31</v>
      </c>
      <c r="W13" s="50" t="s">
        <v>30</v>
      </c>
      <c r="X13" s="102" t="s">
        <v>51</v>
      </c>
      <c r="Y13" s="44" t="s">
        <v>52</v>
      </c>
      <c r="Z13" s="44" t="s">
        <v>30</v>
      </c>
      <c r="AA13" s="44" t="s">
        <v>53</v>
      </c>
      <c r="AB13" s="181" t="s">
        <v>64</v>
      </c>
      <c r="AC13" s="151" t="s">
        <v>110</v>
      </c>
      <c r="AD13" s="152" t="s">
        <v>109</v>
      </c>
      <c r="AE13" s="152" t="s">
        <v>119</v>
      </c>
      <c r="AF13" s="33"/>
    </row>
    <row r="14" spans="1:32" s="127" customFormat="1" ht="15" customHeight="1">
      <c r="A14" s="135">
        <v>0.002</v>
      </c>
      <c r="B14" s="119">
        <f aca="true" t="shared" si="0" ref="B14:B35">0.25*$E$4*$B$4*(1-($E$5/$B$4)^4)</f>
        <v>-144.14137649542138</v>
      </c>
      <c r="C14" s="142">
        <f aca="true" t="shared" si="1" ref="C14:C35">0.7*$E$4*$B$5</f>
        <v>0.06545</v>
      </c>
      <c r="D14" s="120">
        <f>(0.187/(A14*$B$5))*(10^6/SQRT(B14^2+C14^2))</f>
        <v>763139.5740397625</v>
      </c>
      <c r="E14" s="120">
        <f>$E$3/A14</f>
        <v>80000</v>
      </c>
      <c r="F14" s="165">
        <f>SQRT(($J$5/D14)^2+($J$5/E14)^2+$P$4^2)</f>
        <v>394.68000004610775</v>
      </c>
      <c r="G14" s="165">
        <f>SQRT(F14^2+(350000/$E$8)^2)</f>
        <v>527.5152153600839</v>
      </c>
      <c r="H14" s="121">
        <f aca="true" t="shared" si="2" ref="H14:H35">-10*LOG10(1-1.425*EXP(-1.28*($P$2/G14)^2))</f>
        <v>0.6112363339573644</v>
      </c>
      <c r="I14" s="119">
        <f aca="true" t="shared" si="3" ref="I14:I35">A14*$P$3*((1/(0.00094*$B$4)^4)+1.05)</f>
        <v>0.008033216291189027</v>
      </c>
      <c r="J14" s="122">
        <f aca="true" t="shared" si="4" ref="J14:J35">(10^-6)*3.14*$P$6*B14*A14*$B$5</f>
        <v>-0.0010686481496285547</v>
      </c>
      <c r="K14" s="119">
        <f aca="true" t="shared" si="5" ref="K14:K35">($B$9/SQRT(2))*(1-EXP(-1*J14^2))</f>
        <v>6.460174027710952E-07</v>
      </c>
      <c r="L14" s="119">
        <f aca="true" t="shared" si="6" ref="L14:L35">10*LOG10(1/SQRT(1-($J$6*K14)^2))</f>
        <v>4.4875942983291916E-11</v>
      </c>
      <c r="M14" s="119"/>
      <c r="N14" s="119"/>
      <c r="O14" s="119">
        <f aca="true" t="shared" si="7" ref="O14:O35">10*LOG10(1/SQRT(1-($J$6*$J$6*((($J$11/AB14)^2)+M14+(K14*K14)))))-$T$11-L14-N14</f>
        <v>0</v>
      </c>
      <c r="P14" s="119">
        <f aca="true" t="shared" si="8" ref="P14:P35">Z14-AA14</f>
        <v>0</v>
      </c>
      <c r="Q14" s="119">
        <f aca="true" t="shared" si="9" ref="Q14:Q35">$B$10</f>
        <v>0.15</v>
      </c>
      <c r="R14" s="123">
        <f aca="true" t="shared" si="10" ref="R14:R35">-10*LOG10((2*SIN(3.1416*$P$9))/(3.1416*$P$9*(1-$P$9^2))-1)</f>
        <v>0.4458340956509569</v>
      </c>
      <c r="S14" s="124">
        <f aca="true" t="shared" si="11" ref="S14:S35">$E$9-$E$10</f>
        <v>6</v>
      </c>
      <c r="T14" s="178">
        <f aca="true" t="shared" si="12" ref="T14:T35">H14+I14+L14+N14+O14+P14+Q14+R14</f>
        <v>1.2151036459443865</v>
      </c>
      <c r="U14" s="119">
        <f aca="true" t="shared" si="13" ref="U14:U35">$E$10+I14</f>
        <v>1.5080332162911891</v>
      </c>
      <c r="V14" s="119">
        <f aca="true" t="shared" si="14" ref="V14:V35">T14-I14</f>
        <v>1.2070704296531973</v>
      </c>
      <c r="W14" s="125">
        <f aca="true" t="shared" si="15" ref="W14:W35">S14-T14</f>
        <v>4.784896354055613</v>
      </c>
      <c r="X14" s="126">
        <f aca="true" t="shared" si="16" ref="X14:X35">$J$9-U14-R14-P14</f>
        <v>-11.453867311942146</v>
      </c>
      <c r="Y14" s="124"/>
      <c r="Z14" s="119">
        <f aca="true" t="shared" si="17" ref="Z14:Z35">10*LOG10((1+10^(-($B$6/10)))/(1-10^(-($B$6/10))))</f>
        <v>1.0993211590790997</v>
      </c>
      <c r="AA14" s="119">
        <f aca="true" t="shared" si="18" ref="AA14:AA35">10*LOG10((1+10^(-($J$10/10)))/(1-10^(-($J$10/10))))</f>
        <v>1.0993211590790997</v>
      </c>
      <c r="AB14" s="182">
        <f aca="true" t="shared" si="19" ref="AB14:AB35">10^(-(H14+R14)/10)</f>
        <v>0.7839582901814862</v>
      </c>
      <c r="AC14" s="153"/>
      <c r="AD14" s="154"/>
      <c r="AE14" s="122"/>
      <c r="AF14" s="122"/>
    </row>
    <row r="15" spans="1:32" s="21" customFormat="1" ht="15" customHeight="1">
      <c r="A15" s="136">
        <f>$J$3</f>
        <v>0.15</v>
      </c>
      <c r="B15" s="103">
        <f t="shared" si="0"/>
        <v>-144.14137649542138</v>
      </c>
      <c r="C15" s="146">
        <f t="shared" si="1"/>
        <v>0.06545</v>
      </c>
      <c r="D15" s="167">
        <f>(0.187/(A15*$B$5))*(10^6/SQRT(B15^2+C15^2))</f>
        <v>10175.194320530167</v>
      </c>
      <c r="E15" s="167">
        <f>$E$3/A15</f>
        <v>1066.6666666666667</v>
      </c>
      <c r="F15" s="116">
        <f>SQRT((1000*$J$5/D15)^2+(1000*$J$5/E15)^2+$P$4^2)</f>
        <v>600.414561671261</v>
      </c>
      <c r="G15" s="116">
        <f>SQRT(F15^2+(350000/$E$8)^2)</f>
        <v>694.9803204889276</v>
      </c>
      <c r="H15" s="159">
        <f>-10*LOG10(1-1.425*EXP(-1.28*($P$2/G15)^2))</f>
        <v>1.9431003361827681</v>
      </c>
      <c r="I15" s="103">
        <f t="shared" si="3"/>
        <v>0.6024912218391769</v>
      </c>
      <c r="J15" s="103">
        <f t="shared" si="4"/>
        <v>-0.08014861122214159</v>
      </c>
      <c r="K15" s="103">
        <f t="shared" si="5"/>
        <v>0.0036222033547363476</v>
      </c>
      <c r="L15" s="103">
        <f t="shared" si="6"/>
        <v>0.001411289778034872</v>
      </c>
      <c r="M15" s="103">
        <f>$P$5*10^9*($J$5/G15)*10^($B$8/10)</f>
        <v>0.0007579340531271566</v>
      </c>
      <c r="N15" s="103">
        <f aca="true" t="shared" si="20" ref="N15:N35">10*LOG10(1/SQRT(1-($J$6^2)*M15))</f>
        <v>0.08306944338642472</v>
      </c>
      <c r="O15" s="103">
        <f t="shared" si="7"/>
        <v>5.5053286304979077E-05</v>
      </c>
      <c r="P15" s="103">
        <f t="shared" si="8"/>
        <v>0</v>
      </c>
      <c r="Q15" s="103">
        <f t="shared" si="9"/>
        <v>0.15</v>
      </c>
      <c r="R15" s="107">
        <f t="shared" si="10"/>
        <v>0.4458340956509569</v>
      </c>
      <c r="S15" s="108">
        <f t="shared" si="11"/>
        <v>6</v>
      </c>
      <c r="T15" s="104">
        <f t="shared" si="12"/>
        <v>3.2259614401236663</v>
      </c>
      <c r="U15" s="103">
        <f t="shared" si="13"/>
        <v>2.102491221839177</v>
      </c>
      <c r="V15" s="103">
        <f t="shared" si="14"/>
        <v>2.6234702182844893</v>
      </c>
      <c r="W15" s="109">
        <f t="shared" si="15"/>
        <v>2.7740385598763337</v>
      </c>
      <c r="X15" s="110">
        <f t="shared" si="16"/>
        <v>-12.048325317490134</v>
      </c>
      <c r="Y15" s="20"/>
      <c r="Z15" s="19">
        <f t="shared" si="17"/>
        <v>1.0993211590790997</v>
      </c>
      <c r="AA15" s="19">
        <f t="shared" si="18"/>
        <v>1.0993211590790997</v>
      </c>
      <c r="AB15" s="183">
        <f t="shared" si="19"/>
        <v>0.5769079939459466</v>
      </c>
      <c r="AC15" s="155">
        <f>$J$2</f>
        <v>0.22</v>
      </c>
      <c r="AD15" s="156">
        <v>0</v>
      </c>
      <c r="AE15" s="156">
        <f>IF(A15=$J$2,W15,0)</f>
        <v>0</v>
      </c>
      <c r="AF15" s="18"/>
    </row>
    <row r="16" spans="1:32" s="27" customFormat="1" ht="15" customHeight="1">
      <c r="A16" s="137">
        <f aca="true" t="shared" si="21" ref="A16:A35">A15+$J$4</f>
        <v>0.16</v>
      </c>
      <c r="B16" s="51">
        <f t="shared" si="0"/>
        <v>-144.14137649542138</v>
      </c>
      <c r="C16" s="147">
        <f t="shared" si="1"/>
        <v>0.06545</v>
      </c>
      <c r="D16" s="168">
        <f>(0.187/(A16*$B$5))*(10^6/SQRT(B16^2+C16^2))</f>
        <v>9539.244675497031</v>
      </c>
      <c r="E16" s="168">
        <f>$E$3/A16</f>
        <v>1000</v>
      </c>
      <c r="F16" s="117">
        <f>SQRT((1000*$J$5/D16)^2+(1000*$J$5/E16)^2+$P$4^2)</f>
        <v>623.4615054231923</v>
      </c>
      <c r="G16" s="117">
        <f>SQRT(F16^2+(350000/$E$8)^2)</f>
        <v>714.9854884852931</v>
      </c>
      <c r="H16" s="52">
        <f t="shared" si="2"/>
        <v>2.1405016078296475</v>
      </c>
      <c r="I16" s="51">
        <f t="shared" si="3"/>
        <v>0.6426573032951222</v>
      </c>
      <c r="J16" s="51">
        <f t="shared" si="4"/>
        <v>-0.08549185197028437</v>
      </c>
      <c r="K16" s="51">
        <f t="shared" si="5"/>
        <v>0.004119441197428569</v>
      </c>
      <c r="L16" s="51">
        <f t="shared" si="6"/>
        <v>0.0018255283155149912</v>
      </c>
      <c r="M16" s="51">
        <f aca="true" t="shared" si="22" ref="M16:M35">$P$5*10^9*($J$5/G16)*10^($B$8/10)</f>
        <v>0.000736727191859109</v>
      </c>
      <c r="N16" s="51">
        <f t="shared" si="20"/>
        <v>0.08070143694449002</v>
      </c>
      <c r="O16" s="51">
        <f t="shared" si="7"/>
        <v>6.915126725283438E-05</v>
      </c>
      <c r="P16" s="51">
        <f t="shared" si="8"/>
        <v>0</v>
      </c>
      <c r="Q16" s="51">
        <f t="shared" si="9"/>
        <v>0.15</v>
      </c>
      <c r="R16" s="61">
        <f t="shared" si="10"/>
        <v>0.4458340956509569</v>
      </c>
      <c r="S16" s="54">
        <f t="shared" si="11"/>
        <v>6</v>
      </c>
      <c r="T16" s="55">
        <f t="shared" si="12"/>
        <v>3.4615891233029843</v>
      </c>
      <c r="U16" s="51">
        <f t="shared" si="13"/>
        <v>2.142657303295122</v>
      </c>
      <c r="V16" s="51">
        <f t="shared" si="14"/>
        <v>2.818931820007862</v>
      </c>
      <c r="W16" s="56">
        <f t="shared" si="15"/>
        <v>2.5384108766970157</v>
      </c>
      <c r="X16" s="105">
        <f t="shared" si="16"/>
        <v>-12.08849139894608</v>
      </c>
      <c r="Y16" s="26">
        <f aca="true" t="shared" si="23" ref="Y16:Y34">(W17-W15)/2</f>
        <v>-0.2428188070458659</v>
      </c>
      <c r="Z16" s="24">
        <f t="shared" si="17"/>
        <v>1.0993211590790997</v>
      </c>
      <c r="AA16" s="24">
        <f t="shared" si="18"/>
        <v>1.0993211590790997</v>
      </c>
      <c r="AB16" s="184">
        <f t="shared" si="19"/>
        <v>0.5512726284995638</v>
      </c>
      <c r="AC16" s="155">
        <f aca="true" t="shared" si="24" ref="AC16:AC35">$J$2</f>
        <v>0.22</v>
      </c>
      <c r="AD16" s="157">
        <f aca="true" t="shared" si="25" ref="AD16:AD33">AD17</f>
        <v>7.9</v>
      </c>
      <c r="AE16" s="156">
        <f aca="true" t="shared" si="26" ref="AE16:AE35">IF(A16=$J$2,W16,0)</f>
        <v>0</v>
      </c>
      <c r="AF16" s="23"/>
    </row>
    <row r="17" spans="1:32" s="27" customFormat="1" ht="15" customHeight="1">
      <c r="A17" s="137">
        <f t="shared" si="21"/>
        <v>0.17</v>
      </c>
      <c r="B17" s="51">
        <f t="shared" si="0"/>
        <v>-144.14137649542138</v>
      </c>
      <c r="C17" s="147">
        <f t="shared" si="1"/>
        <v>0.06545</v>
      </c>
      <c r="D17" s="168">
        <f>(0.187/(A17*$B$5))*(10^6/SQRT(B17^2+C17^2))</f>
        <v>8978.11263576191</v>
      </c>
      <c r="E17" s="168">
        <f>$E$3/A17</f>
        <v>941.1764705882352</v>
      </c>
      <c r="F17" s="117">
        <f>SQRT((1000*$J$5/D17)^2+(1000*$J$5/E17)^2+$P$4^2)</f>
        <v>647.0939904318622</v>
      </c>
      <c r="G17" s="117">
        <f>SQRT(F17^2+(350000/$E$8)^2)</f>
        <v>735.6837856396122</v>
      </c>
      <c r="H17" s="52">
        <f t="shared" si="2"/>
        <v>2.3521420579565318</v>
      </c>
      <c r="I17" s="51">
        <f t="shared" si="3"/>
        <v>0.6828233847510674</v>
      </c>
      <c r="J17" s="51">
        <f t="shared" si="4"/>
        <v>-0.09083509271842716</v>
      </c>
      <c r="K17" s="51">
        <f t="shared" si="5"/>
        <v>0.00464827553566723</v>
      </c>
      <c r="L17" s="51">
        <f t="shared" si="6"/>
        <v>0.0023245858139469854</v>
      </c>
      <c r="M17" s="51">
        <f t="shared" si="22"/>
        <v>0.0007159995387064582</v>
      </c>
      <c r="N17" s="51">
        <f t="shared" si="20"/>
        <v>0.07838943275405075</v>
      </c>
      <c r="O17" s="51">
        <f t="shared" si="7"/>
        <v>8.549728884436891E-05</v>
      </c>
      <c r="P17" s="51">
        <f t="shared" si="8"/>
        <v>0</v>
      </c>
      <c r="Q17" s="51">
        <f t="shared" si="9"/>
        <v>0.15</v>
      </c>
      <c r="R17" s="61">
        <f t="shared" si="10"/>
        <v>0.4458340956509569</v>
      </c>
      <c r="S17" s="54">
        <f t="shared" si="11"/>
        <v>6</v>
      </c>
      <c r="T17" s="55">
        <f t="shared" si="12"/>
        <v>3.711599054215398</v>
      </c>
      <c r="U17" s="51">
        <f t="shared" si="13"/>
        <v>2.1828233847510674</v>
      </c>
      <c r="V17" s="51">
        <f t="shared" si="14"/>
        <v>3.0287756694643306</v>
      </c>
      <c r="W17" s="56">
        <f t="shared" si="15"/>
        <v>2.288400945784602</v>
      </c>
      <c r="X17" s="105">
        <f t="shared" si="16"/>
        <v>-12.128657480402024</v>
      </c>
      <c r="Y17" s="26">
        <f t="shared" si="23"/>
        <v>-0.25719664498384387</v>
      </c>
      <c r="Z17" s="24">
        <f t="shared" si="17"/>
        <v>1.0993211590790997</v>
      </c>
      <c r="AA17" s="24">
        <f t="shared" si="18"/>
        <v>1.0993211590790997</v>
      </c>
      <c r="AB17" s="184">
        <f t="shared" si="19"/>
        <v>0.5250520816410847</v>
      </c>
      <c r="AC17" s="155">
        <f t="shared" si="24"/>
        <v>0.22</v>
      </c>
      <c r="AD17" s="157">
        <f t="shared" si="25"/>
        <v>7.9</v>
      </c>
      <c r="AE17" s="156">
        <f t="shared" si="26"/>
        <v>0</v>
      </c>
      <c r="AF17" s="23"/>
    </row>
    <row r="18" spans="1:31" s="27" customFormat="1" ht="15" customHeight="1">
      <c r="A18" s="137">
        <f t="shared" si="21"/>
        <v>0.18000000000000002</v>
      </c>
      <c r="B18" s="51">
        <f t="shared" si="0"/>
        <v>-144.14137649542138</v>
      </c>
      <c r="C18" s="147">
        <f t="shared" si="1"/>
        <v>0.06545</v>
      </c>
      <c r="D18" s="168">
        <f aca="true" t="shared" si="27" ref="D18:D35">(0.187/(A18*$B$5))*(10^6/SQRT(B18^2+C18^2))</f>
        <v>8479.328600441806</v>
      </c>
      <c r="E18" s="168">
        <f aca="true" t="shared" si="28" ref="E18:E35">$E$3/A18</f>
        <v>888.8888888888888</v>
      </c>
      <c r="F18" s="117">
        <f aca="true" t="shared" si="29" ref="F18:F35">SQRT((1000*$J$5/D18)^2+(1000*$J$5/E18)^2+$P$4^2)</f>
        <v>671.250174668376</v>
      </c>
      <c r="G18" s="117">
        <f aca="true" t="shared" si="30" ref="G18:G35">SQRT(F18^2+(350000/$E$8)^2)</f>
        <v>757.0183597458686</v>
      </c>
      <c r="H18" s="52">
        <f t="shared" si="2"/>
        <v>2.57799435138491</v>
      </c>
      <c r="I18" s="51">
        <f t="shared" si="3"/>
        <v>0.7229894662070124</v>
      </c>
      <c r="J18" s="51">
        <f t="shared" si="4"/>
        <v>-0.09617833346656994</v>
      </c>
      <c r="K18" s="51">
        <f t="shared" si="5"/>
        <v>0.005208616251411668</v>
      </c>
      <c r="L18" s="51">
        <f t="shared" si="6"/>
        <v>0.0029192146492924187</v>
      </c>
      <c r="M18" s="51">
        <f t="shared" si="22"/>
        <v>0.0006958209723323134</v>
      </c>
      <c r="N18" s="51">
        <f t="shared" si="20"/>
        <v>0.07614103701824247</v>
      </c>
      <c r="O18" s="51">
        <f t="shared" si="7"/>
        <v>0.00010424836025751949</v>
      </c>
      <c r="P18" s="51">
        <f t="shared" si="8"/>
        <v>0</v>
      </c>
      <c r="Q18" s="51">
        <f t="shared" si="9"/>
        <v>0.15</v>
      </c>
      <c r="R18" s="61">
        <f t="shared" si="10"/>
        <v>0.4458340956509569</v>
      </c>
      <c r="S18" s="54">
        <f t="shared" si="11"/>
        <v>6</v>
      </c>
      <c r="T18" s="55">
        <f t="shared" si="12"/>
        <v>3.975982413270672</v>
      </c>
      <c r="U18" s="51">
        <f t="shared" si="13"/>
        <v>2.2229894662070127</v>
      </c>
      <c r="V18" s="51">
        <f t="shared" si="14"/>
        <v>3.2529929470636594</v>
      </c>
      <c r="W18" s="56">
        <f t="shared" si="15"/>
        <v>2.024017586729328</v>
      </c>
      <c r="X18" s="105">
        <f t="shared" si="16"/>
        <v>-12.16882356185797</v>
      </c>
      <c r="Y18" s="26">
        <f t="shared" si="23"/>
        <v>-0.2715881504437765</v>
      </c>
      <c r="Z18" s="24">
        <f t="shared" si="17"/>
        <v>1.0993211590790997</v>
      </c>
      <c r="AA18" s="24">
        <f t="shared" si="18"/>
        <v>1.0993211590790997</v>
      </c>
      <c r="AB18" s="184">
        <f t="shared" si="19"/>
        <v>0.49844489835138506</v>
      </c>
      <c r="AC18" s="155">
        <f t="shared" si="24"/>
        <v>0.22</v>
      </c>
      <c r="AD18" s="157">
        <f t="shared" si="25"/>
        <v>7.9</v>
      </c>
      <c r="AE18" s="156">
        <f t="shared" si="26"/>
        <v>0</v>
      </c>
    </row>
    <row r="19" spans="1:31" s="27" customFormat="1" ht="15" customHeight="1">
      <c r="A19" s="137">
        <f t="shared" si="21"/>
        <v>0.19000000000000003</v>
      </c>
      <c r="B19" s="51">
        <f t="shared" si="0"/>
        <v>-144.14137649542138</v>
      </c>
      <c r="C19" s="147">
        <f t="shared" si="1"/>
        <v>0.06545</v>
      </c>
      <c r="D19" s="168">
        <f t="shared" si="27"/>
        <v>8033.048147786973</v>
      </c>
      <c r="E19" s="168">
        <f t="shared" si="28"/>
        <v>842.1052631578946</v>
      </c>
      <c r="F19" s="117">
        <f t="shared" si="29"/>
        <v>695.8755221750773</v>
      </c>
      <c r="G19" s="117">
        <f t="shared" si="30"/>
        <v>778.936930927297</v>
      </c>
      <c r="H19" s="52">
        <f t="shared" si="2"/>
        <v>2.8180777840214803</v>
      </c>
      <c r="I19" s="51">
        <f t="shared" si="3"/>
        <v>0.7631555476629577</v>
      </c>
      <c r="J19" s="51">
        <f t="shared" si="4"/>
        <v>-0.10152157421471271</v>
      </c>
      <c r="K19" s="51">
        <f t="shared" si="5"/>
        <v>0.00580036791976963</v>
      </c>
      <c r="L19" s="51">
        <f t="shared" si="6"/>
        <v>0.0036207832667034773</v>
      </c>
      <c r="M19" s="51">
        <f t="shared" si="22"/>
        <v>0.0006762412080329878</v>
      </c>
      <c r="N19" s="51">
        <f t="shared" si="20"/>
        <v>0.07396158595855379</v>
      </c>
      <c r="O19" s="51">
        <f t="shared" si="7"/>
        <v>0.00012555854229823193</v>
      </c>
      <c r="P19" s="51">
        <f t="shared" si="8"/>
        <v>0</v>
      </c>
      <c r="Q19" s="51">
        <f t="shared" si="9"/>
        <v>0.15</v>
      </c>
      <c r="R19" s="61">
        <f t="shared" si="10"/>
        <v>0.4458340956509569</v>
      </c>
      <c r="S19" s="54">
        <f t="shared" si="11"/>
        <v>6</v>
      </c>
      <c r="T19" s="55">
        <f t="shared" si="12"/>
        <v>4.254775355102951</v>
      </c>
      <c r="U19" s="51">
        <f t="shared" si="13"/>
        <v>2.263155547662958</v>
      </c>
      <c r="V19" s="51">
        <f t="shared" si="14"/>
        <v>3.491619807439993</v>
      </c>
      <c r="W19" s="56">
        <f t="shared" si="15"/>
        <v>1.745224644897049</v>
      </c>
      <c r="X19" s="105">
        <f t="shared" si="16"/>
        <v>-12.208989643313915</v>
      </c>
      <c r="Y19" s="26">
        <f t="shared" si="23"/>
        <v>-0.28605203829439585</v>
      </c>
      <c r="Z19" s="24">
        <f t="shared" si="17"/>
        <v>1.0993211590790997</v>
      </c>
      <c r="AA19" s="24">
        <f t="shared" si="18"/>
        <v>1.0993211590790997</v>
      </c>
      <c r="AB19" s="184">
        <f t="shared" si="19"/>
        <v>0.471638024952997</v>
      </c>
      <c r="AC19" s="155">
        <f t="shared" si="24"/>
        <v>0.22</v>
      </c>
      <c r="AD19" s="157">
        <f t="shared" si="25"/>
        <v>7.9</v>
      </c>
      <c r="AE19" s="156">
        <f t="shared" si="26"/>
        <v>0</v>
      </c>
    </row>
    <row r="20" spans="1:31" s="21" customFormat="1" ht="15" customHeight="1">
      <c r="A20" s="136">
        <f t="shared" si="21"/>
        <v>0.20000000000000004</v>
      </c>
      <c r="B20" s="103">
        <f t="shared" si="0"/>
        <v>-144.14137649542138</v>
      </c>
      <c r="C20" s="146">
        <f t="shared" si="1"/>
        <v>0.06545</v>
      </c>
      <c r="D20" s="167">
        <f t="shared" si="27"/>
        <v>7631.395740397623</v>
      </c>
      <c r="E20" s="167">
        <f t="shared" si="28"/>
        <v>799.9999999999999</v>
      </c>
      <c r="F20" s="116">
        <f t="shared" si="29"/>
        <v>720.9219573319741</v>
      </c>
      <c r="G20" s="116">
        <f t="shared" si="30"/>
        <v>801.3915825383773</v>
      </c>
      <c r="H20" s="106">
        <f t="shared" si="2"/>
        <v>3.072485373896023</v>
      </c>
      <c r="I20" s="103">
        <f t="shared" si="3"/>
        <v>0.8033216291189028</v>
      </c>
      <c r="J20" s="103">
        <f t="shared" si="4"/>
        <v>-0.10686481496285548</v>
      </c>
      <c r="K20" s="103">
        <f t="shared" si="5"/>
        <v>0.006423429836080993</v>
      </c>
      <c r="L20" s="103">
        <f t="shared" si="6"/>
        <v>0.004441272682404623</v>
      </c>
      <c r="M20" s="103">
        <f t="shared" si="22"/>
        <v>0.0006572932167359745</v>
      </c>
      <c r="N20" s="103">
        <f t="shared" si="20"/>
        <v>0.07185453912055109</v>
      </c>
      <c r="O20" s="103">
        <f t="shared" si="7"/>
        <v>0.00014957939062550107</v>
      </c>
      <c r="P20" s="103">
        <f t="shared" si="8"/>
        <v>0</v>
      </c>
      <c r="Q20" s="103">
        <f t="shared" si="9"/>
        <v>0.15</v>
      </c>
      <c r="R20" s="107">
        <f t="shared" si="10"/>
        <v>0.4458340956509569</v>
      </c>
      <c r="S20" s="108">
        <f t="shared" si="11"/>
        <v>6</v>
      </c>
      <c r="T20" s="104">
        <f t="shared" si="12"/>
        <v>4.548086489859464</v>
      </c>
      <c r="U20" s="103">
        <f t="shared" si="13"/>
        <v>2.3033216291189027</v>
      </c>
      <c r="V20" s="103">
        <f t="shared" si="14"/>
        <v>3.744764860740561</v>
      </c>
      <c r="W20" s="109">
        <f t="shared" si="15"/>
        <v>1.4519135101405363</v>
      </c>
      <c r="X20" s="110">
        <f t="shared" si="16"/>
        <v>-12.24915572476986</v>
      </c>
      <c r="Y20" s="28">
        <f t="shared" si="23"/>
        <v>-0.3006747056692811</v>
      </c>
      <c r="Z20" s="19">
        <f t="shared" si="17"/>
        <v>1.0993211590790997</v>
      </c>
      <c r="AA20" s="19">
        <f t="shared" si="18"/>
        <v>1.0993211590790997</v>
      </c>
      <c r="AB20" s="183">
        <f t="shared" si="19"/>
        <v>0.44480335369291146</v>
      </c>
      <c r="AC20" s="155">
        <f t="shared" si="24"/>
        <v>0.22</v>
      </c>
      <c r="AD20" s="157">
        <f t="shared" si="25"/>
        <v>7.9</v>
      </c>
      <c r="AE20" s="156">
        <f t="shared" si="26"/>
        <v>0</v>
      </c>
    </row>
    <row r="21" spans="1:31" s="27" customFormat="1" ht="15" customHeight="1">
      <c r="A21" s="137">
        <f t="shared" si="21"/>
        <v>0.21000000000000005</v>
      </c>
      <c r="B21" s="51">
        <f t="shared" si="0"/>
        <v>-144.14137649542138</v>
      </c>
      <c r="C21" s="147">
        <f t="shared" si="1"/>
        <v>0.06545</v>
      </c>
      <c r="D21" s="168">
        <f t="shared" si="27"/>
        <v>7267.995943235831</v>
      </c>
      <c r="E21" s="168">
        <f t="shared" si="28"/>
        <v>761.9047619047617</v>
      </c>
      <c r="F21" s="117">
        <f t="shared" si="29"/>
        <v>746.347087885462</v>
      </c>
      <c r="G21" s="117">
        <f t="shared" si="30"/>
        <v>824.3385078929101</v>
      </c>
      <c r="H21" s="52">
        <f t="shared" si="2"/>
        <v>3.341411395613494</v>
      </c>
      <c r="I21" s="51">
        <f t="shared" si="3"/>
        <v>0.843487710574848</v>
      </c>
      <c r="J21" s="51">
        <f t="shared" si="4"/>
        <v>-0.11220805571099826</v>
      </c>
      <c r="K21" s="51">
        <f t="shared" si="5"/>
        <v>0.00707769604447975</v>
      </c>
      <c r="L21" s="51">
        <f t="shared" si="6"/>
        <v>0.005393273553459206</v>
      </c>
      <c r="M21" s="51">
        <f t="shared" si="22"/>
        <v>0.0006389962935229192</v>
      </c>
      <c r="N21" s="51">
        <f t="shared" si="20"/>
        <v>0.06982183061560479</v>
      </c>
      <c r="O21" s="51">
        <f t="shared" si="7"/>
        <v>0.0001764604331502273</v>
      </c>
      <c r="P21" s="51">
        <f t="shared" si="8"/>
        <v>0</v>
      </c>
      <c r="Q21" s="51">
        <f t="shared" si="9"/>
        <v>0.15</v>
      </c>
      <c r="R21" s="61">
        <f t="shared" si="10"/>
        <v>0.4458340956509569</v>
      </c>
      <c r="S21" s="54">
        <f t="shared" si="11"/>
        <v>6</v>
      </c>
      <c r="T21" s="55">
        <f t="shared" si="12"/>
        <v>4.856124766441513</v>
      </c>
      <c r="U21" s="51">
        <f t="shared" si="13"/>
        <v>2.343487710574848</v>
      </c>
      <c r="V21" s="51">
        <f t="shared" si="14"/>
        <v>4.012637055866666</v>
      </c>
      <c r="W21" s="56">
        <f t="shared" si="15"/>
        <v>1.1438752335584867</v>
      </c>
      <c r="X21" s="105">
        <f t="shared" si="16"/>
        <v>-12.289321806225805</v>
      </c>
      <c r="Y21" s="26">
        <f t="shared" si="23"/>
        <v>-0.3155710188121006</v>
      </c>
      <c r="Z21" s="24">
        <f t="shared" si="17"/>
        <v>1.0993211590790997</v>
      </c>
      <c r="AA21" s="24">
        <f t="shared" si="18"/>
        <v>1.0993211590790997</v>
      </c>
      <c r="AB21" s="184">
        <f t="shared" si="19"/>
        <v>0.41809545922877545</v>
      </c>
      <c r="AC21" s="155">
        <f t="shared" si="24"/>
        <v>0.22</v>
      </c>
      <c r="AD21" s="157">
        <f t="shared" si="25"/>
        <v>7.9</v>
      </c>
      <c r="AE21" s="156">
        <f t="shared" si="26"/>
        <v>0</v>
      </c>
    </row>
    <row r="22" spans="1:31" s="27" customFormat="1" ht="15" customHeight="1">
      <c r="A22" s="137">
        <f t="shared" si="21"/>
        <v>0.22000000000000006</v>
      </c>
      <c r="B22" s="51">
        <f t="shared" si="0"/>
        <v>-144.14137649542138</v>
      </c>
      <c r="C22" s="147">
        <f t="shared" si="1"/>
        <v>0.06545</v>
      </c>
      <c r="D22" s="168">
        <f t="shared" si="27"/>
        <v>6937.632491270566</v>
      </c>
      <c r="E22" s="168">
        <f t="shared" si="28"/>
        <v>727.2727272727271</v>
      </c>
      <c r="F22" s="117">
        <f t="shared" si="29"/>
        <v>772.1135042580665</v>
      </c>
      <c r="G22" s="117">
        <f t="shared" si="30"/>
        <v>847.7377327084547</v>
      </c>
      <c r="H22" s="52">
        <f t="shared" si="2"/>
        <v>3.6251801312213976</v>
      </c>
      <c r="I22" s="51">
        <f t="shared" si="3"/>
        <v>0.8836537920307932</v>
      </c>
      <c r="J22" s="51">
        <f t="shared" si="4"/>
        <v>-0.11755129645914104</v>
      </c>
      <c r="K22" s="51">
        <f t="shared" si="5"/>
        <v>0.007763055367924042</v>
      </c>
      <c r="L22" s="51">
        <f t="shared" si="6"/>
        <v>0.006489983935036837</v>
      </c>
      <c r="M22" s="51">
        <f t="shared" si="22"/>
        <v>0.0006213587420119442</v>
      </c>
      <c r="N22" s="51">
        <f t="shared" si="20"/>
        <v>0.06786417498124492</v>
      </c>
      <c r="O22" s="51">
        <f t="shared" si="7"/>
        <v>0.00020634966423541123</v>
      </c>
      <c r="P22" s="51">
        <f t="shared" si="8"/>
        <v>0</v>
      </c>
      <c r="Q22" s="51">
        <f t="shared" si="9"/>
        <v>0.15</v>
      </c>
      <c r="R22" s="61">
        <f t="shared" si="10"/>
        <v>0.4458340956509569</v>
      </c>
      <c r="S22" s="54">
        <f t="shared" si="11"/>
        <v>6</v>
      </c>
      <c r="T22" s="55">
        <f t="shared" si="12"/>
        <v>5.179228527483665</v>
      </c>
      <c r="U22" s="51">
        <f t="shared" si="13"/>
        <v>2.383653792030793</v>
      </c>
      <c r="V22" s="51">
        <f t="shared" si="14"/>
        <v>4.295574735452872</v>
      </c>
      <c r="W22" s="56">
        <f t="shared" si="15"/>
        <v>0.8207714725163351</v>
      </c>
      <c r="X22" s="105">
        <f t="shared" si="16"/>
        <v>-12.32948788768175</v>
      </c>
      <c r="Y22" s="26">
        <f t="shared" si="23"/>
        <v>-0.3308861210064138</v>
      </c>
      <c r="Z22" s="24">
        <f t="shared" si="17"/>
        <v>1.0993211590790997</v>
      </c>
      <c r="AA22" s="24">
        <f t="shared" si="18"/>
        <v>1.0993211590790997</v>
      </c>
      <c r="AB22" s="184">
        <f t="shared" si="19"/>
        <v>0.39165040259784</v>
      </c>
      <c r="AC22" s="155">
        <f t="shared" si="24"/>
        <v>0.22</v>
      </c>
      <c r="AD22" s="157">
        <f t="shared" si="25"/>
        <v>7.9</v>
      </c>
      <c r="AE22" s="156">
        <f t="shared" si="26"/>
        <v>0.8207714725163351</v>
      </c>
    </row>
    <row r="23" spans="1:31" s="27" customFormat="1" ht="15" customHeight="1">
      <c r="A23" s="137">
        <f t="shared" si="21"/>
        <v>0.23000000000000007</v>
      </c>
      <c r="B23" s="51">
        <f t="shared" si="0"/>
        <v>-144.14137649542138</v>
      </c>
      <c r="C23" s="147">
        <f t="shared" si="1"/>
        <v>0.06545</v>
      </c>
      <c r="D23" s="168">
        <f t="shared" si="27"/>
        <v>6635.996295997933</v>
      </c>
      <c r="E23" s="168">
        <f t="shared" si="28"/>
        <v>695.6521739130433</v>
      </c>
      <c r="F23" s="117">
        <f t="shared" si="29"/>
        <v>798.188155857408</v>
      </c>
      <c r="G23" s="117">
        <f t="shared" si="30"/>
        <v>871.5528280896401</v>
      </c>
      <c r="H23" s="52">
        <f t="shared" si="2"/>
        <v>3.9242771092021855</v>
      </c>
      <c r="I23" s="51">
        <f t="shared" si="3"/>
        <v>0.9238198734867383</v>
      </c>
      <c r="J23" s="51">
        <f t="shared" si="4"/>
        <v>-0.12289453720728383</v>
      </c>
      <c r="K23" s="51">
        <f t="shared" si="5"/>
        <v>0.008479391439680907</v>
      </c>
      <c r="L23" s="51">
        <f t="shared" si="6"/>
        <v>0.007745207850025828</v>
      </c>
      <c r="M23" s="51">
        <f t="shared" si="22"/>
        <v>0.000604380175446584</v>
      </c>
      <c r="N23" s="51">
        <f t="shared" si="20"/>
        <v>0.06598132821819498</v>
      </c>
      <c r="O23" s="51">
        <f t="shared" si="7"/>
        <v>0.00023939404623875282</v>
      </c>
      <c r="P23" s="51">
        <f t="shared" si="8"/>
        <v>0</v>
      </c>
      <c r="Q23" s="51">
        <f t="shared" si="9"/>
        <v>0.15</v>
      </c>
      <c r="R23" s="61">
        <f t="shared" si="10"/>
        <v>0.4458340956509569</v>
      </c>
      <c r="S23" s="54">
        <f t="shared" si="11"/>
        <v>6</v>
      </c>
      <c r="T23" s="55">
        <f t="shared" si="12"/>
        <v>5.517897008454341</v>
      </c>
      <c r="U23" s="51">
        <f t="shared" si="13"/>
        <v>2.4238198734867384</v>
      </c>
      <c r="V23" s="51">
        <f t="shared" si="14"/>
        <v>4.594077134967603</v>
      </c>
      <c r="W23" s="56">
        <f t="shared" si="15"/>
        <v>0.48210299154565917</v>
      </c>
      <c r="X23" s="105">
        <f t="shared" si="16"/>
        <v>-12.369653969137696</v>
      </c>
      <c r="Y23" s="26">
        <f t="shared" si="23"/>
        <v>-0.3467987931742904</v>
      </c>
      <c r="Z23" s="24">
        <f t="shared" si="17"/>
        <v>1.0993211590790997</v>
      </c>
      <c r="AA23" s="24">
        <f t="shared" si="18"/>
        <v>1.0993211590790997</v>
      </c>
      <c r="AB23" s="184">
        <f t="shared" si="19"/>
        <v>0.3655854303625692</v>
      </c>
      <c r="AC23" s="155">
        <f t="shared" si="24"/>
        <v>0.22</v>
      </c>
      <c r="AD23" s="157">
        <f t="shared" si="25"/>
        <v>7.9</v>
      </c>
      <c r="AE23" s="156">
        <f t="shared" si="26"/>
        <v>0</v>
      </c>
    </row>
    <row r="24" spans="1:31" s="27" customFormat="1" ht="15" customHeight="1">
      <c r="A24" s="137">
        <f t="shared" si="21"/>
        <v>0.24000000000000007</v>
      </c>
      <c r="B24" s="51">
        <f t="shared" si="0"/>
        <v>-144.14137649542138</v>
      </c>
      <c r="C24" s="147">
        <f t="shared" si="1"/>
        <v>0.06545</v>
      </c>
      <c r="D24" s="168">
        <f t="shared" si="27"/>
        <v>6359.496450331352</v>
      </c>
      <c r="E24" s="168">
        <f t="shared" si="28"/>
        <v>666.6666666666665</v>
      </c>
      <c r="F24" s="117">
        <f t="shared" si="29"/>
        <v>824.5418010478578</v>
      </c>
      <c r="G24" s="117">
        <f t="shared" si="30"/>
        <v>895.7506247138459</v>
      </c>
      <c r="H24" s="52">
        <f t="shared" si="2"/>
        <v>4.239384661509717</v>
      </c>
      <c r="I24" s="51">
        <f t="shared" si="3"/>
        <v>0.9639859549426836</v>
      </c>
      <c r="J24" s="51">
        <f t="shared" si="4"/>
        <v>-0.1282377779554266</v>
      </c>
      <c r="K24" s="51">
        <f t="shared" si="5"/>
        <v>0.009226582736254697</v>
      </c>
      <c r="L24" s="51">
        <f t="shared" si="6"/>
        <v>0.009173354801290206</v>
      </c>
      <c r="M24" s="51">
        <f t="shared" si="22"/>
        <v>0.0005880534566415259</v>
      </c>
      <c r="N24" s="51">
        <f t="shared" si="20"/>
        <v>0.06417230691320916</v>
      </c>
      <c r="O24" s="51">
        <f t="shared" si="7"/>
        <v>0.0002757400143896249</v>
      </c>
      <c r="P24" s="51">
        <f t="shared" si="8"/>
        <v>0</v>
      </c>
      <c r="Q24" s="51">
        <f t="shared" si="9"/>
        <v>0.15</v>
      </c>
      <c r="R24" s="61">
        <f t="shared" si="10"/>
        <v>0.4458340956509569</v>
      </c>
      <c r="S24" s="54">
        <f t="shared" si="11"/>
        <v>6</v>
      </c>
      <c r="T24" s="55">
        <f t="shared" si="12"/>
        <v>5.872826113832246</v>
      </c>
      <c r="U24" s="51">
        <f t="shared" si="13"/>
        <v>2.4639859549426837</v>
      </c>
      <c r="V24" s="51">
        <f t="shared" si="14"/>
        <v>4.9088401588895625</v>
      </c>
      <c r="W24" s="56">
        <f t="shared" si="15"/>
        <v>0.12717388616775427</v>
      </c>
      <c r="X24" s="105">
        <f t="shared" si="16"/>
        <v>-12.409820050593641</v>
      </c>
      <c r="Y24" s="26">
        <f t="shared" si="23"/>
        <v>-0.36352699928265375</v>
      </c>
      <c r="Z24" s="24">
        <f t="shared" si="17"/>
        <v>1.0993211590790997</v>
      </c>
      <c r="AA24" s="24">
        <f t="shared" si="18"/>
        <v>1.0993211590790997</v>
      </c>
      <c r="AB24" s="184">
        <f t="shared" si="19"/>
        <v>0.33999937936677793</v>
      </c>
      <c r="AC24" s="155">
        <f t="shared" si="24"/>
        <v>0.22</v>
      </c>
      <c r="AD24" s="157">
        <f t="shared" si="25"/>
        <v>7.9</v>
      </c>
      <c r="AE24" s="156">
        <f t="shared" si="26"/>
        <v>0</v>
      </c>
    </row>
    <row r="25" spans="1:31" s="21" customFormat="1" ht="15" customHeight="1">
      <c r="A25" s="136">
        <f t="shared" si="21"/>
        <v>0.25000000000000006</v>
      </c>
      <c r="B25" s="103">
        <f t="shared" si="0"/>
        <v>-144.14137649542138</v>
      </c>
      <c r="C25" s="146">
        <f t="shared" si="1"/>
        <v>0.06545</v>
      </c>
      <c r="D25" s="167">
        <f t="shared" si="27"/>
        <v>6105.116592318099</v>
      </c>
      <c r="E25" s="167">
        <f t="shared" si="28"/>
        <v>639.9999999999999</v>
      </c>
      <c r="F25" s="116">
        <f t="shared" si="29"/>
        <v>851.148525247067</v>
      </c>
      <c r="G25" s="116">
        <f t="shared" si="30"/>
        <v>920.300935580453</v>
      </c>
      <c r="H25" s="106">
        <f t="shared" si="2"/>
        <v>4.571424331015008</v>
      </c>
      <c r="I25" s="103">
        <f t="shared" si="3"/>
        <v>1.0041520363986285</v>
      </c>
      <c r="J25" s="103">
        <f t="shared" si="4"/>
        <v>-0.13358101870356937</v>
      </c>
      <c r="K25" s="103">
        <f t="shared" si="5"/>
        <v>0.0100045026117446</v>
      </c>
      <c r="L25" s="103">
        <f t="shared" si="6"/>
        <v>0.01078944036251929</v>
      </c>
      <c r="M25" s="103">
        <f t="shared" si="22"/>
        <v>0.000572366310612899</v>
      </c>
      <c r="N25" s="103">
        <f t="shared" si="20"/>
        <v>0.062435569607820145</v>
      </c>
      <c r="O25" s="103">
        <f t="shared" si="7"/>
        <v>0.00031553398471458743</v>
      </c>
      <c r="P25" s="103">
        <f t="shared" si="8"/>
        <v>0</v>
      </c>
      <c r="Q25" s="103">
        <f t="shared" si="9"/>
        <v>0.15</v>
      </c>
      <c r="R25" s="107">
        <f t="shared" si="10"/>
        <v>0.4458340956509569</v>
      </c>
      <c r="S25" s="108">
        <f t="shared" si="11"/>
        <v>6</v>
      </c>
      <c r="T25" s="104">
        <f t="shared" si="12"/>
        <v>6.244951007019648</v>
      </c>
      <c r="U25" s="103">
        <f t="shared" si="13"/>
        <v>2.5041520363986285</v>
      </c>
      <c r="V25" s="103">
        <f t="shared" si="14"/>
        <v>5.24079897062102</v>
      </c>
      <c r="W25" s="109">
        <f t="shared" si="15"/>
        <v>-0.24495100701964834</v>
      </c>
      <c r="X25" s="110">
        <f t="shared" si="16"/>
        <v>-12.449986132049586</v>
      </c>
      <c r="Y25" s="28">
        <f t="shared" si="23"/>
        <v>-0.381336455976685</v>
      </c>
      <c r="Z25" s="19">
        <f t="shared" si="17"/>
        <v>1.0993211590790997</v>
      </c>
      <c r="AA25" s="19">
        <f t="shared" si="18"/>
        <v>1.0993211590790997</v>
      </c>
      <c r="AB25" s="183">
        <f t="shared" si="19"/>
        <v>0.3149736022358549</v>
      </c>
      <c r="AC25" s="155">
        <f t="shared" si="24"/>
        <v>0.22</v>
      </c>
      <c r="AD25" s="157">
        <f t="shared" si="25"/>
        <v>7.9</v>
      </c>
      <c r="AE25" s="156">
        <f t="shared" si="26"/>
        <v>0</v>
      </c>
    </row>
    <row r="26" spans="1:31" s="27" customFormat="1" ht="15" customHeight="1">
      <c r="A26" s="137">
        <f t="shared" si="21"/>
        <v>0.26000000000000006</v>
      </c>
      <c r="B26" s="51">
        <f t="shared" si="0"/>
        <v>-144.14137649542138</v>
      </c>
      <c r="C26" s="147">
        <f t="shared" si="1"/>
        <v>0.06545</v>
      </c>
      <c r="D26" s="168">
        <f t="shared" si="27"/>
        <v>5870.30441569048</v>
      </c>
      <c r="E26" s="168">
        <f t="shared" si="28"/>
        <v>615.3846153846152</v>
      </c>
      <c r="F26" s="117">
        <f t="shared" si="29"/>
        <v>877.9853206153771</v>
      </c>
      <c r="G26" s="117">
        <f t="shared" si="30"/>
        <v>945.1762921360684</v>
      </c>
      <c r="H26" s="52">
        <f t="shared" si="2"/>
        <v>4.921609636349721</v>
      </c>
      <c r="I26" s="51">
        <f t="shared" si="3"/>
        <v>1.0443181178545737</v>
      </c>
      <c r="J26" s="51">
        <f t="shared" si="4"/>
        <v>-0.13892425945171213</v>
      </c>
      <c r="K26" s="51">
        <f t="shared" si="5"/>
        <v>0.010813019333619502</v>
      </c>
      <c r="L26" s="51">
        <f t="shared" si="6"/>
        <v>0.01260908798967476</v>
      </c>
      <c r="M26" s="51">
        <f t="shared" si="22"/>
        <v>0.0005573026487591502</v>
      </c>
      <c r="N26" s="51">
        <f t="shared" si="20"/>
        <v>0.06076916507352095</v>
      </c>
      <c r="O26" s="51">
        <f t="shared" si="7"/>
        <v>0.0003589228671691258</v>
      </c>
      <c r="P26" s="51">
        <f t="shared" si="8"/>
        <v>0</v>
      </c>
      <c r="Q26" s="51">
        <f t="shared" si="9"/>
        <v>0.15</v>
      </c>
      <c r="R26" s="61">
        <f t="shared" si="10"/>
        <v>0.4458340956509569</v>
      </c>
      <c r="S26" s="54">
        <f t="shared" si="11"/>
        <v>6</v>
      </c>
      <c r="T26" s="55">
        <f t="shared" si="12"/>
        <v>6.635499025785616</v>
      </c>
      <c r="U26" s="51">
        <f t="shared" si="13"/>
        <v>2.5443181178545737</v>
      </c>
      <c r="V26" s="51">
        <f t="shared" si="14"/>
        <v>5.591180907931042</v>
      </c>
      <c r="W26" s="56">
        <f t="shared" si="15"/>
        <v>-0.6354990257856157</v>
      </c>
      <c r="X26" s="105">
        <f t="shared" si="16"/>
        <v>-12.49015221350553</v>
      </c>
      <c r="Y26" s="26">
        <f t="shared" si="23"/>
        <v>-0.40055343698369494</v>
      </c>
      <c r="Z26" s="24">
        <f t="shared" si="17"/>
        <v>1.0993211590790997</v>
      </c>
      <c r="AA26" s="24">
        <f t="shared" si="18"/>
        <v>1.0993211590790997</v>
      </c>
      <c r="AB26" s="184">
        <f t="shared" si="19"/>
        <v>0.29057324724917344</v>
      </c>
      <c r="AC26" s="155">
        <f t="shared" si="24"/>
        <v>0.22</v>
      </c>
      <c r="AD26" s="157">
        <f t="shared" si="25"/>
        <v>7.9</v>
      </c>
      <c r="AE26" s="156">
        <f t="shared" si="26"/>
        <v>0</v>
      </c>
    </row>
    <row r="27" spans="1:31" s="27" customFormat="1" ht="15" customHeight="1">
      <c r="A27" s="137">
        <f t="shared" si="21"/>
        <v>0.2700000000000001</v>
      </c>
      <c r="B27" s="51">
        <f t="shared" si="0"/>
        <v>-144.14137649542138</v>
      </c>
      <c r="C27" s="147">
        <f t="shared" si="1"/>
        <v>0.06545</v>
      </c>
      <c r="D27" s="168">
        <f t="shared" si="27"/>
        <v>5652.885733627869</v>
      </c>
      <c r="E27" s="168">
        <f t="shared" si="28"/>
        <v>592.5925925925924</v>
      </c>
      <c r="F27" s="117">
        <f t="shared" si="29"/>
        <v>905.0317205671481</v>
      </c>
      <c r="G27" s="117">
        <f t="shared" si="30"/>
        <v>970.3516966712288</v>
      </c>
      <c r="H27" s="52">
        <f t="shared" si="2"/>
        <v>5.291514147064317</v>
      </c>
      <c r="I27" s="51">
        <f t="shared" si="3"/>
        <v>1.084484199310519</v>
      </c>
      <c r="J27" s="51">
        <f t="shared" si="4"/>
        <v>-0.14426750019985493</v>
      </c>
      <c r="K27" s="51">
        <f t="shared" si="5"/>
        <v>0.011651996119894016</v>
      </c>
      <c r="L27" s="51">
        <f t="shared" si="6"/>
        <v>0.014648532201601507</v>
      </c>
      <c r="M27" s="51">
        <f t="shared" si="22"/>
        <v>0.0005428436441743602</v>
      </c>
      <c r="N27" s="51">
        <f t="shared" si="20"/>
        <v>0.05917085217212277</v>
      </c>
      <c r="O27" s="51">
        <f t="shared" si="7"/>
        <v>0.0004060545875200633</v>
      </c>
      <c r="P27" s="51">
        <f t="shared" si="8"/>
        <v>0</v>
      </c>
      <c r="Q27" s="51">
        <f t="shared" si="9"/>
        <v>0.15</v>
      </c>
      <c r="R27" s="61">
        <f t="shared" si="10"/>
        <v>0.4458340956509569</v>
      </c>
      <c r="S27" s="54">
        <f t="shared" si="11"/>
        <v>6</v>
      </c>
      <c r="T27" s="55">
        <f t="shared" si="12"/>
        <v>7.046057880987038</v>
      </c>
      <c r="U27" s="51">
        <f t="shared" si="13"/>
        <v>2.584484199310519</v>
      </c>
      <c r="V27" s="51">
        <f t="shared" si="14"/>
        <v>5.961573681676519</v>
      </c>
      <c r="W27" s="56">
        <f t="shared" si="15"/>
        <v>-1.0460578809870382</v>
      </c>
      <c r="X27" s="105">
        <f t="shared" si="16"/>
        <v>-12.530318294961477</v>
      </c>
      <c r="Y27" s="26">
        <f t="shared" si="23"/>
        <v>-0.42158365640302975</v>
      </c>
      <c r="Z27" s="24">
        <f t="shared" si="17"/>
        <v>1.0993211590790997</v>
      </c>
      <c r="AA27" s="24">
        <f t="shared" si="18"/>
        <v>1.0993211590790997</v>
      </c>
      <c r="AB27" s="184">
        <f t="shared" si="19"/>
        <v>0.26684875181284623</v>
      </c>
      <c r="AC27" s="155">
        <f t="shared" si="24"/>
        <v>0.22</v>
      </c>
      <c r="AD27" s="157">
        <f t="shared" si="25"/>
        <v>7.9</v>
      </c>
      <c r="AE27" s="156">
        <f t="shared" si="26"/>
        <v>0</v>
      </c>
    </row>
    <row r="28" spans="1:31" s="27" customFormat="1" ht="15" customHeight="1">
      <c r="A28" s="137">
        <f t="shared" si="21"/>
        <v>0.2800000000000001</v>
      </c>
      <c r="B28" s="51">
        <f t="shared" si="0"/>
        <v>-144.14137649542138</v>
      </c>
      <c r="C28" s="147">
        <f t="shared" si="1"/>
        <v>0.06545</v>
      </c>
      <c r="D28" s="168">
        <f t="shared" si="27"/>
        <v>5450.996957426873</v>
      </c>
      <c r="E28" s="168">
        <f t="shared" si="28"/>
        <v>571.4285714285712</v>
      </c>
      <c r="F28" s="117">
        <f t="shared" si="29"/>
        <v>932.2694825425721</v>
      </c>
      <c r="G28" s="117">
        <f t="shared" si="30"/>
        <v>995.8043924788618</v>
      </c>
      <c r="H28" s="52">
        <f t="shared" si="2"/>
        <v>5.6831620645550505</v>
      </c>
      <c r="I28" s="51">
        <f t="shared" si="3"/>
        <v>1.1246502807664642</v>
      </c>
      <c r="J28" s="51">
        <f t="shared" si="4"/>
        <v>-0.1496107409479977</v>
      </c>
      <c r="K28" s="51">
        <f t="shared" si="5"/>
        <v>0.01252129117769278</v>
      </c>
      <c r="L28" s="51">
        <f t="shared" si="6"/>
        <v>0.016924623285490728</v>
      </c>
      <c r="M28" s="51">
        <f t="shared" si="22"/>
        <v>0.0005289685957706444</v>
      </c>
      <c r="N28" s="51">
        <f t="shared" si="20"/>
        <v>0.05763819571119897</v>
      </c>
      <c r="O28" s="51">
        <f t="shared" si="7"/>
        <v>0.0004570786225132281</v>
      </c>
      <c r="P28" s="51">
        <f t="shared" si="8"/>
        <v>0</v>
      </c>
      <c r="Q28" s="51">
        <f t="shared" si="9"/>
        <v>0.15</v>
      </c>
      <c r="R28" s="61">
        <f t="shared" si="10"/>
        <v>0.4458340956509569</v>
      </c>
      <c r="S28" s="54">
        <f t="shared" si="11"/>
        <v>6</v>
      </c>
      <c r="T28" s="55">
        <f t="shared" si="12"/>
        <v>7.478666338591675</v>
      </c>
      <c r="U28" s="51">
        <f t="shared" si="13"/>
        <v>2.6246502807664642</v>
      </c>
      <c r="V28" s="51">
        <f t="shared" si="14"/>
        <v>6.354016057825211</v>
      </c>
      <c r="W28" s="56">
        <f t="shared" si="15"/>
        <v>-1.4786663385916752</v>
      </c>
      <c r="X28" s="105">
        <f t="shared" si="16"/>
        <v>-12.57048437641742</v>
      </c>
      <c r="Y28" s="26">
        <f t="shared" si="23"/>
        <v>-0.4449401503319561</v>
      </c>
      <c r="Z28" s="24">
        <f t="shared" si="17"/>
        <v>1.0993211590790997</v>
      </c>
      <c r="AA28" s="24">
        <f t="shared" si="18"/>
        <v>1.0993211590790997</v>
      </c>
      <c r="AB28" s="184">
        <f t="shared" si="19"/>
        <v>0.24383743655599643</v>
      </c>
      <c r="AC28" s="155">
        <f t="shared" si="24"/>
        <v>0.22</v>
      </c>
      <c r="AD28" s="157">
        <f t="shared" si="25"/>
        <v>7.9</v>
      </c>
      <c r="AE28" s="156">
        <f t="shared" si="26"/>
        <v>0</v>
      </c>
    </row>
    <row r="29" spans="1:31" s="27" customFormat="1" ht="15" customHeight="1">
      <c r="A29" s="137">
        <f t="shared" si="21"/>
        <v>0.2900000000000001</v>
      </c>
      <c r="B29" s="51">
        <f t="shared" si="0"/>
        <v>-144.14137649542138</v>
      </c>
      <c r="C29" s="147">
        <f t="shared" si="1"/>
        <v>0.06545</v>
      </c>
      <c r="D29" s="168">
        <f t="shared" si="27"/>
        <v>5263.031545101809</v>
      </c>
      <c r="E29" s="168">
        <f t="shared" si="28"/>
        <v>551.7241379310343</v>
      </c>
      <c r="F29" s="117">
        <f t="shared" si="29"/>
        <v>959.6823129340638</v>
      </c>
      <c r="G29" s="117">
        <f t="shared" si="30"/>
        <v>1021.5136522624034</v>
      </c>
      <c r="H29" s="52">
        <f t="shared" si="2"/>
        <v>6.0991521012494125</v>
      </c>
      <c r="I29" s="51">
        <f t="shared" si="3"/>
        <v>1.1648163622224093</v>
      </c>
      <c r="J29" s="51">
        <f t="shared" si="4"/>
        <v>-0.15495398169614047</v>
      </c>
      <c r="K29" s="51">
        <f t="shared" si="5"/>
        <v>0.013420757743186627</v>
      </c>
      <c r="L29" s="51">
        <f t="shared" si="6"/>
        <v>0.019454833690827632</v>
      </c>
      <c r="M29" s="51">
        <f t="shared" si="22"/>
        <v>0.0005156556155516494</v>
      </c>
      <c r="N29" s="51">
        <f t="shared" si="20"/>
        <v>0.056168642284078835</v>
      </c>
      <c r="O29" s="51">
        <f t="shared" si="7"/>
        <v>0.0005121465532645919</v>
      </c>
      <c r="P29" s="51">
        <f t="shared" si="8"/>
        <v>0</v>
      </c>
      <c r="Q29" s="51">
        <f t="shared" si="9"/>
        <v>0.15</v>
      </c>
      <c r="R29" s="61">
        <f t="shared" si="10"/>
        <v>0.4458340956509569</v>
      </c>
      <c r="S29" s="54">
        <f t="shared" si="11"/>
        <v>6</v>
      </c>
      <c r="T29" s="55">
        <f t="shared" si="12"/>
        <v>7.93593818165095</v>
      </c>
      <c r="U29" s="51">
        <f t="shared" si="13"/>
        <v>2.6648163622224095</v>
      </c>
      <c r="V29" s="51">
        <f t="shared" si="14"/>
        <v>6.771121819428541</v>
      </c>
      <c r="W29" s="56">
        <f t="shared" si="15"/>
        <v>-1.9359381816509504</v>
      </c>
      <c r="X29" s="105">
        <f t="shared" si="16"/>
        <v>-12.610650457873367</v>
      </c>
      <c r="Y29" s="26">
        <f t="shared" si="23"/>
        <v>-0.47128493129703974</v>
      </c>
      <c r="Z29" s="24">
        <f t="shared" si="17"/>
        <v>1.0993211590790997</v>
      </c>
      <c r="AA29" s="24">
        <f t="shared" si="18"/>
        <v>1.0993211590790997</v>
      </c>
      <c r="AB29" s="184">
        <f t="shared" si="19"/>
        <v>0.2215651138263905</v>
      </c>
      <c r="AC29" s="155">
        <f t="shared" si="24"/>
        <v>0.22</v>
      </c>
      <c r="AD29" s="157">
        <f t="shared" si="25"/>
        <v>7.9</v>
      </c>
      <c r="AE29" s="156">
        <f t="shared" si="26"/>
        <v>0</v>
      </c>
    </row>
    <row r="30" spans="1:31" s="21" customFormat="1" ht="15" customHeight="1">
      <c r="A30" s="136">
        <f t="shared" si="21"/>
        <v>0.3000000000000001</v>
      </c>
      <c r="B30" s="103">
        <f t="shared" si="0"/>
        <v>-144.14137649542138</v>
      </c>
      <c r="C30" s="146">
        <f t="shared" si="1"/>
        <v>0.06545</v>
      </c>
      <c r="D30" s="167">
        <f t="shared" si="27"/>
        <v>5087.5971602650825</v>
      </c>
      <c r="E30" s="167">
        <f t="shared" si="28"/>
        <v>533.3333333333331</v>
      </c>
      <c r="F30" s="116">
        <f t="shared" si="29"/>
        <v>987.2556286330156</v>
      </c>
      <c r="G30" s="116">
        <f t="shared" si="30"/>
        <v>1047.4605845890196</v>
      </c>
      <c r="H30" s="106">
        <f t="shared" si="2"/>
        <v>6.542831403328813</v>
      </c>
      <c r="I30" s="103">
        <f t="shared" si="3"/>
        <v>1.2049824436783543</v>
      </c>
      <c r="J30" s="103">
        <f t="shared" si="4"/>
        <v>-0.16029722244428327</v>
      </c>
      <c r="K30" s="103">
        <f t="shared" si="5"/>
        <v>0.014350244122885526</v>
      </c>
      <c r="L30" s="103">
        <f t="shared" si="6"/>
        <v>0.02225726628430355</v>
      </c>
      <c r="M30" s="103">
        <f t="shared" si="22"/>
        <v>0.000502882169412091</v>
      </c>
      <c r="N30" s="103">
        <f t="shared" si="20"/>
        <v>0.05475957960120189</v>
      </c>
      <c r="O30" s="103">
        <f t="shared" si="7"/>
        <v>0.0005714126421256446</v>
      </c>
      <c r="P30" s="103">
        <f t="shared" si="8"/>
        <v>0</v>
      </c>
      <c r="Q30" s="103">
        <f t="shared" si="9"/>
        <v>0.15</v>
      </c>
      <c r="R30" s="107">
        <f t="shared" si="10"/>
        <v>0.4458340956509569</v>
      </c>
      <c r="S30" s="108">
        <f t="shared" si="11"/>
        <v>6</v>
      </c>
      <c r="T30" s="104">
        <f t="shared" si="12"/>
        <v>8.421236201185755</v>
      </c>
      <c r="U30" s="103">
        <f t="shared" si="13"/>
        <v>2.7049824436783543</v>
      </c>
      <c r="V30" s="103">
        <f t="shared" si="14"/>
        <v>7.216253757507401</v>
      </c>
      <c r="W30" s="109">
        <f t="shared" si="15"/>
        <v>-2.4212362011857547</v>
      </c>
      <c r="X30" s="110">
        <f t="shared" si="16"/>
        <v>-12.65081653932931</v>
      </c>
      <c r="Y30" s="28">
        <f t="shared" si="23"/>
        <v>-0.5014924851509592</v>
      </c>
      <c r="Z30" s="19">
        <f t="shared" si="17"/>
        <v>1.0993211590790997</v>
      </c>
      <c r="AA30" s="19">
        <f t="shared" si="18"/>
        <v>1.0993211590790997</v>
      </c>
      <c r="AB30" s="183">
        <f t="shared" si="19"/>
        <v>0.20004764820434492</v>
      </c>
      <c r="AC30" s="155">
        <f t="shared" si="24"/>
        <v>0.22</v>
      </c>
      <c r="AD30" s="157">
        <f t="shared" si="25"/>
        <v>7.9</v>
      </c>
      <c r="AE30" s="156">
        <f t="shared" si="26"/>
        <v>0</v>
      </c>
    </row>
    <row r="31" spans="1:31" s="27" customFormat="1" ht="15" customHeight="1">
      <c r="A31" s="137">
        <f t="shared" si="21"/>
        <v>0.3100000000000001</v>
      </c>
      <c r="B31" s="51">
        <f t="shared" si="0"/>
        <v>-144.14137649542138</v>
      </c>
      <c r="C31" s="147">
        <f t="shared" si="1"/>
        <v>0.06545</v>
      </c>
      <c r="D31" s="168">
        <f t="shared" si="27"/>
        <v>4923.481122837176</v>
      </c>
      <c r="E31" s="168">
        <f t="shared" si="28"/>
        <v>516.1290322580643</v>
      </c>
      <c r="F31" s="117">
        <f t="shared" si="29"/>
        <v>1014.9763502700366</v>
      </c>
      <c r="G31" s="117">
        <f t="shared" si="30"/>
        <v>1073.6279577244084</v>
      </c>
      <c r="H31" s="52">
        <f t="shared" si="2"/>
        <v>7.018546449750157</v>
      </c>
      <c r="I31" s="51">
        <f t="shared" si="3"/>
        <v>1.2451485251342995</v>
      </c>
      <c r="J31" s="51">
        <f t="shared" si="4"/>
        <v>-0.16564046319242604</v>
      </c>
      <c r="K31" s="51">
        <f t="shared" si="5"/>
        <v>0.015309593736271424</v>
      </c>
      <c r="L31" s="51">
        <f t="shared" si="6"/>
        <v>0.025350664648116635</v>
      </c>
      <c r="M31" s="51">
        <f t="shared" si="22"/>
        <v>0.0004906254977452771</v>
      </c>
      <c r="N31" s="51">
        <f t="shared" si="20"/>
        <v>0.05340838233089988</v>
      </c>
      <c r="O31" s="51">
        <f t="shared" si="7"/>
        <v>0.0006350344384377093</v>
      </c>
      <c r="P31" s="51">
        <f t="shared" si="8"/>
        <v>0</v>
      </c>
      <c r="Q31" s="51">
        <f t="shared" si="9"/>
        <v>0.15</v>
      </c>
      <c r="R31" s="61">
        <f t="shared" si="10"/>
        <v>0.4458340956509569</v>
      </c>
      <c r="S31" s="54">
        <f t="shared" si="11"/>
        <v>6</v>
      </c>
      <c r="T31" s="55">
        <f t="shared" si="12"/>
        <v>8.938923151952869</v>
      </c>
      <c r="U31" s="51">
        <f t="shared" si="13"/>
        <v>2.7451485251342995</v>
      </c>
      <c r="V31" s="51">
        <f t="shared" si="14"/>
        <v>7.69377462681857</v>
      </c>
      <c r="W31" s="56">
        <f t="shared" si="15"/>
        <v>-2.938923151952869</v>
      </c>
      <c r="X31" s="105">
        <f t="shared" si="16"/>
        <v>-12.690982620785256</v>
      </c>
      <c r="Y31" s="26">
        <f t="shared" si="23"/>
        <v>-0.5367492629224531</v>
      </c>
      <c r="Z31" s="24">
        <f t="shared" si="17"/>
        <v>1.0993211590790997</v>
      </c>
      <c r="AA31" s="24">
        <f t="shared" si="18"/>
        <v>1.0993211590790997</v>
      </c>
      <c r="AB31" s="184">
        <f t="shared" si="19"/>
        <v>0.17929242673297605</v>
      </c>
      <c r="AC31" s="155">
        <f t="shared" si="24"/>
        <v>0.22</v>
      </c>
      <c r="AD31" s="157">
        <f t="shared" si="25"/>
        <v>7.9</v>
      </c>
      <c r="AE31" s="156">
        <f t="shared" si="26"/>
        <v>0</v>
      </c>
    </row>
    <row r="32" spans="1:31" s="27" customFormat="1" ht="15" customHeight="1">
      <c r="A32" s="137">
        <f t="shared" si="21"/>
        <v>0.3200000000000001</v>
      </c>
      <c r="B32" s="51">
        <f t="shared" si="0"/>
        <v>-144.14137649542138</v>
      </c>
      <c r="C32" s="147">
        <f t="shared" si="1"/>
        <v>0.06545</v>
      </c>
      <c r="D32" s="168">
        <f t="shared" si="27"/>
        <v>4769.622337748514</v>
      </c>
      <c r="E32" s="168">
        <f t="shared" si="28"/>
        <v>499.99999999999983</v>
      </c>
      <c r="F32" s="117">
        <f t="shared" si="29"/>
        <v>1042.832722817142</v>
      </c>
      <c r="G32" s="117">
        <f t="shared" si="30"/>
        <v>1100.0000398991874</v>
      </c>
      <c r="H32" s="52">
        <f t="shared" si="2"/>
        <v>7.532015978749844</v>
      </c>
      <c r="I32" s="51">
        <f t="shared" si="3"/>
        <v>1.2853146065902448</v>
      </c>
      <c r="J32" s="51">
        <f t="shared" si="4"/>
        <v>-0.17098370394056883</v>
      </c>
      <c r="K32" s="51">
        <f t="shared" si="5"/>
        <v>0.016298645159754863</v>
      </c>
      <c r="L32" s="51">
        <f t="shared" si="6"/>
        <v>0.02875442561539238</v>
      </c>
      <c r="M32" s="51">
        <f t="shared" si="22"/>
        <v>0.00047886293822321915</v>
      </c>
      <c r="N32" s="51">
        <f t="shared" si="20"/>
        <v>0.052112447005534454</v>
      </c>
      <c r="O32" s="51">
        <f t="shared" si="7"/>
        <v>0.0007031734186865868</v>
      </c>
      <c r="P32" s="51">
        <f t="shared" si="8"/>
        <v>0</v>
      </c>
      <c r="Q32" s="51">
        <f t="shared" si="9"/>
        <v>0.15</v>
      </c>
      <c r="R32" s="61">
        <f t="shared" si="10"/>
        <v>0.4458340956509569</v>
      </c>
      <c r="S32" s="54">
        <f t="shared" si="11"/>
        <v>6</v>
      </c>
      <c r="T32" s="55">
        <f t="shared" si="12"/>
        <v>9.49473472703066</v>
      </c>
      <c r="U32" s="51">
        <f t="shared" si="13"/>
        <v>2.7853146065902448</v>
      </c>
      <c r="V32" s="51">
        <f t="shared" si="14"/>
        <v>8.209420120440416</v>
      </c>
      <c r="W32" s="56">
        <f t="shared" si="15"/>
        <v>-3.494734727030661</v>
      </c>
      <c r="X32" s="105">
        <f t="shared" si="16"/>
        <v>-12.731148702241201</v>
      </c>
      <c r="Y32" s="26">
        <f t="shared" si="23"/>
        <v>-0.5787150836530497</v>
      </c>
      <c r="Z32" s="24">
        <f t="shared" si="17"/>
        <v>1.0993211590790997</v>
      </c>
      <c r="AA32" s="24">
        <f t="shared" si="18"/>
        <v>1.0993211590790997</v>
      </c>
      <c r="AB32" s="184">
        <f t="shared" si="19"/>
        <v>0.15929971270596863</v>
      </c>
      <c r="AC32" s="155">
        <f t="shared" si="24"/>
        <v>0.22</v>
      </c>
      <c r="AD32" s="157">
        <f t="shared" si="25"/>
        <v>7.9</v>
      </c>
      <c r="AE32" s="156">
        <f t="shared" si="26"/>
        <v>0</v>
      </c>
    </row>
    <row r="33" spans="1:31" s="27" customFormat="1" ht="15" customHeight="1">
      <c r="A33" s="137">
        <f t="shared" si="21"/>
        <v>0.3300000000000001</v>
      </c>
      <c r="B33" s="51">
        <f t="shared" si="0"/>
        <v>-144.14137649542138</v>
      </c>
      <c r="C33" s="147">
        <f t="shared" si="1"/>
        <v>0.06545</v>
      </c>
      <c r="D33" s="168">
        <f t="shared" si="27"/>
        <v>4625.088327513711</v>
      </c>
      <c r="E33" s="168">
        <f t="shared" si="28"/>
        <v>484.84848484848465</v>
      </c>
      <c r="F33" s="117">
        <f t="shared" si="29"/>
        <v>1070.8141597773915</v>
      </c>
      <c r="G33" s="117">
        <f t="shared" si="30"/>
        <v>1126.562454895316</v>
      </c>
      <c r="H33" s="52">
        <f t="shared" si="2"/>
        <v>8.090904707515424</v>
      </c>
      <c r="I33" s="51">
        <f t="shared" si="3"/>
        <v>1.32548068804619</v>
      </c>
      <c r="J33" s="51">
        <f t="shared" si="4"/>
        <v>-0.1763269446887116</v>
      </c>
      <c r="K33" s="51">
        <f t="shared" si="5"/>
        <v>0.017317232171938056</v>
      </c>
      <c r="L33" s="51">
        <f t="shared" si="6"/>
        <v>0.03248861424922907</v>
      </c>
      <c r="M33" s="51">
        <f t="shared" si="22"/>
        <v>0.0004675721695347379</v>
      </c>
      <c r="N33" s="51">
        <f t="shared" si="20"/>
        <v>0.05086921813037589</v>
      </c>
      <c r="O33" s="51">
        <f t="shared" si="7"/>
        <v>0.0007759956667923382</v>
      </c>
      <c r="P33" s="51">
        <f t="shared" si="8"/>
        <v>0</v>
      </c>
      <c r="Q33" s="51">
        <f t="shared" si="9"/>
        <v>0.15</v>
      </c>
      <c r="R33" s="61">
        <f t="shared" si="10"/>
        <v>0.4458340956509569</v>
      </c>
      <c r="S33" s="54">
        <f t="shared" si="11"/>
        <v>6</v>
      </c>
      <c r="T33" s="55">
        <f t="shared" si="12"/>
        <v>10.096353319258968</v>
      </c>
      <c r="U33" s="51">
        <f t="shared" si="13"/>
        <v>2.82548068804619</v>
      </c>
      <c r="V33" s="51">
        <f t="shared" si="14"/>
        <v>8.770872631212779</v>
      </c>
      <c r="W33" s="56">
        <f t="shared" si="15"/>
        <v>-4.096353319258968</v>
      </c>
      <c r="X33" s="105">
        <f t="shared" si="16"/>
        <v>-12.771314783697147</v>
      </c>
      <c r="Y33" s="26">
        <f t="shared" si="23"/>
        <v>-0.6297964097557758</v>
      </c>
      <c r="Z33" s="24">
        <f t="shared" si="17"/>
        <v>1.0993211590790997</v>
      </c>
      <c r="AA33" s="24">
        <f t="shared" si="18"/>
        <v>1.0993211590790997</v>
      </c>
      <c r="AB33" s="184">
        <f t="shared" si="19"/>
        <v>0.14006386930328607</v>
      </c>
      <c r="AC33" s="155">
        <f t="shared" si="24"/>
        <v>0.22</v>
      </c>
      <c r="AD33" s="157">
        <f t="shared" si="25"/>
        <v>7.9</v>
      </c>
      <c r="AE33" s="156">
        <f t="shared" si="26"/>
        <v>0</v>
      </c>
    </row>
    <row r="34" spans="1:31" s="27" customFormat="1" ht="15" customHeight="1">
      <c r="A34" s="137">
        <f t="shared" si="21"/>
        <v>0.34000000000000014</v>
      </c>
      <c r="B34" s="51">
        <f t="shared" si="0"/>
        <v>-144.14137649542138</v>
      </c>
      <c r="C34" s="147">
        <f t="shared" si="1"/>
        <v>0.06545</v>
      </c>
      <c r="D34" s="168">
        <f t="shared" si="27"/>
        <v>4489.056317880955</v>
      </c>
      <c r="E34" s="168">
        <f t="shared" si="28"/>
        <v>470.58823529411745</v>
      </c>
      <c r="F34" s="117">
        <f t="shared" si="29"/>
        <v>1098.911107693486</v>
      </c>
      <c r="G34" s="117">
        <f t="shared" si="30"/>
        <v>1153.302051767933</v>
      </c>
      <c r="H34" s="52">
        <f t="shared" si="2"/>
        <v>8.705742820037543</v>
      </c>
      <c r="I34" s="51">
        <f t="shared" si="3"/>
        <v>1.3656467695021353</v>
      </c>
      <c r="J34" s="51">
        <f t="shared" si="4"/>
        <v>-0.18167018543685437</v>
      </c>
      <c r="K34" s="51">
        <f t="shared" si="5"/>
        <v>0.018365183800165736</v>
      </c>
      <c r="L34" s="51">
        <f t="shared" si="6"/>
        <v>0.03657398148650212</v>
      </c>
      <c r="M34" s="51">
        <f t="shared" si="22"/>
        <v>0.000456731391697702</v>
      </c>
      <c r="N34" s="51">
        <f t="shared" si="20"/>
        <v>0.04967620726463687</v>
      </c>
      <c r="O34" s="51">
        <f t="shared" si="7"/>
        <v>0.0008536726004384487</v>
      </c>
      <c r="P34" s="51">
        <f t="shared" si="8"/>
        <v>0</v>
      </c>
      <c r="Q34" s="51">
        <f t="shared" si="9"/>
        <v>0.15</v>
      </c>
      <c r="R34" s="61">
        <f t="shared" si="10"/>
        <v>0.4458340956509569</v>
      </c>
      <c r="S34" s="54">
        <f t="shared" si="11"/>
        <v>6</v>
      </c>
      <c r="T34" s="55">
        <f t="shared" si="12"/>
        <v>10.754327546542212</v>
      </c>
      <c r="U34" s="51">
        <f t="shared" si="13"/>
        <v>2.8656467695021353</v>
      </c>
      <c r="V34" s="51">
        <f t="shared" si="14"/>
        <v>9.388680777040078</v>
      </c>
      <c r="W34" s="56">
        <f t="shared" si="15"/>
        <v>-4.754327546542212</v>
      </c>
      <c r="X34" s="105">
        <f t="shared" si="16"/>
        <v>-12.811480865153092</v>
      </c>
      <c r="Y34" s="26">
        <f t="shared" si="23"/>
        <v>-0.6936339857538334</v>
      </c>
      <c r="Z34" s="24">
        <f t="shared" si="17"/>
        <v>1.0993211590790997</v>
      </c>
      <c r="AA34" s="24">
        <f t="shared" si="18"/>
        <v>1.0993211590790997</v>
      </c>
      <c r="AB34" s="184">
        <f t="shared" si="19"/>
        <v>0.12157444857923835</v>
      </c>
      <c r="AC34" s="155">
        <f t="shared" si="24"/>
        <v>0.22</v>
      </c>
      <c r="AD34" s="157">
        <f>AD35</f>
        <v>7.9</v>
      </c>
      <c r="AE34" s="156">
        <f t="shared" si="26"/>
        <v>0</v>
      </c>
    </row>
    <row r="35" spans="1:31" s="84" customFormat="1" ht="15" customHeight="1">
      <c r="A35" s="138">
        <f t="shared" si="21"/>
        <v>0.35000000000000014</v>
      </c>
      <c r="B35" s="77">
        <f t="shared" si="0"/>
        <v>-144.14137649542138</v>
      </c>
      <c r="C35" s="148">
        <f t="shared" si="1"/>
        <v>0.06545</v>
      </c>
      <c r="D35" s="169">
        <f t="shared" si="27"/>
        <v>4360.797565941499</v>
      </c>
      <c r="E35" s="169">
        <f t="shared" si="28"/>
        <v>457.14285714285694</v>
      </c>
      <c r="F35" s="118">
        <f t="shared" si="29"/>
        <v>1127.1149281574194</v>
      </c>
      <c r="G35" s="118">
        <f t="shared" si="30"/>
        <v>1180.2067875060307</v>
      </c>
      <c r="H35" s="78">
        <f t="shared" si="2"/>
        <v>9.391474971196352</v>
      </c>
      <c r="I35" s="77">
        <f t="shared" si="3"/>
        <v>1.4058128509580803</v>
      </c>
      <c r="J35" s="77">
        <f t="shared" si="4"/>
        <v>-0.18701342618499714</v>
      </c>
      <c r="K35" s="77">
        <f t="shared" si="5"/>
        <v>0.019442324368346836</v>
      </c>
      <c r="L35" s="77">
        <f t="shared" si="6"/>
        <v>0.04103198468425933</v>
      </c>
      <c r="M35" s="77">
        <f t="shared" si="22"/>
        <v>0.00044631945581747614</v>
      </c>
      <c r="N35" s="77">
        <f t="shared" si="20"/>
        <v>0.04853100652730147</v>
      </c>
      <c r="O35" s="77">
        <f t="shared" si="7"/>
        <v>0.0009363817496830587</v>
      </c>
      <c r="P35" s="77">
        <f t="shared" si="8"/>
        <v>0</v>
      </c>
      <c r="Q35" s="77">
        <f t="shared" si="9"/>
        <v>0.15</v>
      </c>
      <c r="R35" s="79">
        <f t="shared" si="10"/>
        <v>0.4458340956509569</v>
      </c>
      <c r="S35" s="80">
        <f t="shared" si="11"/>
        <v>6</v>
      </c>
      <c r="T35" s="81">
        <f t="shared" si="12"/>
        <v>11.483621290766635</v>
      </c>
      <c r="U35" s="77">
        <f t="shared" si="13"/>
        <v>2.90581285095808</v>
      </c>
      <c r="V35" s="77">
        <f t="shared" si="14"/>
        <v>10.077808439808555</v>
      </c>
      <c r="W35" s="82">
        <f t="shared" si="15"/>
        <v>-5.483621290766635</v>
      </c>
      <c r="X35" s="111">
        <f t="shared" si="16"/>
        <v>-12.851646946609037</v>
      </c>
      <c r="Y35" s="83"/>
      <c r="Z35" s="77">
        <f t="shared" si="17"/>
        <v>1.0993211590790997</v>
      </c>
      <c r="AA35" s="77">
        <f t="shared" si="18"/>
        <v>1.0993211590790997</v>
      </c>
      <c r="AB35" s="185">
        <f t="shared" si="19"/>
        <v>0.10381714782691927</v>
      </c>
      <c r="AC35" s="164">
        <f t="shared" si="24"/>
        <v>0.22</v>
      </c>
      <c r="AD35" s="158">
        <f>ROUNDUP(E9,0)-0.1</f>
        <v>7.9</v>
      </c>
      <c r="AE35" s="171">
        <f t="shared" si="26"/>
        <v>0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7"/>
      <c r="S36" s="6"/>
      <c r="T36" s="13"/>
      <c r="V36" s="13"/>
      <c r="W36" s="13"/>
      <c r="X36" s="14"/>
      <c r="AE36" s="172">
        <f>SUM(AE15:AE35)</f>
        <v>0.8207714725163351</v>
      </c>
    </row>
    <row r="37" spans="1:28" s="27" customFormat="1" ht="15" customHeight="1">
      <c r="A37" s="85" t="s">
        <v>69</v>
      </c>
      <c r="B37" s="23"/>
      <c r="C37" s="23"/>
      <c r="D37" s="22"/>
      <c r="E37" s="23"/>
      <c r="F37" s="23"/>
      <c r="G37" s="29"/>
      <c r="X37" s="32"/>
      <c r="Y37" s="32"/>
      <c r="AB37" s="189"/>
    </row>
    <row r="38" spans="1:28" s="27" customFormat="1" ht="15" customHeight="1">
      <c r="A38" s="30" t="s">
        <v>128</v>
      </c>
      <c r="B38" s="23"/>
      <c r="C38" s="23"/>
      <c r="D38" s="22"/>
      <c r="E38" s="23"/>
      <c r="F38" s="23"/>
      <c r="G38" s="29"/>
      <c r="K38" s="24"/>
      <c r="L38" s="23"/>
      <c r="M38" s="24"/>
      <c r="N38" s="24"/>
      <c r="O38" s="24"/>
      <c r="P38" s="24"/>
      <c r="Q38" s="24"/>
      <c r="R38" s="62"/>
      <c r="S38" s="25"/>
      <c r="T38" s="24"/>
      <c r="U38" s="31"/>
      <c r="V38" s="24"/>
      <c r="X38" s="32"/>
      <c r="Y38" s="32"/>
      <c r="AB38" s="189"/>
    </row>
    <row r="39" spans="1:28" s="27" customFormat="1" ht="15" customHeight="1">
      <c r="A39" s="24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23"/>
      <c r="M39" s="24"/>
      <c r="N39" s="24"/>
      <c r="O39" s="24"/>
      <c r="P39" s="24"/>
      <c r="Q39" s="24"/>
      <c r="R39" s="62"/>
      <c r="S39" s="25"/>
      <c r="T39" s="24"/>
      <c r="U39" s="31"/>
      <c r="V39" s="24"/>
      <c r="X39" s="32"/>
      <c r="Y39" s="32"/>
      <c r="AB39" s="189"/>
    </row>
    <row r="40" spans="1:28" s="27" customFormat="1" ht="15" customHeight="1">
      <c r="A40" s="30"/>
      <c r="B40" s="23"/>
      <c r="C40" s="23"/>
      <c r="D40" s="22"/>
      <c r="E40" s="23"/>
      <c r="F40" s="23"/>
      <c r="G40" s="29"/>
      <c r="H40" s="24"/>
      <c r="I40" s="24"/>
      <c r="J40" s="24"/>
      <c r="K40" s="24"/>
      <c r="L40" s="23"/>
      <c r="M40" s="24"/>
      <c r="N40" s="24"/>
      <c r="O40" s="24"/>
      <c r="P40" s="24"/>
      <c r="Q40" s="24"/>
      <c r="R40" s="62"/>
      <c r="S40" s="25"/>
      <c r="T40" s="24"/>
      <c r="U40" s="31"/>
      <c r="V40" s="24"/>
      <c r="X40" s="32"/>
      <c r="Y40" s="32"/>
      <c r="AB40" s="189"/>
    </row>
    <row r="41" spans="1:28" s="27" customFormat="1" ht="15" customHeight="1">
      <c r="A41" s="25"/>
      <c r="B41" s="23"/>
      <c r="C41" s="23"/>
      <c r="D41" s="22"/>
      <c r="E41" s="23"/>
      <c r="F41" s="23"/>
      <c r="G41" s="29"/>
      <c r="H41" s="24"/>
      <c r="I41" s="24"/>
      <c r="J41" s="24"/>
      <c r="K41" s="24"/>
      <c r="L41" s="23"/>
      <c r="M41" s="24"/>
      <c r="N41" s="24"/>
      <c r="O41" s="24"/>
      <c r="P41" s="24"/>
      <c r="Q41" s="24"/>
      <c r="R41" s="62"/>
      <c r="S41" s="25"/>
      <c r="T41" s="24"/>
      <c r="U41" s="31"/>
      <c r="V41" s="24"/>
      <c r="X41" s="32"/>
      <c r="Y41" s="32"/>
      <c r="AB41" s="189"/>
    </row>
    <row r="42" spans="1:28" s="27" customFormat="1" ht="15" customHeight="1">
      <c r="A42" s="25"/>
      <c r="B42" s="23"/>
      <c r="C42" s="23"/>
      <c r="D42" s="22"/>
      <c r="E42" s="23"/>
      <c r="F42" s="23"/>
      <c r="G42" s="29"/>
      <c r="H42" s="24"/>
      <c r="I42" s="24"/>
      <c r="J42" s="24"/>
      <c r="K42" s="24"/>
      <c r="L42" s="23"/>
      <c r="M42" s="24"/>
      <c r="N42" s="24"/>
      <c r="O42" s="24"/>
      <c r="P42" s="24"/>
      <c r="Q42" s="24"/>
      <c r="R42" s="62"/>
      <c r="S42" s="25"/>
      <c r="T42" s="24"/>
      <c r="U42" s="31"/>
      <c r="V42" s="24"/>
      <c r="X42" s="32"/>
      <c r="Y42" s="32"/>
      <c r="AB42" s="189"/>
    </row>
    <row r="43" spans="1:28" s="27" customFormat="1" ht="15" customHeight="1">
      <c r="A43" s="29"/>
      <c r="D43" s="22"/>
      <c r="E43" s="23"/>
      <c r="F43" s="23"/>
      <c r="G43" s="29"/>
      <c r="H43" s="24"/>
      <c r="I43" s="24"/>
      <c r="J43" s="24"/>
      <c r="K43" s="24"/>
      <c r="L43" s="23"/>
      <c r="M43" s="24"/>
      <c r="N43" s="24"/>
      <c r="O43" s="24"/>
      <c r="P43" s="24"/>
      <c r="Q43" s="24"/>
      <c r="R43" s="62"/>
      <c r="S43" s="25"/>
      <c r="T43" s="24"/>
      <c r="U43" s="31"/>
      <c r="V43" s="24"/>
      <c r="X43" s="32"/>
      <c r="Y43" s="32"/>
      <c r="AB43" s="189"/>
    </row>
    <row r="44" spans="1:28" s="27" customFormat="1" ht="15" customHeight="1">
      <c r="A44" s="29"/>
      <c r="B44" s="23"/>
      <c r="D44" s="22"/>
      <c r="E44" s="23"/>
      <c r="F44" s="23"/>
      <c r="G44" s="29"/>
      <c r="H44" s="24"/>
      <c r="I44" s="24"/>
      <c r="J44" s="24"/>
      <c r="K44" s="24"/>
      <c r="L44" s="23"/>
      <c r="M44" s="24"/>
      <c r="N44" s="24"/>
      <c r="O44" s="24"/>
      <c r="P44" s="24"/>
      <c r="Q44" s="24"/>
      <c r="R44" s="62"/>
      <c r="S44" s="25"/>
      <c r="T44" s="24"/>
      <c r="U44" s="31"/>
      <c r="V44" s="24"/>
      <c r="X44" s="32"/>
      <c r="Y44" s="32"/>
      <c r="AB44" s="189"/>
    </row>
    <row r="45" spans="1:28" s="27" customFormat="1" ht="15" customHeight="1">
      <c r="A45" s="29"/>
      <c r="B45" s="23"/>
      <c r="D45" s="22"/>
      <c r="E45" s="23"/>
      <c r="F45" s="23"/>
      <c r="G45" s="29"/>
      <c r="H45" s="24"/>
      <c r="I45" s="24"/>
      <c r="J45" s="24"/>
      <c r="K45" s="24"/>
      <c r="L45" s="23"/>
      <c r="M45" s="24"/>
      <c r="N45" s="24"/>
      <c r="O45" s="24"/>
      <c r="P45" s="24"/>
      <c r="Q45" s="24"/>
      <c r="R45" s="62"/>
      <c r="S45" s="25"/>
      <c r="T45" s="24"/>
      <c r="U45" s="31"/>
      <c r="V45" s="24"/>
      <c r="X45" s="32"/>
      <c r="Y45" s="32"/>
      <c r="AB45" s="189"/>
    </row>
    <row r="46" spans="1:22" ht="15" customHeight="1">
      <c r="A46" s="29"/>
      <c r="B46" s="23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7"/>
      <c r="S46" s="6"/>
      <c r="T46" s="4"/>
      <c r="V46" s="4"/>
    </row>
    <row r="47" spans="1:22" ht="15" customHeight="1">
      <c r="A47" s="2"/>
      <c r="B47" s="23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7"/>
      <c r="S47" s="6"/>
      <c r="T47" s="4"/>
      <c r="V47" s="4"/>
    </row>
    <row r="48" spans="1:22" ht="15" customHeight="1">
      <c r="A48" s="2"/>
      <c r="B48" s="23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3"/>
      <c r="S48" s="6"/>
      <c r="T48" s="4"/>
      <c r="V48" s="4"/>
    </row>
    <row r="49" spans="1:22" ht="15" customHeight="1">
      <c r="A49" s="25"/>
      <c r="B49" s="23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7"/>
      <c r="S49" s="6"/>
      <c r="T49" s="4"/>
      <c r="V49" s="4"/>
    </row>
    <row r="50" spans="1:16" ht="15" customHeight="1">
      <c r="A50" s="15"/>
      <c r="B50" s="16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5"/>
      <c r="B51" s="16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O1:P1"/>
  </mergeCells>
  <printOptions horizontalCentered="1"/>
  <pageMargins left="0.5" right="0.5" top="0.5" bottom="0.5" header="0.3" footer="0.3"/>
  <pageSetup fitToHeight="1" fitToWidth="1" horizontalDpi="600" verticalDpi="600" orientation="landscape" scale="67" r:id="rId2"/>
  <headerFooter alignWithMargins="0">
    <oddHeader xml:space="preserve">&amp;CBy Agilent Technologies&amp;R </oddHeader>
    <oddFooter>&amp;L&amp;F tab &amp;A page &amp;P of &amp;N&amp;RPrinted &amp;T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showGridLines="0" showOutlineSymbols="0" zoomScale="70" zoomScaleNormal="70" workbookViewId="0" topLeftCell="A1">
      <selection activeCell="N1" sqref="N1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8" customWidth="1"/>
    <col min="19" max="19" width="6.00390625" style="5" customWidth="1"/>
    <col min="20" max="20" width="6.57421875" style="5" customWidth="1"/>
    <col min="21" max="21" width="7.28125" style="7" customWidth="1"/>
    <col min="22" max="22" width="7.421875" style="5" customWidth="1"/>
    <col min="23" max="23" width="7.7109375" style="5" customWidth="1"/>
    <col min="24" max="24" width="11.140625" style="10" customWidth="1"/>
    <col min="25" max="25" width="8.8515625" style="10" customWidth="1"/>
    <col min="26" max="26" width="8.140625" style="5" customWidth="1"/>
    <col min="27" max="27" width="7.57421875" style="5" customWidth="1"/>
    <col min="28" max="28" width="10.00390625" style="188" customWidth="1"/>
    <col min="29" max="32" width="10.00390625" style="5" customWidth="1"/>
    <col min="33" max="16384" width="11.140625" style="5" customWidth="1"/>
  </cols>
  <sheetData>
    <row r="1" spans="1:32" s="145" customFormat="1" ht="15.75">
      <c r="A1" s="140" t="s">
        <v>106</v>
      </c>
      <c r="B1" s="122"/>
      <c r="C1" s="122"/>
      <c r="D1" s="122"/>
      <c r="E1" s="127"/>
      <c r="F1" s="127"/>
      <c r="G1" s="127"/>
      <c r="H1" s="127"/>
      <c r="I1" s="127"/>
      <c r="J1" s="127"/>
      <c r="K1" s="141" t="s">
        <v>76</v>
      </c>
      <c r="L1" s="122" t="s">
        <v>95</v>
      </c>
      <c r="M1" s="127"/>
      <c r="N1" s="150" t="s">
        <v>54</v>
      </c>
      <c r="O1" s="200">
        <v>36587</v>
      </c>
      <c r="P1" s="201"/>
      <c r="Q1" s="142" t="s">
        <v>1</v>
      </c>
      <c r="R1" s="143" t="s">
        <v>127</v>
      </c>
      <c r="S1" s="54"/>
      <c r="T1" s="51"/>
      <c r="U1" s="144"/>
      <c r="V1" s="51"/>
      <c r="W1" s="53"/>
      <c r="X1" s="54"/>
      <c r="Y1" s="54"/>
      <c r="Z1" s="53"/>
      <c r="AA1" s="53"/>
      <c r="AB1" s="186"/>
      <c r="AC1" s="53"/>
      <c r="AD1" s="53"/>
      <c r="AE1" s="53"/>
      <c r="AF1" s="53"/>
    </row>
    <row r="2" spans="1:32" ht="15.75">
      <c r="A2" s="65" t="s">
        <v>2</v>
      </c>
      <c r="B2" s="131" t="s">
        <v>3</v>
      </c>
      <c r="C2" s="76"/>
      <c r="D2" s="68"/>
      <c r="E2" s="76"/>
      <c r="F2" s="76"/>
      <c r="G2" s="65"/>
      <c r="H2" s="64"/>
      <c r="I2" s="68" t="s">
        <v>107</v>
      </c>
      <c r="J2" s="149">
        <v>0.5</v>
      </c>
      <c r="K2" s="64" t="s">
        <v>108</v>
      </c>
      <c r="L2" s="64"/>
      <c r="M2" s="76"/>
      <c r="N2" s="64"/>
      <c r="O2" s="65" t="s">
        <v>114</v>
      </c>
      <c r="P2" s="161">
        <f>1000000/$P$6</f>
        <v>720</v>
      </c>
      <c r="Q2" s="64" t="s">
        <v>101</v>
      </c>
      <c r="R2" s="86"/>
      <c r="S2" s="69"/>
      <c r="T2" s="70"/>
      <c r="U2" s="87"/>
      <c r="V2" s="70"/>
      <c r="W2" s="76"/>
      <c r="X2" s="69"/>
      <c r="Y2" s="6"/>
      <c r="Z2" s="1"/>
      <c r="AA2" s="1"/>
      <c r="AB2" s="187"/>
      <c r="AC2" s="1"/>
      <c r="AD2" s="1"/>
      <c r="AE2" s="1"/>
      <c r="AF2" s="1"/>
    </row>
    <row r="3" spans="1:32" ht="15" customHeight="1">
      <c r="A3" s="76"/>
      <c r="B3" s="76"/>
      <c r="C3" s="76"/>
      <c r="D3" s="68" t="s">
        <v>5</v>
      </c>
      <c r="E3" s="170">
        <v>400</v>
      </c>
      <c r="F3" s="64"/>
      <c r="G3" s="64"/>
      <c r="H3" s="76"/>
      <c r="I3" s="65" t="s">
        <v>111</v>
      </c>
      <c r="J3" s="130">
        <v>0.4</v>
      </c>
      <c r="K3" s="76" t="s">
        <v>108</v>
      </c>
      <c r="L3" s="64"/>
      <c r="M3" s="76"/>
      <c r="N3" s="64"/>
      <c r="O3" s="65" t="s">
        <v>4</v>
      </c>
      <c r="P3" s="51">
        <f>IF($B$4&gt;1000,$E$6/1.5,$E$6/3.5)</f>
        <v>1</v>
      </c>
      <c r="Q3" s="64"/>
      <c r="R3" s="86"/>
      <c r="S3" s="89"/>
      <c r="T3" s="90"/>
      <c r="U3" s="87"/>
      <c r="V3" s="70"/>
      <c r="W3" s="76"/>
      <c r="X3" s="69"/>
      <c r="Y3" s="6"/>
      <c r="Z3" s="1"/>
      <c r="AA3" s="1"/>
      <c r="AB3" s="187"/>
      <c r="AC3" s="1"/>
      <c r="AD3" s="1"/>
      <c r="AE3" s="1"/>
      <c r="AF3" s="1"/>
    </row>
    <row r="4" spans="1:32" ht="15" customHeight="1">
      <c r="A4" s="65" t="s">
        <v>55</v>
      </c>
      <c r="B4" s="91">
        <v>830</v>
      </c>
      <c r="C4" s="76"/>
      <c r="D4" s="68" t="s">
        <v>9</v>
      </c>
      <c r="E4" s="88">
        <v>0.11</v>
      </c>
      <c r="F4" s="64"/>
      <c r="G4" s="64"/>
      <c r="H4" s="76"/>
      <c r="I4" s="65" t="s">
        <v>112</v>
      </c>
      <c r="J4" s="177">
        <f>10^(INT(LOG10(J3/9)))</f>
        <v>0.01</v>
      </c>
      <c r="K4" s="64" t="s">
        <v>108</v>
      </c>
      <c r="L4" s="64"/>
      <c r="M4" s="64"/>
      <c r="N4" s="64"/>
      <c r="O4" s="65" t="s">
        <v>6</v>
      </c>
      <c r="P4" s="161">
        <f>B7*1.518</f>
        <v>394.68</v>
      </c>
      <c r="Q4" s="76" t="s">
        <v>101</v>
      </c>
      <c r="R4" s="92" t="s">
        <v>7</v>
      </c>
      <c r="S4" s="90"/>
      <c r="T4" s="90"/>
      <c r="U4" s="87"/>
      <c r="V4" s="70"/>
      <c r="W4" s="76"/>
      <c r="X4" s="69"/>
      <c r="Y4" s="6"/>
      <c r="Z4" s="1"/>
      <c r="AA4" s="1"/>
      <c r="AB4" s="187"/>
      <c r="AC4" s="1"/>
      <c r="AD4" s="1"/>
      <c r="AE4" s="1"/>
      <c r="AF4" s="1"/>
    </row>
    <row r="5" spans="1:32" ht="15" customHeight="1">
      <c r="A5" s="65" t="s">
        <v>8</v>
      </c>
      <c r="B5" s="93">
        <v>0.85</v>
      </c>
      <c r="C5" s="76"/>
      <c r="D5" s="68" t="s">
        <v>56</v>
      </c>
      <c r="E5" s="88">
        <v>1320</v>
      </c>
      <c r="F5" s="64"/>
      <c r="G5" s="64"/>
      <c r="H5" s="76"/>
      <c r="I5" s="65" t="s">
        <v>12</v>
      </c>
      <c r="J5" s="94">
        <v>480</v>
      </c>
      <c r="K5" s="64" t="s">
        <v>105</v>
      </c>
      <c r="L5" s="76"/>
      <c r="M5" s="70"/>
      <c r="N5" s="64"/>
      <c r="O5" s="65" t="s">
        <v>10</v>
      </c>
      <c r="P5" s="103">
        <v>0.55</v>
      </c>
      <c r="Q5" s="64"/>
      <c r="R5" s="92" t="s">
        <v>11</v>
      </c>
      <c r="S5" s="90"/>
      <c r="T5" s="86"/>
      <c r="U5" s="87"/>
      <c r="V5" s="70"/>
      <c r="W5" s="76"/>
      <c r="X5" s="69"/>
      <c r="Y5" s="6"/>
      <c r="Z5" s="1"/>
      <c r="AA5" s="1"/>
      <c r="AB5" s="187"/>
      <c r="AC5" s="1"/>
      <c r="AD5" s="1"/>
      <c r="AE5" s="1"/>
      <c r="AF5" s="1"/>
    </row>
    <row r="6" spans="1:32" ht="15" customHeight="1">
      <c r="A6" s="65" t="s">
        <v>74</v>
      </c>
      <c r="B6" s="88">
        <v>9</v>
      </c>
      <c r="C6" s="76" t="s">
        <v>63</v>
      </c>
      <c r="D6" s="68" t="s">
        <v>97</v>
      </c>
      <c r="E6" s="88">
        <v>3.5</v>
      </c>
      <c r="F6" s="64" t="str">
        <f>"dB/km at "&amp;IF(B4&lt;1000,850,1300)&amp;" nm"</f>
        <v>dB/km at 850 nm</v>
      </c>
      <c r="G6" s="64"/>
      <c r="H6" s="76"/>
      <c r="I6" s="65" t="s">
        <v>15</v>
      </c>
      <c r="J6" s="93">
        <v>7.037</v>
      </c>
      <c r="K6" s="64"/>
      <c r="L6" s="64"/>
      <c r="M6" s="70"/>
      <c r="N6" s="64"/>
      <c r="O6" s="68" t="s">
        <v>13</v>
      </c>
      <c r="P6" s="95">
        <f>(P7)</f>
        <v>1388.888888888889</v>
      </c>
      <c r="Q6" s="69"/>
      <c r="R6" s="90"/>
      <c r="S6" s="86"/>
      <c r="T6" s="86"/>
      <c r="U6" s="87"/>
      <c r="V6" s="70"/>
      <c r="W6" s="76"/>
      <c r="X6" s="69"/>
      <c r="AA6" s="1"/>
      <c r="AB6" s="187"/>
      <c r="AC6" s="1"/>
      <c r="AD6" s="1"/>
      <c r="AE6" s="1"/>
      <c r="AF6" s="1"/>
    </row>
    <row r="7" spans="1:32" ht="15" customHeight="1">
      <c r="A7" s="65" t="s">
        <v>14</v>
      </c>
      <c r="B7" s="88">
        <v>260</v>
      </c>
      <c r="C7" s="76" t="s">
        <v>101</v>
      </c>
      <c r="D7" s="65" t="s">
        <v>98</v>
      </c>
      <c r="E7" s="176">
        <v>1250</v>
      </c>
      <c r="F7" s="76" t="s">
        <v>103</v>
      </c>
      <c r="G7" s="70"/>
      <c r="H7" s="70"/>
      <c r="I7" s="68" t="s">
        <v>102</v>
      </c>
      <c r="J7" s="174">
        <f>2.5*10^5/$E$7</f>
        <v>200</v>
      </c>
      <c r="K7" s="70" t="s">
        <v>101</v>
      </c>
      <c r="L7" s="64"/>
      <c r="M7" s="70"/>
      <c r="N7" s="64"/>
      <c r="O7" s="68" t="s">
        <v>16</v>
      </c>
      <c r="P7" s="96">
        <f>1/((1/$E$7)-$J$8*10^-6)</f>
        <v>1388.888888888889</v>
      </c>
      <c r="Q7" s="69"/>
      <c r="R7" s="90"/>
      <c r="S7" s="98" t="s">
        <v>33</v>
      </c>
      <c r="T7" s="128">
        <f>AE36</f>
        <v>0.040967292608455885</v>
      </c>
      <c r="U7" s="99" t="str">
        <f>"dB at target "&amp;J2&amp;" km"</f>
        <v>dB at target 0.5 km</v>
      </c>
      <c r="V7" s="70"/>
      <c r="W7" s="76"/>
      <c r="X7" s="132"/>
      <c r="AA7" s="1"/>
      <c r="AB7" s="187"/>
      <c r="AC7" s="1"/>
      <c r="AD7" s="1"/>
      <c r="AE7" s="1"/>
      <c r="AF7" s="1"/>
    </row>
    <row r="8" spans="1:32" ht="15" customHeight="1">
      <c r="A8" s="65" t="s">
        <v>86</v>
      </c>
      <c r="B8" s="88">
        <v>-117</v>
      </c>
      <c r="C8" s="114" t="s">
        <v>85</v>
      </c>
      <c r="D8" s="68" t="s">
        <v>99</v>
      </c>
      <c r="E8" s="170">
        <v>1000</v>
      </c>
      <c r="F8" s="76" t="s">
        <v>104</v>
      </c>
      <c r="G8" s="70"/>
      <c r="H8" s="64"/>
      <c r="I8" s="68" t="s">
        <v>19</v>
      </c>
      <c r="J8" s="88">
        <v>80</v>
      </c>
      <c r="K8" s="64"/>
      <c r="L8" s="64"/>
      <c r="M8" s="64"/>
      <c r="N8" s="64"/>
      <c r="O8" s="65" t="s">
        <v>17</v>
      </c>
      <c r="P8" s="66">
        <f>(10^-6)*$J$7*$P$7</f>
        <v>0.27777777777777773</v>
      </c>
      <c r="Q8" s="69"/>
      <c r="R8" s="90"/>
      <c r="S8" s="68" t="s">
        <v>117</v>
      </c>
      <c r="T8" s="53">
        <f>$P$3*((1/(0.00094*$B$4)^4)+1.05)</f>
        <v>3.748834269221546</v>
      </c>
      <c r="U8" s="64" t="str">
        <f>"dB/km at "&amp;B4&amp;" nm"</f>
        <v>dB/km at 830 nm</v>
      </c>
      <c r="V8" s="70"/>
      <c r="W8" s="76"/>
      <c r="X8" s="69"/>
      <c r="Y8" s="6"/>
      <c r="Z8" s="1"/>
      <c r="AA8" s="1"/>
      <c r="AB8" s="187"/>
      <c r="AC8" s="1"/>
      <c r="AD8" s="1"/>
      <c r="AE8" s="1"/>
      <c r="AF8" s="1"/>
    </row>
    <row r="9" spans="1:32" ht="15" customHeight="1">
      <c r="A9" s="65" t="s">
        <v>18</v>
      </c>
      <c r="B9" s="88">
        <v>0.8</v>
      </c>
      <c r="C9" s="76"/>
      <c r="D9" s="68" t="s">
        <v>67</v>
      </c>
      <c r="E9" s="88">
        <v>7.5</v>
      </c>
      <c r="F9" s="76"/>
      <c r="G9" s="76"/>
      <c r="H9" s="64"/>
      <c r="I9" s="68" t="s">
        <v>22</v>
      </c>
      <c r="J9" s="139">
        <v>-9.5</v>
      </c>
      <c r="K9" s="70"/>
      <c r="L9" s="64"/>
      <c r="M9" s="70"/>
      <c r="N9" s="64"/>
      <c r="O9" s="65" t="s">
        <v>20</v>
      </c>
      <c r="P9" s="97">
        <f>(P8)</f>
        <v>0.27777777777777773</v>
      </c>
      <c r="Q9" s="69"/>
      <c r="R9" s="90"/>
      <c r="S9" s="98" t="s">
        <v>73</v>
      </c>
      <c r="T9" s="160">
        <f>350000/$E$8</f>
        <v>350</v>
      </c>
      <c r="U9" s="99" t="s">
        <v>101</v>
      </c>
      <c r="V9" s="70"/>
      <c r="W9" s="33"/>
      <c r="X9" s="43"/>
      <c r="Y9" s="69"/>
      <c r="Z9" s="76"/>
      <c r="AA9" s="76"/>
      <c r="AB9" s="179"/>
      <c r="AC9" s="1"/>
      <c r="AD9" s="1"/>
      <c r="AE9" s="1"/>
      <c r="AF9" s="1"/>
    </row>
    <row r="10" spans="1:32" ht="15" customHeight="1">
      <c r="A10" s="65" t="s">
        <v>21</v>
      </c>
      <c r="B10" s="88">
        <v>0.3</v>
      </c>
      <c r="C10" s="76"/>
      <c r="D10" s="68" t="s">
        <v>68</v>
      </c>
      <c r="E10" s="88">
        <v>1.5</v>
      </c>
      <c r="F10" s="76"/>
      <c r="G10" s="65"/>
      <c r="H10" s="64"/>
      <c r="I10" s="65" t="s">
        <v>26</v>
      </c>
      <c r="J10" s="129">
        <v>9</v>
      </c>
      <c r="K10" s="64"/>
      <c r="L10" s="64"/>
      <c r="M10" s="70"/>
      <c r="N10" s="64"/>
      <c r="O10" s="65" t="s">
        <v>23</v>
      </c>
      <c r="P10" s="51">
        <f>T35-S35</f>
        <v>1.6423534620953246</v>
      </c>
      <c r="Q10" s="70" t="s">
        <v>24</v>
      </c>
      <c r="R10" s="90"/>
      <c r="S10" s="98" t="s">
        <v>100</v>
      </c>
      <c r="T10" s="128">
        <f>(1-1.425*EXP(-1.28*($P$2/$T$9)^2))*((2*SIN(3.1416*$P$9))/(3.1416*$P$9*(1-$P$9^2))-1)</f>
        <v>0.8967246580471736</v>
      </c>
      <c r="U10" s="99" t="s">
        <v>77</v>
      </c>
      <c r="V10" s="112"/>
      <c r="W10" s="76"/>
      <c r="X10" s="115" t="s">
        <v>25</v>
      </c>
      <c r="Y10" s="69"/>
      <c r="Z10" s="64"/>
      <c r="AA10" s="76"/>
      <c r="AB10" s="179"/>
      <c r="AC10" s="1"/>
      <c r="AD10" s="1"/>
      <c r="AE10" s="1"/>
      <c r="AF10" s="1"/>
    </row>
    <row r="11" spans="1:32" ht="15" customHeight="1">
      <c r="A11" s="33"/>
      <c r="B11" s="33"/>
      <c r="C11" s="33"/>
      <c r="D11" s="34"/>
      <c r="E11" s="34"/>
      <c r="F11" s="34"/>
      <c r="G11" s="34"/>
      <c r="H11" s="34"/>
      <c r="I11" s="35" t="s">
        <v>75</v>
      </c>
      <c r="J11" s="36">
        <v>0</v>
      </c>
      <c r="K11" s="37" t="s">
        <v>66</v>
      </c>
      <c r="L11" s="38"/>
      <c r="M11" s="38"/>
      <c r="N11" s="34"/>
      <c r="O11" s="39" t="s">
        <v>62</v>
      </c>
      <c r="P11" s="40">
        <f>10*LOG10(1/SQRT(1-($J$6*J11)^2))</f>
        <v>0</v>
      </c>
      <c r="Q11" s="37" t="s">
        <v>63</v>
      </c>
      <c r="R11" s="59"/>
      <c r="S11" s="39" t="s">
        <v>61</v>
      </c>
      <c r="T11" s="41">
        <f>10*LOG10(1/SQRT(1-($J$6*$J$11/$T$10)^2))</f>
        <v>0</v>
      </c>
      <c r="U11" s="42" t="s">
        <v>63</v>
      </c>
      <c r="V11" s="113"/>
      <c r="W11" s="76"/>
      <c r="X11" s="100" t="s">
        <v>27</v>
      </c>
      <c r="Y11" s="6" t="s">
        <v>28</v>
      </c>
      <c r="Z11" s="12" t="s">
        <v>34</v>
      </c>
      <c r="AA11" s="12" t="s">
        <v>29</v>
      </c>
      <c r="AB11" s="180" t="s">
        <v>78</v>
      </c>
      <c r="AC11" s="1"/>
      <c r="AD11" s="1"/>
      <c r="AE11" s="1"/>
      <c r="AF11" s="1"/>
    </row>
    <row r="12" spans="1:32" ht="15" customHeight="1">
      <c r="A12" s="133" t="s">
        <v>88</v>
      </c>
      <c r="B12" s="69" t="s">
        <v>57</v>
      </c>
      <c r="C12" s="69" t="s">
        <v>36</v>
      </c>
      <c r="D12" s="75" t="s">
        <v>80</v>
      </c>
      <c r="E12" s="75" t="s">
        <v>81</v>
      </c>
      <c r="F12" s="76" t="s">
        <v>82</v>
      </c>
      <c r="G12" s="76" t="s">
        <v>83</v>
      </c>
      <c r="H12" s="67" t="s">
        <v>37</v>
      </c>
      <c r="I12" s="68" t="s">
        <v>38</v>
      </c>
      <c r="J12" s="69" t="s">
        <v>39</v>
      </c>
      <c r="K12" s="70" t="s">
        <v>40</v>
      </c>
      <c r="L12" s="68" t="s">
        <v>41</v>
      </c>
      <c r="M12" s="68" t="s">
        <v>42</v>
      </c>
      <c r="N12" s="68" t="s">
        <v>43</v>
      </c>
      <c r="O12" s="71" t="s">
        <v>79</v>
      </c>
      <c r="P12" s="68" t="s">
        <v>44</v>
      </c>
      <c r="Q12" s="68" t="s">
        <v>45</v>
      </c>
      <c r="R12" s="72" t="s">
        <v>46</v>
      </c>
      <c r="S12" s="69" t="s">
        <v>47</v>
      </c>
      <c r="T12" s="73" t="s">
        <v>48</v>
      </c>
      <c r="U12" s="71" t="s">
        <v>49</v>
      </c>
      <c r="V12" s="70" t="s">
        <v>50</v>
      </c>
      <c r="W12" s="74" t="s">
        <v>33</v>
      </c>
      <c r="X12" s="101" t="s">
        <v>32</v>
      </c>
      <c r="Y12" s="6" t="s">
        <v>33</v>
      </c>
      <c r="Z12" s="10" t="s">
        <v>89</v>
      </c>
      <c r="AA12" s="6" t="s">
        <v>35</v>
      </c>
      <c r="AB12" s="180" t="s">
        <v>65</v>
      </c>
      <c r="AC12" s="1"/>
      <c r="AD12" s="1"/>
      <c r="AE12" s="173" t="s">
        <v>118</v>
      </c>
      <c r="AF12" s="1"/>
    </row>
    <row r="13" spans="1:32" s="34" customFormat="1" ht="15" customHeight="1">
      <c r="A13" s="134" t="s">
        <v>87</v>
      </c>
      <c r="B13" s="44" t="s">
        <v>58</v>
      </c>
      <c r="C13" s="44" t="s">
        <v>58</v>
      </c>
      <c r="D13" s="45" t="s">
        <v>84</v>
      </c>
      <c r="E13" s="45" t="s">
        <v>84</v>
      </c>
      <c r="F13" s="33" t="s">
        <v>113</v>
      </c>
      <c r="G13" s="33" t="s">
        <v>113</v>
      </c>
      <c r="H13" s="46" t="s">
        <v>30</v>
      </c>
      <c r="I13" s="47" t="s">
        <v>30</v>
      </c>
      <c r="J13" s="33"/>
      <c r="K13" s="48"/>
      <c r="L13" s="47" t="s">
        <v>30</v>
      </c>
      <c r="M13" s="47"/>
      <c r="N13" s="47" t="s">
        <v>30</v>
      </c>
      <c r="O13" s="47" t="s">
        <v>30</v>
      </c>
      <c r="P13" s="47" t="s">
        <v>30</v>
      </c>
      <c r="Q13" s="47" t="s">
        <v>30</v>
      </c>
      <c r="R13" s="60" t="s">
        <v>30</v>
      </c>
      <c r="S13" s="44" t="s">
        <v>30</v>
      </c>
      <c r="T13" s="48" t="s">
        <v>30</v>
      </c>
      <c r="U13" s="49" t="s">
        <v>30</v>
      </c>
      <c r="V13" s="49" t="s">
        <v>31</v>
      </c>
      <c r="W13" s="50" t="s">
        <v>30</v>
      </c>
      <c r="X13" s="102" t="s">
        <v>51</v>
      </c>
      <c r="Y13" s="44" t="s">
        <v>52</v>
      </c>
      <c r="Z13" s="44" t="s">
        <v>30</v>
      </c>
      <c r="AA13" s="44" t="s">
        <v>53</v>
      </c>
      <c r="AB13" s="181" t="s">
        <v>64</v>
      </c>
      <c r="AC13" s="151" t="s">
        <v>110</v>
      </c>
      <c r="AD13" s="152" t="s">
        <v>109</v>
      </c>
      <c r="AE13" s="152" t="s">
        <v>119</v>
      </c>
      <c r="AF13" s="33"/>
    </row>
    <row r="14" spans="1:32" s="127" customFormat="1" ht="15" customHeight="1">
      <c r="A14" s="135">
        <v>0.002</v>
      </c>
      <c r="B14" s="119">
        <f aca="true" t="shared" si="0" ref="B14:B35">0.25*$E$4*$B$4*(1-($E$5/$B$4)^4)</f>
        <v>-123.18887999377392</v>
      </c>
      <c r="C14" s="142">
        <f aca="true" t="shared" si="1" ref="C14:C35">0.7*$E$4*$B$5</f>
        <v>0.06545</v>
      </c>
      <c r="D14" s="120">
        <f aca="true" t="shared" si="2" ref="D14:D35">(0.187/(A14*$B$5))*(10^6/SQRT(B14^2+C14^2))</f>
        <v>892937.6132025827</v>
      </c>
      <c r="E14" s="120">
        <f aca="true" t="shared" si="3" ref="E14:E35">$E$3/A14</f>
        <v>200000</v>
      </c>
      <c r="F14" s="165">
        <f>SQRT(($J$5/D14)^2+($J$5/E14)^2+$P$4^2)</f>
        <v>394.6800000076631</v>
      </c>
      <c r="G14" s="165">
        <f aca="true" t="shared" si="4" ref="G14:G35">SQRT(F14^2+(350000/$E$8)^2)</f>
        <v>527.5152153313201</v>
      </c>
      <c r="H14" s="121">
        <f aca="true" t="shared" si="5" ref="H14:H35">-10*LOG10(1-1.425*EXP(-1.28*($P$2/G14)^2))</f>
        <v>0.611236333786687</v>
      </c>
      <c r="I14" s="119">
        <f aca="true" t="shared" si="6" ref="I14:I35">A14*$P$3*((1/(0.00094*$B$4)^4)+1.05)</f>
        <v>0.007497668538443092</v>
      </c>
      <c r="J14" s="122">
        <f aca="true" t="shared" si="7" ref="J14:J35">(10^-6)*3.14*$P$6*B14*A14*$B$5</f>
        <v>-0.0009133086686205074</v>
      </c>
      <c r="K14" s="119">
        <f aca="true" t="shared" si="8" ref="K14:K35">($B$9/SQRT(2))*(1-EXP(-1*J14^2))</f>
        <v>4.718565277408399E-07</v>
      </c>
      <c r="L14" s="119">
        <f aca="true" t="shared" si="9" ref="L14:L35">10*LOG10(1/SQRT(1-($J$6*K14)^2))</f>
        <v>2.3941358012052466E-11</v>
      </c>
      <c r="M14" s="119"/>
      <c r="N14" s="119"/>
      <c r="O14" s="119">
        <f aca="true" t="shared" si="10" ref="O14:O35">10*LOG10(1/SQRT(1-($J$6*$J$6*((($J$11/AB14)^2)+M14+(K14*K14)))))-$T$11-L14-N14</f>
        <v>0</v>
      </c>
      <c r="P14" s="119">
        <f aca="true" t="shared" si="11" ref="P14:P35">Z14-AA14</f>
        <v>0</v>
      </c>
      <c r="Q14" s="119">
        <f aca="true" t="shared" si="12" ref="Q14:Q35">$B$10</f>
        <v>0.3</v>
      </c>
      <c r="R14" s="123">
        <f aca="true" t="shared" si="13" ref="R14:R35">-10*LOG10((2*SIN(3.1416*$P$9))/(3.1416*$P$9*(1-$P$9^2))-1)</f>
        <v>0.4458340956509569</v>
      </c>
      <c r="S14" s="124">
        <f aca="true" t="shared" si="14" ref="S14:S35">$E$9-$E$10</f>
        <v>6</v>
      </c>
      <c r="T14" s="178">
        <f aca="true" t="shared" si="15" ref="T14:T35">H14+I14+L14+N14+O14+P14+Q14+R14</f>
        <v>1.3645680980000283</v>
      </c>
      <c r="U14" s="119">
        <f aca="true" t="shared" si="16" ref="U14:U35">$E$10+I14</f>
        <v>1.5074976685384431</v>
      </c>
      <c r="V14" s="119">
        <f aca="true" t="shared" si="17" ref="V14:V35">T14-I14</f>
        <v>1.3570704294615852</v>
      </c>
      <c r="W14" s="125">
        <f aca="true" t="shared" si="18" ref="W14:W35">S14-T14</f>
        <v>4.635431901999972</v>
      </c>
      <c r="X14" s="126">
        <f aca="true" t="shared" si="19" ref="X14:X35">$J$9-U14-R14-P14</f>
        <v>-11.4533317641894</v>
      </c>
      <c r="Y14" s="124"/>
      <c r="Z14" s="119">
        <f aca="true" t="shared" si="20" ref="Z14:Z35">10*LOG10((1+10^(-($B$6/10)))/(1-10^(-($B$6/10))))</f>
        <v>1.0993211590790997</v>
      </c>
      <c r="AA14" s="119">
        <f aca="true" t="shared" si="21" ref="AA14:AA35">10*LOG10((1+10^(-($J$10/10)))/(1-10^(-($J$10/10))))</f>
        <v>1.0993211590790997</v>
      </c>
      <c r="AB14" s="182">
        <f aca="true" t="shared" si="22" ref="AB14:AB35">10^(-(H14+R14)/10)</f>
        <v>0.7839582902122958</v>
      </c>
      <c r="AC14" s="153"/>
      <c r="AD14" s="154"/>
      <c r="AE14" s="122"/>
      <c r="AF14" s="122"/>
    </row>
    <row r="15" spans="1:32" s="21" customFormat="1" ht="15" customHeight="1">
      <c r="A15" s="136">
        <f>$J$3</f>
        <v>0.4</v>
      </c>
      <c r="B15" s="103">
        <f t="shared" si="0"/>
        <v>-123.18887999377392</v>
      </c>
      <c r="C15" s="146">
        <f t="shared" si="1"/>
        <v>0.06545</v>
      </c>
      <c r="D15" s="167">
        <f t="shared" si="2"/>
        <v>4464.688066012913</v>
      </c>
      <c r="E15" s="167">
        <f t="shared" si="3"/>
        <v>1000</v>
      </c>
      <c r="F15" s="116">
        <f aca="true" t="shared" si="23" ref="F15:F35">SQRT((1000*$J$5/D15)^2+(1000*$J$5/E15)^2+$P$4^2)</f>
        <v>630.6589960122309</v>
      </c>
      <c r="G15" s="116">
        <f t="shared" si="4"/>
        <v>721.2702470303035</v>
      </c>
      <c r="H15" s="159">
        <f t="shared" si="5"/>
        <v>2.2039765071811988</v>
      </c>
      <c r="I15" s="103">
        <f t="shared" si="6"/>
        <v>1.4995337076886184</v>
      </c>
      <c r="J15" s="103">
        <f t="shared" si="7"/>
        <v>-0.18266173372410147</v>
      </c>
      <c r="K15" s="103">
        <f t="shared" si="8"/>
        <v>0.018562869000504436</v>
      </c>
      <c r="L15" s="103">
        <f t="shared" si="9"/>
        <v>0.037372444168297596</v>
      </c>
      <c r="M15" s="103">
        <f aca="true" t="shared" si="24" ref="M15:M35">$P$5*10^9*($J$5/G15)*10^($B$8/10)</f>
        <v>0.0007303077498629337</v>
      </c>
      <c r="N15" s="103">
        <f aca="true" t="shared" si="25" ref="N15:N35">10*LOG10(1/SQRT(1-($J$6^2)*M15))</f>
        <v>0.07998513628316035</v>
      </c>
      <c r="O15" s="103">
        <f t="shared" si="10"/>
        <v>0.0014148605033610234</v>
      </c>
      <c r="P15" s="103">
        <f t="shared" si="11"/>
        <v>0</v>
      </c>
      <c r="Q15" s="103">
        <f t="shared" si="12"/>
        <v>0.3</v>
      </c>
      <c r="R15" s="107">
        <f t="shared" si="13"/>
        <v>0.4458340956509569</v>
      </c>
      <c r="S15" s="108">
        <f t="shared" si="14"/>
        <v>6</v>
      </c>
      <c r="T15" s="104">
        <f t="shared" si="15"/>
        <v>4.568116751475594</v>
      </c>
      <c r="U15" s="103">
        <f t="shared" si="16"/>
        <v>2.9995337076886184</v>
      </c>
      <c r="V15" s="103">
        <f t="shared" si="17"/>
        <v>3.068583043786975</v>
      </c>
      <c r="W15" s="109">
        <f t="shared" si="18"/>
        <v>1.4318832485244064</v>
      </c>
      <c r="X15" s="110">
        <f t="shared" si="19"/>
        <v>-12.945367803339575</v>
      </c>
      <c r="Y15" s="20"/>
      <c r="Z15" s="19">
        <f t="shared" si="20"/>
        <v>1.0993211590790997</v>
      </c>
      <c r="AA15" s="19">
        <f t="shared" si="21"/>
        <v>1.0993211590790997</v>
      </c>
      <c r="AB15" s="183">
        <f t="shared" si="22"/>
        <v>0.543274023324144</v>
      </c>
      <c r="AC15" s="155">
        <f aca="true" t="shared" si="26" ref="AC15:AC35">$J$2</f>
        <v>0.5</v>
      </c>
      <c r="AD15" s="156">
        <v>0</v>
      </c>
      <c r="AE15" s="156">
        <f>IF(A15=$J$2,W15,0)</f>
        <v>0</v>
      </c>
      <c r="AF15" s="18"/>
    </row>
    <row r="16" spans="1:32" s="27" customFormat="1" ht="15" customHeight="1">
      <c r="A16" s="137">
        <f aca="true" t="shared" si="27" ref="A16:A35">A15+$J$4</f>
        <v>0.41000000000000003</v>
      </c>
      <c r="B16" s="51">
        <f t="shared" si="0"/>
        <v>-123.18887999377392</v>
      </c>
      <c r="C16" s="147">
        <f t="shared" si="1"/>
        <v>0.06545</v>
      </c>
      <c r="D16" s="168">
        <f t="shared" si="2"/>
        <v>4355.793235134549</v>
      </c>
      <c r="E16" s="168">
        <f t="shared" si="3"/>
        <v>975.6097560975609</v>
      </c>
      <c r="F16" s="117">
        <f t="shared" si="23"/>
        <v>640.2967410783026</v>
      </c>
      <c r="G16" s="117">
        <f t="shared" si="4"/>
        <v>729.7122149419557</v>
      </c>
      <c r="H16" s="52">
        <f t="shared" si="5"/>
        <v>2.2903210303428714</v>
      </c>
      <c r="I16" s="51">
        <f t="shared" si="6"/>
        <v>1.537022050380834</v>
      </c>
      <c r="J16" s="51">
        <f t="shared" si="7"/>
        <v>-0.18722827706720402</v>
      </c>
      <c r="K16" s="51">
        <f t="shared" si="8"/>
        <v>0.019486243912822297</v>
      </c>
      <c r="L16" s="51">
        <f t="shared" si="9"/>
        <v>0.04121934638035312</v>
      </c>
      <c r="M16" s="51">
        <f t="shared" si="24"/>
        <v>0.0007218588922671151</v>
      </c>
      <c r="N16" s="51">
        <f t="shared" si="25"/>
        <v>0.0790427473164397</v>
      </c>
      <c r="O16" s="51">
        <f t="shared" si="10"/>
        <v>0.0015431915194968338</v>
      </c>
      <c r="P16" s="51">
        <f t="shared" si="11"/>
        <v>0</v>
      </c>
      <c r="Q16" s="51">
        <f t="shared" si="12"/>
        <v>0.3</v>
      </c>
      <c r="R16" s="61">
        <f t="shared" si="13"/>
        <v>0.4458340956509569</v>
      </c>
      <c r="S16" s="54">
        <f t="shared" si="14"/>
        <v>6</v>
      </c>
      <c r="T16" s="55">
        <f t="shared" si="15"/>
        <v>4.694982461590953</v>
      </c>
      <c r="U16" s="51">
        <f t="shared" si="16"/>
        <v>3.037022050380834</v>
      </c>
      <c r="V16" s="51">
        <f t="shared" si="17"/>
        <v>3.1579604112101185</v>
      </c>
      <c r="W16" s="56">
        <f t="shared" si="18"/>
        <v>1.3050175384090474</v>
      </c>
      <c r="X16" s="105">
        <f t="shared" si="19"/>
        <v>-12.982856146031791</v>
      </c>
      <c r="Y16" s="26">
        <f aca="true" t="shared" si="28" ref="Y16:Y34">(W17-W15)/2</f>
        <v>-0.12820039020603646</v>
      </c>
      <c r="Z16" s="24">
        <f t="shared" si="20"/>
        <v>1.0993211590790997</v>
      </c>
      <c r="AA16" s="24">
        <f t="shared" si="21"/>
        <v>1.0993211590790997</v>
      </c>
      <c r="AB16" s="184">
        <f t="shared" si="22"/>
        <v>0.5325795512576641</v>
      </c>
      <c r="AC16" s="155">
        <f t="shared" si="26"/>
        <v>0.5</v>
      </c>
      <c r="AD16" s="157">
        <f aca="true" t="shared" si="29" ref="AD16:AD34">AD17</f>
        <v>7.9</v>
      </c>
      <c r="AE16" s="156">
        <f aca="true" t="shared" si="30" ref="AE16:AE35">IF(A16=$J$2,W16,0)</f>
        <v>0</v>
      </c>
      <c r="AF16" s="23"/>
    </row>
    <row r="17" spans="1:32" s="27" customFormat="1" ht="15" customHeight="1">
      <c r="A17" s="137">
        <f t="shared" si="27"/>
        <v>0.42000000000000004</v>
      </c>
      <c r="B17" s="51">
        <f t="shared" si="0"/>
        <v>-123.18887999377392</v>
      </c>
      <c r="C17" s="147">
        <f t="shared" si="1"/>
        <v>0.06545</v>
      </c>
      <c r="D17" s="168">
        <f t="shared" si="2"/>
        <v>4252.08387239325</v>
      </c>
      <c r="E17" s="168">
        <f t="shared" si="3"/>
        <v>952.3809523809523</v>
      </c>
      <c r="F17" s="117">
        <f t="shared" si="23"/>
        <v>650.0242396275685</v>
      </c>
      <c r="G17" s="117">
        <f t="shared" si="4"/>
        <v>738.2624953926609</v>
      </c>
      <c r="H17" s="52">
        <f t="shared" si="5"/>
        <v>2.379027818223553</v>
      </c>
      <c r="I17" s="51">
        <f t="shared" si="6"/>
        <v>1.5745103930730495</v>
      </c>
      <c r="J17" s="51">
        <f t="shared" si="7"/>
        <v>-0.19179482041030654</v>
      </c>
      <c r="K17" s="51">
        <f t="shared" si="8"/>
        <v>0.020430801662197733</v>
      </c>
      <c r="L17" s="51">
        <f t="shared" si="9"/>
        <v>0.04535528152643283</v>
      </c>
      <c r="M17" s="51">
        <f t="shared" si="24"/>
        <v>0.0007134985922204002</v>
      </c>
      <c r="N17" s="51">
        <f t="shared" si="25"/>
        <v>0.0781106384968981</v>
      </c>
      <c r="O17" s="51">
        <f t="shared" si="10"/>
        <v>0.0016793049167768276</v>
      </c>
      <c r="P17" s="51">
        <f t="shared" si="11"/>
        <v>0</v>
      </c>
      <c r="Q17" s="51">
        <f t="shared" si="12"/>
        <v>0.3</v>
      </c>
      <c r="R17" s="61">
        <f t="shared" si="13"/>
        <v>0.4458340956509569</v>
      </c>
      <c r="S17" s="54">
        <f t="shared" si="14"/>
        <v>6</v>
      </c>
      <c r="T17" s="55">
        <f t="shared" si="15"/>
        <v>4.8245175318876665</v>
      </c>
      <c r="U17" s="51">
        <f t="shared" si="16"/>
        <v>3.0745103930730497</v>
      </c>
      <c r="V17" s="51">
        <f t="shared" si="17"/>
        <v>3.250007138814617</v>
      </c>
      <c r="W17" s="56">
        <f t="shared" si="18"/>
        <v>1.1754824681123335</v>
      </c>
      <c r="X17" s="105">
        <f t="shared" si="19"/>
        <v>-13.020344488724007</v>
      </c>
      <c r="Y17" s="26">
        <f t="shared" si="28"/>
        <v>-0.13087678688237148</v>
      </c>
      <c r="Z17" s="24">
        <f t="shared" si="20"/>
        <v>1.0993211590790997</v>
      </c>
      <c r="AA17" s="24">
        <f t="shared" si="21"/>
        <v>1.0993211590790997</v>
      </c>
      <c r="AB17" s="184">
        <f t="shared" si="22"/>
        <v>0.5218116952418204</v>
      </c>
      <c r="AC17" s="155">
        <f t="shared" si="26"/>
        <v>0.5</v>
      </c>
      <c r="AD17" s="157">
        <f t="shared" si="29"/>
        <v>7.9</v>
      </c>
      <c r="AE17" s="156">
        <f t="shared" si="30"/>
        <v>0</v>
      </c>
      <c r="AF17" s="23"/>
    </row>
    <row r="18" spans="1:31" s="27" customFormat="1" ht="15" customHeight="1">
      <c r="A18" s="137">
        <f t="shared" si="27"/>
        <v>0.43000000000000005</v>
      </c>
      <c r="B18" s="51">
        <f t="shared" si="0"/>
        <v>-123.18887999377392</v>
      </c>
      <c r="C18" s="147">
        <f t="shared" si="1"/>
        <v>0.06545</v>
      </c>
      <c r="D18" s="168">
        <f t="shared" si="2"/>
        <v>4153.1982009422445</v>
      </c>
      <c r="E18" s="168">
        <f t="shared" si="3"/>
        <v>930.2325581395348</v>
      </c>
      <c r="F18" s="117">
        <f t="shared" si="23"/>
        <v>659.837522163499</v>
      </c>
      <c r="G18" s="117">
        <f t="shared" si="4"/>
        <v>746.9173686927263</v>
      </c>
      <c r="H18" s="52">
        <f t="shared" si="5"/>
        <v>2.470095927964215</v>
      </c>
      <c r="I18" s="51">
        <f t="shared" si="6"/>
        <v>1.611998735765265</v>
      </c>
      <c r="J18" s="51">
        <f t="shared" si="7"/>
        <v>-0.1963613637534091</v>
      </c>
      <c r="K18" s="51">
        <f t="shared" si="8"/>
        <v>0.021396426897663696</v>
      </c>
      <c r="L18" s="51">
        <f t="shared" si="9"/>
        <v>0.0497945562528925</v>
      </c>
      <c r="M18" s="51">
        <f t="shared" si="24"/>
        <v>0.0007052309575739458</v>
      </c>
      <c r="N18" s="51">
        <f t="shared" si="25"/>
        <v>0.07718925446740725</v>
      </c>
      <c r="O18" s="51">
        <f t="shared" si="10"/>
        <v>0.001823465254959869</v>
      </c>
      <c r="P18" s="51">
        <f t="shared" si="11"/>
        <v>0</v>
      </c>
      <c r="Q18" s="51">
        <f t="shared" si="12"/>
        <v>0.3</v>
      </c>
      <c r="R18" s="61">
        <f t="shared" si="13"/>
        <v>0.4458340956509569</v>
      </c>
      <c r="S18" s="54">
        <f t="shared" si="14"/>
        <v>6</v>
      </c>
      <c r="T18" s="55">
        <f t="shared" si="15"/>
        <v>4.9567360353556955</v>
      </c>
      <c r="U18" s="51">
        <f t="shared" si="16"/>
        <v>3.111998735765265</v>
      </c>
      <c r="V18" s="51">
        <f t="shared" si="17"/>
        <v>3.3447372995904305</v>
      </c>
      <c r="W18" s="56">
        <f t="shared" si="18"/>
        <v>1.0432639646443045</v>
      </c>
      <c r="X18" s="105">
        <f t="shared" si="19"/>
        <v>-13.057832831416222</v>
      </c>
      <c r="Y18" s="26">
        <f t="shared" si="28"/>
        <v>-0.1335681286469077</v>
      </c>
      <c r="Z18" s="24">
        <f t="shared" si="20"/>
        <v>1.0993211590790997</v>
      </c>
      <c r="AA18" s="24">
        <f t="shared" si="21"/>
        <v>1.0993211590790997</v>
      </c>
      <c r="AB18" s="184">
        <f t="shared" si="22"/>
        <v>0.5109836422930466</v>
      </c>
      <c r="AC18" s="155">
        <f t="shared" si="26"/>
        <v>0.5</v>
      </c>
      <c r="AD18" s="157">
        <f t="shared" si="29"/>
        <v>7.9</v>
      </c>
      <c r="AE18" s="156">
        <f t="shared" si="30"/>
        <v>0</v>
      </c>
    </row>
    <row r="19" spans="1:31" s="27" customFormat="1" ht="15" customHeight="1">
      <c r="A19" s="137">
        <f t="shared" si="27"/>
        <v>0.44000000000000006</v>
      </c>
      <c r="B19" s="51">
        <f t="shared" si="0"/>
        <v>-123.18887999377392</v>
      </c>
      <c r="C19" s="147">
        <f t="shared" si="1"/>
        <v>0.06545</v>
      </c>
      <c r="D19" s="168">
        <f t="shared" si="2"/>
        <v>4058.8073327390116</v>
      </c>
      <c r="E19" s="168">
        <f t="shared" si="3"/>
        <v>909.090909090909</v>
      </c>
      <c r="F19" s="117">
        <f t="shared" si="23"/>
        <v>669.7328178385002</v>
      </c>
      <c r="G19" s="117">
        <f t="shared" si="4"/>
        <v>755.6732410836695</v>
      </c>
      <c r="H19" s="52">
        <f t="shared" si="5"/>
        <v>2.56352579578081</v>
      </c>
      <c r="I19" s="51">
        <f t="shared" si="6"/>
        <v>1.6494870784574804</v>
      </c>
      <c r="J19" s="51">
        <f t="shared" si="7"/>
        <v>-0.20092790709651165</v>
      </c>
      <c r="K19" s="51">
        <f t="shared" si="8"/>
        <v>0.022383001836541426</v>
      </c>
      <c r="L19" s="51">
        <f t="shared" si="9"/>
        <v>0.054551895756250315</v>
      </c>
      <c r="M19" s="51">
        <f t="shared" si="24"/>
        <v>0.0006970595523488447</v>
      </c>
      <c r="N19" s="51">
        <f t="shared" si="25"/>
        <v>0.07627897869092183</v>
      </c>
      <c r="O19" s="51">
        <f t="shared" si="10"/>
        <v>0.0019759448450628048</v>
      </c>
      <c r="P19" s="51">
        <f t="shared" si="11"/>
        <v>0</v>
      </c>
      <c r="Q19" s="51">
        <f t="shared" si="12"/>
        <v>0.3</v>
      </c>
      <c r="R19" s="61">
        <f t="shared" si="13"/>
        <v>0.4458340956509569</v>
      </c>
      <c r="S19" s="54">
        <f t="shared" si="14"/>
        <v>6</v>
      </c>
      <c r="T19" s="55">
        <f t="shared" si="15"/>
        <v>5.091653789181482</v>
      </c>
      <c r="U19" s="51">
        <f t="shared" si="16"/>
        <v>3.14948707845748</v>
      </c>
      <c r="V19" s="51">
        <f t="shared" si="17"/>
        <v>3.4421667107240017</v>
      </c>
      <c r="W19" s="56">
        <f t="shared" si="18"/>
        <v>0.9083462108185181</v>
      </c>
      <c r="X19" s="105">
        <f t="shared" si="19"/>
        <v>-13.095321174108436</v>
      </c>
      <c r="Y19" s="26">
        <f t="shared" si="28"/>
        <v>-0.13627632241645093</v>
      </c>
      <c r="Z19" s="24">
        <f t="shared" si="20"/>
        <v>1.0993211590790997</v>
      </c>
      <c r="AA19" s="24">
        <f t="shared" si="21"/>
        <v>1.0993211590790997</v>
      </c>
      <c r="AB19" s="184">
        <f t="shared" si="22"/>
        <v>0.5001082407210874</v>
      </c>
      <c r="AC19" s="155">
        <f t="shared" si="26"/>
        <v>0.5</v>
      </c>
      <c r="AD19" s="157">
        <f t="shared" si="29"/>
        <v>7.9</v>
      </c>
      <c r="AE19" s="156">
        <f t="shared" si="30"/>
        <v>0</v>
      </c>
    </row>
    <row r="20" spans="1:31" s="21" customFormat="1" ht="15" customHeight="1">
      <c r="A20" s="136">
        <f t="shared" si="27"/>
        <v>0.45000000000000007</v>
      </c>
      <c r="B20" s="103">
        <f t="shared" si="0"/>
        <v>-123.18887999377392</v>
      </c>
      <c r="C20" s="146">
        <f t="shared" si="1"/>
        <v>0.06545</v>
      </c>
      <c r="D20" s="167">
        <f t="shared" si="2"/>
        <v>3968.6116142337</v>
      </c>
      <c r="E20" s="167">
        <f t="shared" si="3"/>
        <v>888.8888888888888</v>
      </c>
      <c r="F20" s="116">
        <f t="shared" si="23"/>
        <v>679.7065447739143</v>
      </c>
      <c r="G20" s="116">
        <f t="shared" si="4"/>
        <v>764.5266424451754</v>
      </c>
      <c r="H20" s="106">
        <f t="shared" si="5"/>
        <v>2.6593195412648054</v>
      </c>
      <c r="I20" s="103">
        <f t="shared" si="6"/>
        <v>1.686975421149696</v>
      </c>
      <c r="J20" s="103">
        <f t="shared" si="7"/>
        <v>-0.20549445043961417</v>
      </c>
      <c r="K20" s="103">
        <f t="shared" si="8"/>
        <v>0.02339040628837812</v>
      </c>
      <c r="L20" s="103">
        <f t="shared" si="9"/>
        <v>0.05964245937228374</v>
      </c>
      <c r="M20" s="103">
        <f t="shared" si="24"/>
        <v>0.0006889874360258893</v>
      </c>
      <c r="N20" s="103">
        <f t="shared" si="25"/>
        <v>0.07538013797305548</v>
      </c>
      <c r="O20" s="103">
        <f t="shared" si="10"/>
        <v>0.002137024777800478</v>
      </c>
      <c r="P20" s="103">
        <f t="shared" si="11"/>
        <v>0</v>
      </c>
      <c r="Q20" s="103">
        <f t="shared" si="12"/>
        <v>0.3</v>
      </c>
      <c r="R20" s="107">
        <f t="shared" si="13"/>
        <v>0.4458340956509569</v>
      </c>
      <c r="S20" s="108">
        <f t="shared" si="14"/>
        <v>6</v>
      </c>
      <c r="T20" s="104">
        <f t="shared" si="15"/>
        <v>5.229288680188597</v>
      </c>
      <c r="U20" s="103">
        <f t="shared" si="16"/>
        <v>3.186975421149696</v>
      </c>
      <c r="V20" s="103">
        <f t="shared" si="17"/>
        <v>3.5423132590389015</v>
      </c>
      <c r="W20" s="109">
        <f t="shared" si="18"/>
        <v>0.7707113198114026</v>
      </c>
      <c r="X20" s="110">
        <f t="shared" si="19"/>
        <v>-13.132809516800654</v>
      </c>
      <c r="Y20" s="28">
        <f t="shared" si="28"/>
        <v>-0.13900360167466141</v>
      </c>
      <c r="Z20" s="19">
        <f t="shared" si="20"/>
        <v>1.0993211590790997</v>
      </c>
      <c r="AA20" s="19">
        <f t="shared" si="21"/>
        <v>1.0993211590790997</v>
      </c>
      <c r="AB20" s="183">
        <f t="shared" si="22"/>
        <v>0.48919795885995154</v>
      </c>
      <c r="AC20" s="155">
        <f t="shared" si="26"/>
        <v>0.5</v>
      </c>
      <c r="AD20" s="157">
        <f t="shared" si="29"/>
        <v>7.9</v>
      </c>
      <c r="AE20" s="156">
        <f t="shared" si="30"/>
        <v>0</v>
      </c>
    </row>
    <row r="21" spans="1:31" s="27" customFormat="1" ht="15" customHeight="1">
      <c r="A21" s="137">
        <f t="shared" si="27"/>
        <v>0.4600000000000001</v>
      </c>
      <c r="B21" s="51">
        <f t="shared" si="0"/>
        <v>-123.18887999377392</v>
      </c>
      <c r="C21" s="147">
        <f t="shared" si="1"/>
        <v>0.06545</v>
      </c>
      <c r="D21" s="168">
        <f t="shared" si="2"/>
        <v>3882.3374487068804</v>
      </c>
      <c r="E21" s="168">
        <f t="shared" si="3"/>
        <v>869.5652173913043</v>
      </c>
      <c r="F21" s="117">
        <f t="shared" si="23"/>
        <v>689.7553006760097</v>
      </c>
      <c r="G21" s="117">
        <f t="shared" si="4"/>
        <v>773.4742237532241</v>
      </c>
      <c r="H21" s="52">
        <f t="shared" si="5"/>
        <v>2.7574812723518702</v>
      </c>
      <c r="I21" s="51">
        <f t="shared" si="6"/>
        <v>1.7244637638419114</v>
      </c>
      <c r="J21" s="51">
        <f t="shared" si="7"/>
        <v>-0.2100609937827167</v>
      </c>
      <c r="K21" s="51">
        <f t="shared" si="8"/>
        <v>0.02441851767934355</v>
      </c>
      <c r="L21" s="51">
        <f t="shared" si="9"/>
        <v>0.06508185785745965</v>
      </c>
      <c r="M21" s="51">
        <f t="shared" si="24"/>
        <v>0.0006810172013176767</v>
      </c>
      <c r="N21" s="51">
        <f t="shared" si="25"/>
        <v>0.07449300680078738</v>
      </c>
      <c r="O21" s="51">
        <f t="shared" si="10"/>
        <v>0.0023069960278191137</v>
      </c>
      <c r="P21" s="51">
        <f t="shared" si="11"/>
        <v>0</v>
      </c>
      <c r="Q21" s="51">
        <f t="shared" si="12"/>
        <v>0.3</v>
      </c>
      <c r="R21" s="61">
        <f t="shared" si="13"/>
        <v>0.4458340956509569</v>
      </c>
      <c r="S21" s="54">
        <f t="shared" si="14"/>
        <v>6</v>
      </c>
      <c r="T21" s="55">
        <f t="shared" si="15"/>
        <v>5.369660992530805</v>
      </c>
      <c r="U21" s="51">
        <f t="shared" si="16"/>
        <v>3.2244637638419116</v>
      </c>
      <c r="V21" s="51">
        <f t="shared" si="17"/>
        <v>3.645197228688893</v>
      </c>
      <c r="W21" s="56">
        <f t="shared" si="18"/>
        <v>0.6303390074691952</v>
      </c>
      <c r="X21" s="105">
        <f t="shared" si="19"/>
        <v>-13.170297859492868</v>
      </c>
      <c r="Y21" s="26">
        <f t="shared" si="28"/>
        <v>-0.14175252916210246</v>
      </c>
      <c r="Z21" s="24">
        <f t="shared" si="20"/>
        <v>1.0993211590790997</v>
      </c>
      <c r="AA21" s="24">
        <f t="shared" si="21"/>
        <v>1.0993211590790997</v>
      </c>
      <c r="AB21" s="184">
        <f t="shared" si="22"/>
        <v>0.47826484951500864</v>
      </c>
      <c r="AC21" s="155">
        <f t="shared" si="26"/>
        <v>0.5</v>
      </c>
      <c r="AD21" s="157">
        <f t="shared" si="29"/>
        <v>7.9</v>
      </c>
      <c r="AE21" s="156">
        <f t="shared" si="30"/>
        <v>0</v>
      </c>
    </row>
    <row r="22" spans="1:31" s="27" customFormat="1" ht="15" customHeight="1">
      <c r="A22" s="137">
        <f t="shared" si="27"/>
        <v>0.4700000000000001</v>
      </c>
      <c r="B22" s="51">
        <f t="shared" si="0"/>
        <v>-123.18887999377392</v>
      </c>
      <c r="C22" s="147">
        <f t="shared" si="1"/>
        <v>0.06545</v>
      </c>
      <c r="D22" s="168">
        <f t="shared" si="2"/>
        <v>3799.734524266308</v>
      </c>
      <c r="E22" s="168">
        <f t="shared" si="3"/>
        <v>851.0638297872339</v>
      </c>
      <c r="F22" s="117">
        <f t="shared" si="23"/>
        <v>699.8758537743505</v>
      </c>
      <c r="G22" s="117">
        <f t="shared" si="4"/>
        <v>782.5127543346345</v>
      </c>
      <c r="H22" s="52">
        <f t="shared" si="5"/>
        <v>2.858017391711485</v>
      </c>
      <c r="I22" s="51">
        <f t="shared" si="6"/>
        <v>1.7619521065341268</v>
      </c>
      <c r="J22" s="51">
        <f t="shared" si="7"/>
        <v>-0.21462753712581922</v>
      </c>
      <c r="K22" s="51">
        <f t="shared" si="8"/>
        <v>0.025467211077077792</v>
      </c>
      <c r="L22" s="51">
        <f t="shared" si="9"/>
        <v>0.07088617249263382</v>
      </c>
      <c r="M22" s="51">
        <f t="shared" si="24"/>
        <v>0.0006731510102984515</v>
      </c>
      <c r="N22" s="51">
        <f t="shared" si="25"/>
        <v>0.07361781148412334</v>
      </c>
      <c r="O22" s="51">
        <f t="shared" si="10"/>
        <v>0.0024861606394772223</v>
      </c>
      <c r="P22" s="51">
        <f t="shared" si="11"/>
        <v>0</v>
      </c>
      <c r="Q22" s="51">
        <f t="shared" si="12"/>
        <v>0.3</v>
      </c>
      <c r="R22" s="61">
        <f t="shared" si="13"/>
        <v>0.4458340956509569</v>
      </c>
      <c r="S22" s="54">
        <f t="shared" si="14"/>
        <v>6</v>
      </c>
      <c r="T22" s="55">
        <f t="shared" si="15"/>
        <v>5.512793738512802</v>
      </c>
      <c r="U22" s="51">
        <f t="shared" si="16"/>
        <v>3.261952106534127</v>
      </c>
      <c r="V22" s="51">
        <f t="shared" si="17"/>
        <v>3.7508416319786755</v>
      </c>
      <c r="W22" s="56">
        <f t="shared" si="18"/>
        <v>0.4872062614871977</v>
      </c>
      <c r="X22" s="105">
        <f t="shared" si="19"/>
        <v>-13.207786202185083</v>
      </c>
      <c r="Y22" s="26">
        <f t="shared" si="28"/>
        <v>-0.14452600063599252</v>
      </c>
      <c r="Z22" s="24">
        <f t="shared" si="20"/>
        <v>1.0993211590790997</v>
      </c>
      <c r="AA22" s="24">
        <f t="shared" si="21"/>
        <v>1.0993211590790997</v>
      </c>
      <c r="AB22" s="184">
        <f t="shared" si="22"/>
        <v>0.4673205199902875</v>
      </c>
      <c r="AC22" s="155">
        <f t="shared" si="26"/>
        <v>0.5</v>
      </c>
      <c r="AD22" s="157">
        <f t="shared" si="29"/>
        <v>7.9</v>
      </c>
      <c r="AE22" s="156">
        <f t="shared" si="30"/>
        <v>0</v>
      </c>
    </row>
    <row r="23" spans="1:31" s="27" customFormat="1" ht="15" customHeight="1">
      <c r="A23" s="137">
        <f t="shared" si="27"/>
        <v>0.4800000000000001</v>
      </c>
      <c r="B23" s="51">
        <f t="shared" si="0"/>
        <v>-123.18887999377392</v>
      </c>
      <c r="C23" s="147">
        <f t="shared" si="1"/>
        <v>0.06545</v>
      </c>
      <c r="D23" s="168">
        <f t="shared" si="2"/>
        <v>3720.573388344094</v>
      </c>
      <c r="E23" s="168">
        <f t="shared" si="3"/>
        <v>833.3333333333331</v>
      </c>
      <c r="F23" s="117">
        <f t="shared" si="23"/>
        <v>710.0651341008538</v>
      </c>
      <c r="G23" s="117">
        <f t="shared" si="4"/>
        <v>791.6391189586726</v>
      </c>
      <c r="H23" s="52">
        <f t="shared" si="5"/>
        <v>2.9609369056818755</v>
      </c>
      <c r="I23" s="51">
        <f t="shared" si="6"/>
        <v>1.7994404492263425</v>
      </c>
      <c r="J23" s="51">
        <f t="shared" si="7"/>
        <v>-0.21919408046892178</v>
      </c>
      <c r="K23" s="51">
        <f t="shared" si="8"/>
        <v>0.026536359215984878</v>
      </c>
      <c r="L23" s="51">
        <f t="shared" si="9"/>
        <v>0.07707197615069121</v>
      </c>
      <c r="M23" s="51">
        <f t="shared" si="24"/>
        <v>0.0006653906288065612</v>
      </c>
      <c r="N23" s="51">
        <f t="shared" si="25"/>
        <v>0.07275473409203516</v>
      </c>
      <c r="O23" s="51">
        <f t="shared" si="10"/>
        <v>0.002674833000888832</v>
      </c>
      <c r="P23" s="51">
        <f t="shared" si="11"/>
        <v>0</v>
      </c>
      <c r="Q23" s="51">
        <f t="shared" si="12"/>
        <v>0.3</v>
      </c>
      <c r="R23" s="61">
        <f t="shared" si="13"/>
        <v>0.4458340956509569</v>
      </c>
      <c r="S23" s="54">
        <f t="shared" si="14"/>
        <v>6</v>
      </c>
      <c r="T23" s="55">
        <f t="shared" si="15"/>
        <v>5.65871299380279</v>
      </c>
      <c r="U23" s="51">
        <f t="shared" si="16"/>
        <v>3.2994404492263425</v>
      </c>
      <c r="V23" s="51">
        <f t="shared" si="17"/>
        <v>3.8592725445764473</v>
      </c>
      <c r="W23" s="56">
        <f t="shared" si="18"/>
        <v>0.3412870061972102</v>
      </c>
      <c r="X23" s="105">
        <f t="shared" si="19"/>
        <v>-13.245274544877299</v>
      </c>
      <c r="Y23" s="26">
        <f t="shared" si="28"/>
        <v>-0.14732725008643888</v>
      </c>
      <c r="Z23" s="24">
        <f t="shared" si="20"/>
        <v>1.0993211590790997</v>
      </c>
      <c r="AA23" s="24">
        <f t="shared" si="21"/>
        <v>1.0993211590790997</v>
      </c>
      <c r="AB23" s="184">
        <f t="shared" si="22"/>
        <v>0.4563761074934011</v>
      </c>
      <c r="AC23" s="155">
        <f t="shared" si="26"/>
        <v>0.5</v>
      </c>
      <c r="AD23" s="157">
        <f t="shared" si="29"/>
        <v>7.9</v>
      </c>
      <c r="AE23" s="156">
        <f t="shared" si="30"/>
        <v>0</v>
      </c>
    </row>
    <row r="24" spans="1:31" s="27" customFormat="1" ht="15" customHeight="1">
      <c r="A24" s="137">
        <f t="shared" si="27"/>
        <v>0.4900000000000001</v>
      </c>
      <c r="B24" s="51">
        <f t="shared" si="0"/>
        <v>-123.18887999377392</v>
      </c>
      <c r="C24" s="147">
        <f t="shared" si="1"/>
        <v>0.06545</v>
      </c>
      <c r="D24" s="168">
        <f t="shared" si="2"/>
        <v>3644.643319194214</v>
      </c>
      <c r="E24" s="168">
        <f t="shared" si="3"/>
        <v>816.3265306122447</v>
      </c>
      <c r="F24" s="117">
        <f t="shared" si="23"/>
        <v>720.3202251211018</v>
      </c>
      <c r="G24" s="117">
        <f t="shared" si="4"/>
        <v>800.8503148020326</v>
      </c>
      <c r="H24" s="52">
        <f t="shared" si="5"/>
        <v>3.066251737241376</v>
      </c>
      <c r="I24" s="51">
        <f t="shared" si="6"/>
        <v>1.836928791918558</v>
      </c>
      <c r="J24" s="51">
        <f t="shared" si="7"/>
        <v>-0.22376062381202433</v>
      </c>
      <c r="K24" s="51">
        <f t="shared" si="8"/>
        <v>0.027625832522962628</v>
      </c>
      <c r="L24" s="51">
        <f t="shared" si="9"/>
        <v>0.08365635648291725</v>
      </c>
      <c r="M24" s="51">
        <f t="shared" si="24"/>
        <v>0.0006577374590681079</v>
      </c>
      <c r="N24" s="51">
        <f t="shared" si="25"/>
        <v>0.07190391617781176</v>
      </c>
      <c r="O24" s="51">
        <f t="shared" si="10"/>
        <v>0.002873341214061062</v>
      </c>
      <c r="P24" s="51">
        <f t="shared" si="11"/>
        <v>0</v>
      </c>
      <c r="Q24" s="51">
        <f t="shared" si="12"/>
        <v>0.3</v>
      </c>
      <c r="R24" s="61">
        <f t="shared" si="13"/>
        <v>0.4458340956509569</v>
      </c>
      <c r="S24" s="54">
        <f t="shared" si="14"/>
        <v>6</v>
      </c>
      <c r="T24" s="55">
        <f t="shared" si="15"/>
        <v>5.80744823868568</v>
      </c>
      <c r="U24" s="51">
        <f t="shared" si="16"/>
        <v>3.3369287919185577</v>
      </c>
      <c r="V24" s="51">
        <f t="shared" si="17"/>
        <v>3.9705194467671223</v>
      </c>
      <c r="W24" s="56">
        <f t="shared" si="18"/>
        <v>0.19255176131431995</v>
      </c>
      <c r="X24" s="105">
        <f t="shared" si="19"/>
        <v>-13.282762887569515</v>
      </c>
      <c r="Y24" s="26">
        <f t="shared" si="28"/>
        <v>-0.15015985679437716</v>
      </c>
      <c r="Z24" s="24">
        <f t="shared" si="20"/>
        <v>1.0993211590790997</v>
      </c>
      <c r="AA24" s="24">
        <f t="shared" si="21"/>
        <v>1.0993211590790997</v>
      </c>
      <c r="AB24" s="184">
        <f t="shared" si="22"/>
        <v>0.4454422596617329</v>
      </c>
      <c r="AC24" s="155">
        <f t="shared" si="26"/>
        <v>0.5</v>
      </c>
      <c r="AD24" s="157">
        <f t="shared" si="29"/>
        <v>7.9</v>
      </c>
      <c r="AE24" s="156">
        <f t="shared" si="30"/>
        <v>0</v>
      </c>
    </row>
    <row r="25" spans="1:31" s="21" customFormat="1" ht="15" customHeight="1">
      <c r="A25" s="136">
        <f t="shared" si="27"/>
        <v>0.5000000000000001</v>
      </c>
      <c r="B25" s="103">
        <f t="shared" si="0"/>
        <v>-123.18887999377392</v>
      </c>
      <c r="C25" s="146">
        <f t="shared" si="1"/>
        <v>0.06545</v>
      </c>
      <c r="D25" s="167">
        <f t="shared" si="2"/>
        <v>3571.7504528103295</v>
      </c>
      <c r="E25" s="167">
        <f t="shared" si="3"/>
        <v>799.9999999999998</v>
      </c>
      <c r="F25" s="116">
        <f t="shared" si="23"/>
        <v>730.638355723904</v>
      </c>
      <c r="G25" s="116">
        <f t="shared" si="4"/>
        <v>810.1434483194505</v>
      </c>
      <c r="H25" s="106">
        <f t="shared" si="5"/>
        <v>3.173977044873753</v>
      </c>
      <c r="I25" s="103">
        <f t="shared" si="6"/>
        <v>1.8744171346107734</v>
      </c>
      <c r="J25" s="103">
        <f t="shared" si="7"/>
        <v>-0.22832716715512688</v>
      </c>
      <c r="K25" s="103">
        <f t="shared" si="8"/>
        <v>0.028735499143564252</v>
      </c>
      <c r="L25" s="103">
        <f t="shared" si="9"/>
        <v>0.09065694139380022</v>
      </c>
      <c r="M25" s="103">
        <f t="shared" si="24"/>
        <v>0.000650192570518794</v>
      </c>
      <c r="N25" s="103">
        <f t="shared" si="25"/>
        <v>0.07106546229212392</v>
      </c>
      <c r="O25" s="103">
        <f t="shared" si="10"/>
        <v>0.0030820285701365358</v>
      </c>
      <c r="P25" s="103">
        <f t="shared" si="11"/>
        <v>0</v>
      </c>
      <c r="Q25" s="103">
        <f t="shared" si="12"/>
        <v>0.3</v>
      </c>
      <c r="R25" s="107">
        <f t="shared" si="13"/>
        <v>0.4458340956509569</v>
      </c>
      <c r="S25" s="108">
        <f t="shared" si="14"/>
        <v>6</v>
      </c>
      <c r="T25" s="104">
        <f t="shared" si="15"/>
        <v>5.959032707391544</v>
      </c>
      <c r="U25" s="103">
        <f t="shared" si="16"/>
        <v>3.3744171346107734</v>
      </c>
      <c r="V25" s="103">
        <f t="shared" si="17"/>
        <v>4.084615572780771</v>
      </c>
      <c r="W25" s="109">
        <f t="shared" si="18"/>
        <v>0.040967292608455885</v>
      </c>
      <c r="X25" s="110">
        <f t="shared" si="19"/>
        <v>-13.32025123026173</v>
      </c>
      <c r="Y25" s="28">
        <f t="shared" si="28"/>
        <v>-0.15302775462050677</v>
      </c>
      <c r="Z25" s="19">
        <f t="shared" si="20"/>
        <v>1.0993211590790997</v>
      </c>
      <c r="AA25" s="19">
        <f t="shared" si="21"/>
        <v>1.0993211590790997</v>
      </c>
      <c r="AB25" s="183">
        <f t="shared" si="22"/>
        <v>0.4345291199118287</v>
      </c>
      <c r="AC25" s="155">
        <f t="shared" si="26"/>
        <v>0.5</v>
      </c>
      <c r="AD25" s="157">
        <f t="shared" si="29"/>
        <v>7.9</v>
      </c>
      <c r="AE25" s="156">
        <f t="shared" si="30"/>
        <v>0.040967292608455885</v>
      </c>
    </row>
    <row r="26" spans="1:31" s="27" customFormat="1" ht="15" customHeight="1">
      <c r="A26" s="137">
        <f t="shared" si="27"/>
        <v>0.5100000000000001</v>
      </c>
      <c r="B26" s="51">
        <f t="shared" si="0"/>
        <v>-123.18887999377392</v>
      </c>
      <c r="C26" s="147">
        <f t="shared" si="1"/>
        <v>0.06545</v>
      </c>
      <c r="D26" s="168">
        <f t="shared" si="2"/>
        <v>3501.716130206206</v>
      </c>
      <c r="E26" s="168">
        <f t="shared" si="3"/>
        <v>784.3137254901959</v>
      </c>
      <c r="F26" s="117">
        <f t="shared" si="23"/>
        <v>741.0168925705467</v>
      </c>
      <c r="G26" s="117">
        <f t="shared" si="4"/>
        <v>819.5157320484514</v>
      </c>
      <c r="H26" s="52">
        <f t="shared" si="5"/>
        <v>3.284131549557273</v>
      </c>
      <c r="I26" s="51">
        <f t="shared" si="6"/>
        <v>1.9119054773029889</v>
      </c>
      <c r="J26" s="51">
        <f t="shared" si="7"/>
        <v>-0.23289371049822943</v>
      </c>
      <c r="K26" s="51">
        <f t="shared" si="8"/>
        <v>0.029865224968581613</v>
      </c>
      <c r="L26" s="51">
        <f t="shared" si="9"/>
        <v>0.09809192699057855</v>
      </c>
      <c r="M26" s="51">
        <f t="shared" si="24"/>
        <v>0.0006427567288246283</v>
      </c>
      <c r="N26" s="51">
        <f t="shared" si="25"/>
        <v>0.07023944328478653</v>
      </c>
      <c r="O26" s="51">
        <f t="shared" si="10"/>
        <v>0.0033012551401096213</v>
      </c>
      <c r="P26" s="51">
        <f t="shared" si="11"/>
        <v>0</v>
      </c>
      <c r="Q26" s="51">
        <f t="shared" si="12"/>
        <v>0.3</v>
      </c>
      <c r="R26" s="61">
        <f t="shared" si="13"/>
        <v>0.4458340956509569</v>
      </c>
      <c r="S26" s="54">
        <f t="shared" si="14"/>
        <v>6</v>
      </c>
      <c r="T26" s="55">
        <f t="shared" si="15"/>
        <v>6.113503747926694</v>
      </c>
      <c r="U26" s="51">
        <f t="shared" si="16"/>
        <v>3.411905477302989</v>
      </c>
      <c r="V26" s="51">
        <f t="shared" si="17"/>
        <v>4.2015982706237045</v>
      </c>
      <c r="W26" s="56">
        <f t="shared" si="18"/>
        <v>-0.1135037479266936</v>
      </c>
      <c r="X26" s="105">
        <f t="shared" si="19"/>
        <v>-13.357739572953946</v>
      </c>
      <c r="Y26" s="26">
        <f t="shared" si="28"/>
        <v>-0.1559352439255739</v>
      </c>
      <c r="Z26" s="24">
        <f t="shared" si="20"/>
        <v>1.0993211590790997</v>
      </c>
      <c r="AA26" s="24">
        <f t="shared" si="21"/>
        <v>1.0993211590790997</v>
      </c>
      <c r="AB26" s="184">
        <f t="shared" si="22"/>
        <v>0.42364631728333646</v>
      </c>
      <c r="AC26" s="155">
        <f t="shared" si="26"/>
        <v>0.5</v>
      </c>
      <c r="AD26" s="157">
        <f t="shared" si="29"/>
        <v>7.9</v>
      </c>
      <c r="AE26" s="156">
        <f t="shared" si="30"/>
        <v>0</v>
      </c>
    </row>
    <row r="27" spans="1:31" s="27" customFormat="1" ht="15" customHeight="1">
      <c r="A27" s="137">
        <f t="shared" si="27"/>
        <v>0.5200000000000001</v>
      </c>
      <c r="B27" s="51">
        <f t="shared" si="0"/>
        <v>-123.18887999377392</v>
      </c>
      <c r="C27" s="147">
        <f t="shared" si="1"/>
        <v>0.06545</v>
      </c>
      <c r="D27" s="168">
        <f t="shared" si="2"/>
        <v>3434.375435394548</v>
      </c>
      <c r="E27" s="168">
        <f t="shared" si="3"/>
        <v>769.230769230769</v>
      </c>
      <c r="F27" s="117">
        <f t="shared" si="23"/>
        <v>751.4533328014802</v>
      </c>
      <c r="G27" s="117">
        <f t="shared" si="4"/>
        <v>828.9644813732685</v>
      </c>
      <c r="H27" s="52">
        <f t="shared" si="5"/>
        <v>3.3967378724925563</v>
      </c>
      <c r="I27" s="51">
        <f t="shared" si="6"/>
        <v>1.9493938199952043</v>
      </c>
      <c r="J27" s="51">
        <f t="shared" si="7"/>
        <v>-0.23746025384133196</v>
      </c>
      <c r="K27" s="51">
        <f t="shared" si="8"/>
        <v>0.031014873661044783</v>
      </c>
      <c r="L27" s="51">
        <f t="shared" si="9"/>
        <v>0.10598010821283568</v>
      </c>
      <c r="M27" s="51">
        <f t="shared" si="24"/>
        <v>0.0006354304231215873</v>
      </c>
      <c r="N27" s="51">
        <f t="shared" si="25"/>
        <v>0.06942589939833035</v>
      </c>
      <c r="O27" s="51">
        <f t="shared" si="10"/>
        <v>0.0035313994928077297</v>
      </c>
      <c r="P27" s="51">
        <f t="shared" si="11"/>
        <v>0</v>
      </c>
      <c r="Q27" s="51">
        <f t="shared" si="12"/>
        <v>0.3</v>
      </c>
      <c r="R27" s="61">
        <f t="shared" si="13"/>
        <v>0.4458340956509569</v>
      </c>
      <c r="S27" s="54">
        <f t="shared" si="14"/>
        <v>6</v>
      </c>
      <c r="T27" s="55">
        <f t="shared" si="15"/>
        <v>6.270903195242692</v>
      </c>
      <c r="U27" s="51">
        <f t="shared" si="16"/>
        <v>3.4493938199952043</v>
      </c>
      <c r="V27" s="51">
        <f t="shared" si="17"/>
        <v>4.321509375247487</v>
      </c>
      <c r="W27" s="56">
        <f t="shared" si="18"/>
        <v>-0.2709031952426919</v>
      </c>
      <c r="X27" s="105">
        <f t="shared" si="19"/>
        <v>-13.395227915646162</v>
      </c>
      <c r="Y27" s="26">
        <f t="shared" si="28"/>
        <v>-0.15888700654165078</v>
      </c>
      <c r="Z27" s="24">
        <f t="shared" si="20"/>
        <v>1.0993211590790997</v>
      </c>
      <c r="AA27" s="24">
        <f t="shared" si="21"/>
        <v>1.0993211590790997</v>
      </c>
      <c r="AB27" s="184">
        <f t="shared" si="22"/>
        <v>0.4128029604282633</v>
      </c>
      <c r="AC27" s="155">
        <f t="shared" si="26"/>
        <v>0.5</v>
      </c>
      <c r="AD27" s="157">
        <f t="shared" si="29"/>
        <v>7.9</v>
      </c>
      <c r="AE27" s="156">
        <f t="shared" si="30"/>
        <v>0</v>
      </c>
    </row>
    <row r="28" spans="1:31" s="27" customFormat="1" ht="15" customHeight="1">
      <c r="A28" s="137">
        <f t="shared" si="27"/>
        <v>0.5300000000000001</v>
      </c>
      <c r="B28" s="51">
        <f t="shared" si="0"/>
        <v>-123.18887999377392</v>
      </c>
      <c r="C28" s="147">
        <f t="shared" si="1"/>
        <v>0.06545</v>
      </c>
      <c r="D28" s="168">
        <f t="shared" si="2"/>
        <v>3369.5758988776697</v>
      </c>
      <c r="E28" s="168">
        <f t="shared" si="3"/>
        <v>754.7169811320753</v>
      </c>
      <c r="F28" s="117">
        <f t="shared" si="23"/>
        <v>761.9452970952439</v>
      </c>
      <c r="G28" s="117">
        <f t="shared" si="4"/>
        <v>838.4871112697913</v>
      </c>
      <c r="H28" s="52">
        <f t="shared" si="5"/>
        <v>3.51182288659112</v>
      </c>
      <c r="I28" s="51">
        <f t="shared" si="6"/>
        <v>1.9868821626874198</v>
      </c>
      <c r="J28" s="51">
        <f t="shared" si="7"/>
        <v>-0.2420267971844345</v>
      </c>
      <c r="K28" s="51">
        <f t="shared" si="8"/>
        <v>0.03218430668362893</v>
      </c>
      <c r="L28" s="51">
        <f t="shared" si="9"/>
        <v>0.11434091236861456</v>
      </c>
      <c r="M28" s="51">
        <f t="shared" si="24"/>
        <v>0.000628213891510011</v>
      </c>
      <c r="N28" s="51">
        <f t="shared" si="25"/>
        <v>0.06862484315824287</v>
      </c>
      <c r="O28" s="51">
        <f t="shared" si="10"/>
        <v>0.003772860553640983</v>
      </c>
      <c r="P28" s="51">
        <f t="shared" si="11"/>
        <v>0</v>
      </c>
      <c r="Q28" s="51">
        <f t="shared" si="12"/>
        <v>0.3</v>
      </c>
      <c r="R28" s="61">
        <f t="shared" si="13"/>
        <v>0.4458340956509569</v>
      </c>
      <c r="S28" s="54">
        <f t="shared" si="14"/>
        <v>6</v>
      </c>
      <c r="T28" s="55">
        <f t="shared" si="15"/>
        <v>6.431277761009995</v>
      </c>
      <c r="U28" s="51">
        <f t="shared" si="16"/>
        <v>3.4868821626874196</v>
      </c>
      <c r="V28" s="51">
        <f t="shared" si="17"/>
        <v>4.444395598322576</v>
      </c>
      <c r="W28" s="56">
        <f t="shared" si="18"/>
        <v>-0.43127776100999515</v>
      </c>
      <c r="X28" s="105">
        <f t="shared" si="19"/>
        <v>-13.432716258338376</v>
      </c>
      <c r="Y28" s="26">
        <f t="shared" si="28"/>
        <v>-0.16188812424327104</v>
      </c>
      <c r="Z28" s="24">
        <f t="shared" si="20"/>
        <v>1.0993211590790997</v>
      </c>
      <c r="AA28" s="24">
        <f t="shared" si="21"/>
        <v>1.0993211590790997</v>
      </c>
      <c r="AB28" s="184">
        <f t="shared" si="22"/>
        <v>0.40200763538460776</v>
      </c>
      <c r="AC28" s="155">
        <f t="shared" si="26"/>
        <v>0.5</v>
      </c>
      <c r="AD28" s="157">
        <f t="shared" si="29"/>
        <v>7.9</v>
      </c>
      <c r="AE28" s="156">
        <f t="shared" si="30"/>
        <v>0</v>
      </c>
    </row>
    <row r="29" spans="1:31" s="27" customFormat="1" ht="15" customHeight="1">
      <c r="A29" s="137">
        <f t="shared" si="27"/>
        <v>0.5400000000000001</v>
      </c>
      <c r="B29" s="51">
        <f t="shared" si="0"/>
        <v>-123.18887999377392</v>
      </c>
      <c r="C29" s="147">
        <f t="shared" si="1"/>
        <v>0.06545</v>
      </c>
      <c r="D29" s="168">
        <f t="shared" si="2"/>
        <v>3307.1763451947495</v>
      </c>
      <c r="E29" s="168">
        <f t="shared" si="3"/>
        <v>740.7407407407405</v>
      </c>
      <c r="F29" s="117">
        <f t="shared" si="23"/>
        <v>772.4905230721154</v>
      </c>
      <c r="G29" s="117">
        <f t="shared" si="4"/>
        <v>848.0811330505062</v>
      </c>
      <c r="H29" s="52">
        <f t="shared" si="5"/>
        <v>3.6294180851854385</v>
      </c>
      <c r="I29" s="51">
        <f t="shared" si="6"/>
        <v>2.0243705053796353</v>
      </c>
      <c r="J29" s="51">
        <f t="shared" si="7"/>
        <v>-0.24659334052753706</v>
      </c>
      <c r="K29" s="51">
        <f t="shared" si="8"/>
        <v>0.03337338332646166</v>
      </c>
      <c r="L29" s="51">
        <f t="shared" si="9"/>
        <v>0.12319443582770402</v>
      </c>
      <c r="M29" s="51">
        <f t="shared" si="24"/>
        <v>0.0006211071448519224</v>
      </c>
      <c r="N29" s="51">
        <f t="shared" si="25"/>
        <v>0.06783626206605979</v>
      </c>
      <c r="O29" s="51">
        <f t="shared" si="10"/>
        <v>0.004026059619438804</v>
      </c>
      <c r="P29" s="51">
        <f t="shared" si="11"/>
        <v>0</v>
      </c>
      <c r="Q29" s="51">
        <f t="shared" si="12"/>
        <v>0.3</v>
      </c>
      <c r="R29" s="61">
        <f t="shared" si="13"/>
        <v>0.4458340956509569</v>
      </c>
      <c r="S29" s="54">
        <f t="shared" si="14"/>
        <v>6</v>
      </c>
      <c r="T29" s="55">
        <f t="shared" si="15"/>
        <v>6.594679443729234</v>
      </c>
      <c r="U29" s="51">
        <f t="shared" si="16"/>
        <v>3.5243705053796353</v>
      </c>
      <c r="V29" s="51">
        <f t="shared" si="17"/>
        <v>4.570308938349599</v>
      </c>
      <c r="W29" s="56">
        <f t="shared" si="18"/>
        <v>-0.594679443729234</v>
      </c>
      <c r="X29" s="105">
        <f t="shared" si="19"/>
        <v>-13.470204601030593</v>
      </c>
      <c r="Y29" s="26">
        <f t="shared" si="28"/>
        <v>-0.16494410120790892</v>
      </c>
      <c r="Z29" s="24">
        <f t="shared" si="20"/>
        <v>1.0993211590790997</v>
      </c>
      <c r="AA29" s="24">
        <f t="shared" si="21"/>
        <v>1.0993211590790997</v>
      </c>
      <c r="AB29" s="184">
        <f t="shared" si="22"/>
        <v>0.39126840676935876</v>
      </c>
      <c r="AC29" s="155">
        <f t="shared" si="26"/>
        <v>0.5</v>
      </c>
      <c r="AD29" s="157">
        <f t="shared" si="29"/>
        <v>7.9</v>
      </c>
      <c r="AE29" s="156">
        <f t="shared" si="30"/>
        <v>0</v>
      </c>
    </row>
    <row r="30" spans="1:31" s="21" customFormat="1" ht="15" customHeight="1">
      <c r="A30" s="136">
        <f t="shared" si="27"/>
        <v>0.5500000000000002</v>
      </c>
      <c r="B30" s="103">
        <f t="shared" si="0"/>
        <v>-123.18887999377392</v>
      </c>
      <c r="C30" s="146">
        <f t="shared" si="1"/>
        <v>0.06545</v>
      </c>
      <c r="D30" s="167">
        <f t="shared" si="2"/>
        <v>3247.0458661912085</v>
      </c>
      <c r="E30" s="167">
        <f t="shared" si="3"/>
        <v>727.272727272727</v>
      </c>
      <c r="F30" s="116">
        <f t="shared" si="23"/>
        <v>783.0868590331888</v>
      </c>
      <c r="G30" s="116">
        <f t="shared" si="4"/>
        <v>857.7441511257686</v>
      </c>
      <c r="H30" s="106">
        <f t="shared" si="5"/>
        <v>3.749559971903759</v>
      </c>
      <c r="I30" s="103">
        <f t="shared" si="6"/>
        <v>2.061858848071851</v>
      </c>
      <c r="J30" s="103">
        <f t="shared" si="7"/>
        <v>-0.2511598838706396</v>
      </c>
      <c r="K30" s="103">
        <f t="shared" si="8"/>
        <v>0.03458196073532232</v>
      </c>
      <c r="L30" s="103">
        <f t="shared" si="9"/>
        <v>0.132561484149875</v>
      </c>
      <c r="M30" s="103">
        <f t="shared" si="24"/>
        <v>0.0006141099889290268</v>
      </c>
      <c r="N30" s="103">
        <f t="shared" si="25"/>
        <v>0.06706012110254839</v>
      </c>
      <c r="O30" s="103">
        <f t="shared" si="10"/>
        <v>0.0042914425468230655</v>
      </c>
      <c r="P30" s="103">
        <f t="shared" si="11"/>
        <v>0</v>
      </c>
      <c r="Q30" s="103">
        <f t="shared" si="12"/>
        <v>0.3</v>
      </c>
      <c r="R30" s="107">
        <f t="shared" si="13"/>
        <v>0.4458340956509569</v>
      </c>
      <c r="S30" s="108">
        <f t="shared" si="14"/>
        <v>6</v>
      </c>
      <c r="T30" s="104">
        <f t="shared" si="15"/>
        <v>6.761165963425813</v>
      </c>
      <c r="U30" s="103">
        <f t="shared" si="16"/>
        <v>3.561858848071851</v>
      </c>
      <c r="V30" s="103">
        <f t="shared" si="17"/>
        <v>4.699307115353962</v>
      </c>
      <c r="W30" s="109">
        <f t="shared" si="18"/>
        <v>-0.761165963425813</v>
      </c>
      <c r="X30" s="110">
        <f t="shared" si="19"/>
        <v>-13.507692943722807</v>
      </c>
      <c r="Y30" s="28">
        <f t="shared" si="28"/>
        <v>-0.16806089100924737</v>
      </c>
      <c r="Z30" s="19">
        <f t="shared" si="20"/>
        <v>1.0993211590790997</v>
      </c>
      <c r="AA30" s="19">
        <f t="shared" si="21"/>
        <v>1.0993211590790997</v>
      </c>
      <c r="AB30" s="183">
        <f t="shared" si="22"/>
        <v>0.38059282202833056</v>
      </c>
      <c r="AC30" s="155">
        <f t="shared" si="26"/>
        <v>0.5</v>
      </c>
      <c r="AD30" s="157">
        <f t="shared" si="29"/>
        <v>7.9</v>
      </c>
      <c r="AE30" s="156">
        <f t="shared" si="30"/>
        <v>0</v>
      </c>
    </row>
    <row r="31" spans="1:31" s="27" customFormat="1" ht="15" customHeight="1">
      <c r="A31" s="137">
        <f t="shared" si="27"/>
        <v>0.5600000000000002</v>
      </c>
      <c r="B31" s="51">
        <f t="shared" si="0"/>
        <v>-123.18887999377392</v>
      </c>
      <c r="C31" s="147">
        <f t="shared" si="1"/>
        <v>0.06545</v>
      </c>
      <c r="D31" s="168">
        <f t="shared" si="2"/>
        <v>3189.062904294937</v>
      </c>
      <c r="E31" s="168">
        <f t="shared" si="3"/>
        <v>714.2857142857141</v>
      </c>
      <c r="F31" s="117">
        <f t="shared" si="23"/>
        <v>793.7322580242434</v>
      </c>
      <c r="G31" s="117">
        <f t="shared" si="4"/>
        <v>867.4738597953624</v>
      </c>
      <c r="H31" s="52">
        <f t="shared" si="5"/>
        <v>3.8722904761930588</v>
      </c>
      <c r="I31" s="51">
        <f t="shared" si="6"/>
        <v>2.099347190764066</v>
      </c>
      <c r="J31" s="51">
        <f t="shared" si="7"/>
        <v>-0.2557264272137421</v>
      </c>
      <c r="K31" s="51">
        <f t="shared" si="8"/>
        <v>0.03580989394022591</v>
      </c>
      <c r="L31" s="51">
        <f t="shared" si="9"/>
        <v>0.14246361595676404</v>
      </c>
      <c r="M31" s="51">
        <f t="shared" si="24"/>
        <v>0.0006072220450262833</v>
      </c>
      <c r="N31" s="51">
        <f t="shared" si="25"/>
        <v>0.06629636504895631</v>
      </c>
      <c r="O31" s="51">
        <f t="shared" si="10"/>
        <v>0.004569482133926855</v>
      </c>
      <c r="P31" s="51">
        <f t="shared" si="11"/>
        <v>0</v>
      </c>
      <c r="Q31" s="51">
        <f t="shared" si="12"/>
        <v>0.3</v>
      </c>
      <c r="R31" s="61">
        <f t="shared" si="13"/>
        <v>0.4458340956509569</v>
      </c>
      <c r="S31" s="54">
        <f t="shared" si="14"/>
        <v>6</v>
      </c>
      <c r="T31" s="55">
        <f t="shared" si="15"/>
        <v>6.930801225747729</v>
      </c>
      <c r="U31" s="51">
        <f t="shared" si="16"/>
        <v>3.599347190764066</v>
      </c>
      <c r="V31" s="51">
        <f t="shared" si="17"/>
        <v>4.831454034983663</v>
      </c>
      <c r="W31" s="56">
        <f t="shared" si="18"/>
        <v>-0.9308012257477287</v>
      </c>
      <c r="X31" s="105">
        <f t="shared" si="19"/>
        <v>-13.545181286415023</v>
      </c>
      <c r="Y31" s="26">
        <f t="shared" si="28"/>
        <v>-0.1712449287565323</v>
      </c>
      <c r="Z31" s="24">
        <f t="shared" si="20"/>
        <v>1.0993211590790997</v>
      </c>
      <c r="AA31" s="24">
        <f t="shared" si="21"/>
        <v>1.0993211590790997</v>
      </c>
      <c r="AB31" s="184">
        <f t="shared" si="22"/>
        <v>0.36998791838817036</v>
      </c>
      <c r="AC31" s="155">
        <f t="shared" si="26"/>
        <v>0.5</v>
      </c>
      <c r="AD31" s="157">
        <f t="shared" si="29"/>
        <v>7.9</v>
      </c>
      <c r="AE31" s="156">
        <f t="shared" si="30"/>
        <v>0</v>
      </c>
    </row>
    <row r="32" spans="1:31" s="27" customFormat="1" ht="15" customHeight="1">
      <c r="A32" s="137">
        <f t="shared" si="27"/>
        <v>0.5700000000000002</v>
      </c>
      <c r="B32" s="51">
        <f t="shared" si="0"/>
        <v>-123.18887999377392</v>
      </c>
      <c r="C32" s="147">
        <f t="shared" si="1"/>
        <v>0.06545</v>
      </c>
      <c r="D32" s="168">
        <f t="shared" si="2"/>
        <v>3133.1144322897626</v>
      </c>
      <c r="E32" s="168">
        <f t="shared" si="3"/>
        <v>701.7543859649121</v>
      </c>
      <c r="F32" s="117">
        <f t="shared" si="23"/>
        <v>804.4247722128074</v>
      </c>
      <c r="G32" s="117">
        <f t="shared" si="4"/>
        <v>877.2680400821787</v>
      </c>
      <c r="H32" s="52">
        <f t="shared" si="5"/>
        <v>3.9976573995877613</v>
      </c>
      <c r="I32" s="51">
        <f t="shared" si="6"/>
        <v>2.136835533456282</v>
      </c>
      <c r="J32" s="51">
        <f t="shared" si="7"/>
        <v>-0.26029297055684464</v>
      </c>
      <c r="K32" s="51">
        <f t="shared" si="8"/>
        <v>0.037057035884383326</v>
      </c>
      <c r="L32" s="51">
        <f t="shared" si="9"/>
        <v>0.1529231908910087</v>
      </c>
      <c r="M32" s="51">
        <f t="shared" si="24"/>
        <v>0.0006004427690109852</v>
      </c>
      <c r="N32" s="51">
        <f t="shared" si="25"/>
        <v>0.06554492063481059</v>
      </c>
      <c r="O32" s="51">
        <f t="shared" si="10"/>
        <v>0.004860680718058161</v>
      </c>
      <c r="P32" s="51">
        <f t="shared" si="11"/>
        <v>0</v>
      </c>
      <c r="Q32" s="51">
        <f t="shared" si="12"/>
        <v>0.3</v>
      </c>
      <c r="R32" s="61">
        <f t="shared" si="13"/>
        <v>0.4458340956509569</v>
      </c>
      <c r="S32" s="54">
        <f t="shared" si="14"/>
        <v>6</v>
      </c>
      <c r="T32" s="55">
        <f t="shared" si="15"/>
        <v>7.103655820938878</v>
      </c>
      <c r="U32" s="51">
        <f t="shared" si="16"/>
        <v>3.636835533456282</v>
      </c>
      <c r="V32" s="51">
        <f t="shared" si="17"/>
        <v>4.966820287482596</v>
      </c>
      <c r="W32" s="56">
        <f t="shared" si="18"/>
        <v>-1.1036558209388776</v>
      </c>
      <c r="X32" s="105">
        <f t="shared" si="19"/>
        <v>-13.582669629107238</v>
      </c>
      <c r="Y32" s="26">
        <f t="shared" si="28"/>
        <v>-0.17450316908153374</v>
      </c>
      <c r="Z32" s="24">
        <f t="shared" si="20"/>
        <v>1.0993211590790997</v>
      </c>
      <c r="AA32" s="24">
        <f t="shared" si="21"/>
        <v>1.0993211590790997</v>
      </c>
      <c r="AB32" s="184">
        <f t="shared" si="22"/>
        <v>0.3594602321680994</v>
      </c>
      <c r="AC32" s="155">
        <f t="shared" si="26"/>
        <v>0.5</v>
      </c>
      <c r="AD32" s="157">
        <f t="shared" si="29"/>
        <v>7.9</v>
      </c>
      <c r="AE32" s="156">
        <f t="shared" si="30"/>
        <v>0</v>
      </c>
    </row>
    <row r="33" spans="1:31" s="27" customFormat="1" ht="15" customHeight="1">
      <c r="A33" s="137">
        <f t="shared" si="27"/>
        <v>0.5800000000000002</v>
      </c>
      <c r="B33" s="51">
        <f t="shared" si="0"/>
        <v>-123.18887999377392</v>
      </c>
      <c r="C33" s="147">
        <f t="shared" si="1"/>
        <v>0.06545</v>
      </c>
      <c r="D33" s="168">
        <f t="shared" si="2"/>
        <v>3079.095217939939</v>
      </c>
      <c r="E33" s="168">
        <f t="shared" si="3"/>
        <v>689.6551724137929</v>
      </c>
      <c r="F33" s="117">
        <f t="shared" si="23"/>
        <v>815.162547566161</v>
      </c>
      <c r="G33" s="117">
        <f t="shared" si="4"/>
        <v>887.124556617927</v>
      </c>
      <c r="H33" s="52">
        <f t="shared" si="5"/>
        <v>4.125714898529303</v>
      </c>
      <c r="I33" s="51">
        <f t="shared" si="6"/>
        <v>2.1743238761484975</v>
      </c>
      <c r="J33" s="51">
        <f t="shared" si="7"/>
        <v>-0.2648595138999472</v>
      </c>
      <c r="K33" s="51">
        <f t="shared" si="8"/>
        <v>0.03832323745353</v>
      </c>
      <c r="L33" s="51">
        <f t="shared" si="9"/>
        <v>0.16396342204600903</v>
      </c>
      <c r="M33" s="51">
        <f t="shared" si="24"/>
        <v>0.0005937714689805924</v>
      </c>
      <c r="N33" s="51">
        <f t="shared" si="25"/>
        <v>0.06480569852109612</v>
      </c>
      <c r="O33" s="51">
        <f t="shared" si="10"/>
        <v>0.005165573014934519</v>
      </c>
      <c r="P33" s="51">
        <f t="shared" si="11"/>
        <v>0</v>
      </c>
      <c r="Q33" s="51">
        <f t="shared" si="12"/>
        <v>0.3</v>
      </c>
      <c r="R33" s="61">
        <f t="shared" si="13"/>
        <v>0.4458340956509569</v>
      </c>
      <c r="S33" s="54">
        <f t="shared" si="14"/>
        <v>6</v>
      </c>
      <c r="T33" s="55">
        <f t="shared" si="15"/>
        <v>7.279807563910796</v>
      </c>
      <c r="U33" s="51">
        <f t="shared" si="16"/>
        <v>3.6743238761484975</v>
      </c>
      <c r="V33" s="51">
        <f t="shared" si="17"/>
        <v>5.105483687762298</v>
      </c>
      <c r="W33" s="56">
        <f t="shared" si="18"/>
        <v>-1.2798075639107962</v>
      </c>
      <c r="X33" s="105">
        <f t="shared" si="19"/>
        <v>-13.620157971799454</v>
      </c>
      <c r="Y33" s="26">
        <f t="shared" si="28"/>
        <v>-0.17784313078510872</v>
      </c>
      <c r="Z33" s="24">
        <f t="shared" si="20"/>
        <v>1.0993211590790997</v>
      </c>
      <c r="AA33" s="24">
        <f t="shared" si="21"/>
        <v>1.0993211590790997</v>
      </c>
      <c r="AB33" s="184">
        <f t="shared" si="22"/>
        <v>0.3490158101246073</v>
      </c>
      <c r="AC33" s="155">
        <f t="shared" si="26"/>
        <v>0.5</v>
      </c>
      <c r="AD33" s="157">
        <f t="shared" si="29"/>
        <v>7.9</v>
      </c>
      <c r="AE33" s="156">
        <f t="shared" si="30"/>
        <v>0</v>
      </c>
    </row>
    <row r="34" spans="1:31" s="27" customFormat="1" ht="15" customHeight="1">
      <c r="A34" s="137">
        <f t="shared" si="27"/>
        <v>0.5900000000000002</v>
      </c>
      <c r="B34" s="51">
        <f t="shared" si="0"/>
        <v>-123.18887999377392</v>
      </c>
      <c r="C34" s="147">
        <f t="shared" si="1"/>
        <v>0.06545</v>
      </c>
      <c r="D34" s="168">
        <f t="shared" si="2"/>
        <v>3026.9071633985845</v>
      </c>
      <c r="E34" s="168">
        <f t="shared" si="3"/>
        <v>677.966101694915</v>
      </c>
      <c r="F34" s="117">
        <f t="shared" si="23"/>
        <v>825.9438188176267</v>
      </c>
      <c r="G34" s="117">
        <f t="shared" si="4"/>
        <v>897.0413545890984</v>
      </c>
      <c r="H34" s="52">
        <f t="shared" si="5"/>
        <v>4.256524010366013</v>
      </c>
      <c r="I34" s="51">
        <f t="shared" si="6"/>
        <v>2.2118122188407128</v>
      </c>
      <c r="J34" s="51">
        <f t="shared" si="7"/>
        <v>-0.26942605724304974</v>
      </c>
      <c r="K34" s="51">
        <f t="shared" si="8"/>
        <v>0.0396083475056143</v>
      </c>
      <c r="L34" s="51">
        <f t="shared" si="9"/>
        <v>0.17560843329483278</v>
      </c>
      <c r="M34" s="51">
        <f t="shared" si="24"/>
        <v>0.0005872073215543866</v>
      </c>
      <c r="N34" s="51">
        <f t="shared" si="25"/>
        <v>0.06407859512775303</v>
      </c>
      <c r="O34" s="51">
        <f t="shared" si="10"/>
        <v>0.005484729228827492</v>
      </c>
      <c r="P34" s="51">
        <f t="shared" si="11"/>
        <v>0</v>
      </c>
      <c r="Q34" s="51">
        <f t="shared" si="12"/>
        <v>0.3</v>
      </c>
      <c r="R34" s="61">
        <f t="shared" si="13"/>
        <v>0.4458340956509569</v>
      </c>
      <c r="S34" s="54">
        <f t="shared" si="14"/>
        <v>6</v>
      </c>
      <c r="T34" s="55">
        <f t="shared" si="15"/>
        <v>7.459342082509095</v>
      </c>
      <c r="U34" s="51">
        <f t="shared" si="16"/>
        <v>3.7118122188407128</v>
      </c>
      <c r="V34" s="51">
        <f t="shared" si="17"/>
        <v>5.247529863668382</v>
      </c>
      <c r="W34" s="56">
        <f t="shared" si="18"/>
        <v>-1.459342082509095</v>
      </c>
      <c r="X34" s="105">
        <f t="shared" si="19"/>
        <v>-13.65764631449167</v>
      </c>
      <c r="Y34" s="26">
        <f t="shared" si="28"/>
        <v>-0.1812729490922642</v>
      </c>
      <c r="Z34" s="24">
        <f t="shared" si="20"/>
        <v>1.0993211590790997</v>
      </c>
      <c r="AA34" s="24">
        <f t="shared" si="21"/>
        <v>1.0993211590790997</v>
      </c>
      <c r="AB34" s="184">
        <f t="shared" si="22"/>
        <v>0.33866022252052197</v>
      </c>
      <c r="AC34" s="155">
        <f t="shared" si="26"/>
        <v>0.5</v>
      </c>
      <c r="AD34" s="157">
        <f t="shared" si="29"/>
        <v>7.9</v>
      </c>
      <c r="AE34" s="156">
        <f t="shared" si="30"/>
        <v>0</v>
      </c>
    </row>
    <row r="35" spans="1:31" s="84" customFormat="1" ht="15" customHeight="1">
      <c r="A35" s="138">
        <f t="shared" si="27"/>
        <v>0.6000000000000002</v>
      </c>
      <c r="B35" s="77">
        <f t="shared" si="0"/>
        <v>-123.18887999377392</v>
      </c>
      <c r="C35" s="148">
        <f t="shared" si="1"/>
        <v>0.06545</v>
      </c>
      <c r="D35" s="169">
        <f t="shared" si="2"/>
        <v>2976.4587106752747</v>
      </c>
      <c r="E35" s="169">
        <f t="shared" si="3"/>
        <v>666.6666666666664</v>
      </c>
      <c r="F35" s="118">
        <f t="shared" si="23"/>
        <v>836.7669047082942</v>
      </c>
      <c r="G35" s="118">
        <f t="shared" si="4"/>
        <v>907.0164567498759</v>
      </c>
      <c r="H35" s="78">
        <f t="shared" si="5"/>
        <v>4.390153230131646</v>
      </c>
      <c r="I35" s="77">
        <f t="shared" si="6"/>
        <v>2.2493005615329285</v>
      </c>
      <c r="J35" s="77">
        <f t="shared" si="7"/>
        <v>-0.2739926005861523</v>
      </c>
      <c r="K35" s="77">
        <f t="shared" si="8"/>
        <v>0.04091221290083845</v>
      </c>
      <c r="L35" s="77">
        <f t="shared" si="9"/>
        <v>0.18788332199831267</v>
      </c>
      <c r="M35" s="77">
        <f t="shared" si="24"/>
        <v>0.0005807493868846556</v>
      </c>
      <c r="N35" s="77">
        <f t="shared" si="25"/>
        <v>0.06336349431452183</v>
      </c>
      <c r="O35" s="77">
        <f t="shared" si="10"/>
        <v>0.00581875846695952</v>
      </c>
      <c r="P35" s="77">
        <f t="shared" si="11"/>
        <v>0</v>
      </c>
      <c r="Q35" s="77">
        <f t="shared" si="12"/>
        <v>0.3</v>
      </c>
      <c r="R35" s="79">
        <f t="shared" si="13"/>
        <v>0.4458340956509569</v>
      </c>
      <c r="S35" s="80">
        <f t="shared" si="14"/>
        <v>6</v>
      </c>
      <c r="T35" s="81">
        <f t="shared" si="15"/>
        <v>7.642353462095325</v>
      </c>
      <c r="U35" s="77">
        <f t="shared" si="16"/>
        <v>3.7493005615329285</v>
      </c>
      <c r="V35" s="77">
        <f t="shared" si="17"/>
        <v>5.393052900562396</v>
      </c>
      <c r="W35" s="82">
        <f t="shared" si="18"/>
        <v>-1.6423534620953246</v>
      </c>
      <c r="X35" s="111">
        <f t="shared" si="19"/>
        <v>-13.695134657183885</v>
      </c>
      <c r="Y35" s="83"/>
      <c r="Z35" s="77">
        <f t="shared" si="20"/>
        <v>1.0993211590790997</v>
      </c>
      <c r="AA35" s="77">
        <f t="shared" si="21"/>
        <v>1.0993211590790997</v>
      </c>
      <c r="AB35" s="185">
        <f t="shared" si="22"/>
        <v>0.32839857762988967</v>
      </c>
      <c r="AC35" s="164">
        <f t="shared" si="26"/>
        <v>0.5</v>
      </c>
      <c r="AD35" s="158">
        <f>ROUNDUP(E9,0)-0.1</f>
        <v>7.9</v>
      </c>
      <c r="AE35" s="171">
        <f t="shared" si="30"/>
        <v>0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7"/>
      <c r="S36" s="6"/>
      <c r="T36" s="13"/>
      <c r="V36" s="13"/>
      <c r="W36" s="13"/>
      <c r="X36" s="14"/>
      <c r="AE36" s="172">
        <f>SUM(AE15:AE35)</f>
        <v>0.040967292608455885</v>
      </c>
    </row>
    <row r="37" spans="1:28" s="27" customFormat="1" ht="15" customHeight="1">
      <c r="A37" s="85" t="s">
        <v>69</v>
      </c>
      <c r="B37" s="23"/>
      <c r="C37" s="23"/>
      <c r="D37" s="22"/>
      <c r="E37" s="23"/>
      <c r="F37" s="23"/>
      <c r="G37" s="29"/>
      <c r="X37" s="32"/>
      <c r="Y37" s="32"/>
      <c r="AB37" s="189"/>
    </row>
    <row r="38" spans="1:28" s="27" customFormat="1" ht="15" customHeight="1">
      <c r="A38" s="30" t="s">
        <v>128</v>
      </c>
      <c r="B38" s="23"/>
      <c r="C38" s="23"/>
      <c r="D38" s="22"/>
      <c r="E38" s="23"/>
      <c r="F38" s="23"/>
      <c r="G38" s="29"/>
      <c r="K38" s="24"/>
      <c r="L38" s="23"/>
      <c r="M38" s="24"/>
      <c r="N38" s="24"/>
      <c r="O38" s="24"/>
      <c r="P38" s="24"/>
      <c r="Q38" s="24"/>
      <c r="R38" s="62"/>
      <c r="S38" s="25"/>
      <c r="T38" s="24"/>
      <c r="U38" s="31"/>
      <c r="V38" s="24"/>
      <c r="X38" s="32"/>
      <c r="Y38" s="32"/>
      <c r="AB38" s="189"/>
    </row>
    <row r="39" spans="1:28" s="27" customFormat="1" ht="15" customHeight="1">
      <c r="A39" s="24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23"/>
      <c r="M39" s="24"/>
      <c r="N39" s="24"/>
      <c r="O39" s="24"/>
      <c r="P39" s="24"/>
      <c r="Q39" s="24"/>
      <c r="R39" s="62"/>
      <c r="S39" s="25"/>
      <c r="T39" s="24"/>
      <c r="U39" s="31"/>
      <c r="V39" s="24"/>
      <c r="X39" s="32"/>
      <c r="Y39" s="32"/>
      <c r="AB39" s="189"/>
    </row>
    <row r="40" spans="1:28" s="27" customFormat="1" ht="15" customHeight="1">
      <c r="A40" s="30"/>
      <c r="B40" s="23"/>
      <c r="C40" s="23"/>
      <c r="D40" s="22"/>
      <c r="E40" s="23"/>
      <c r="F40" s="23"/>
      <c r="G40" s="29"/>
      <c r="H40" s="24"/>
      <c r="I40" s="24"/>
      <c r="J40" s="24"/>
      <c r="K40" s="24"/>
      <c r="L40" s="23"/>
      <c r="M40" s="24"/>
      <c r="N40" s="24"/>
      <c r="O40" s="24"/>
      <c r="P40" s="24"/>
      <c r="Q40" s="24"/>
      <c r="R40" s="62"/>
      <c r="S40" s="25"/>
      <c r="T40" s="24"/>
      <c r="U40" s="31"/>
      <c r="V40" s="24"/>
      <c r="X40" s="32"/>
      <c r="Y40" s="32"/>
      <c r="AB40" s="189"/>
    </row>
    <row r="41" spans="1:28" s="27" customFormat="1" ht="15" customHeight="1">
      <c r="A41" s="25"/>
      <c r="B41" s="23"/>
      <c r="C41" s="23"/>
      <c r="D41" s="22"/>
      <c r="E41" s="23"/>
      <c r="F41" s="23"/>
      <c r="G41" s="29"/>
      <c r="H41" s="24"/>
      <c r="I41" s="24"/>
      <c r="J41" s="24"/>
      <c r="K41" s="24"/>
      <c r="L41" s="23"/>
      <c r="M41" s="24"/>
      <c r="N41" s="24"/>
      <c r="O41" s="24"/>
      <c r="P41" s="24"/>
      <c r="Q41" s="24"/>
      <c r="R41" s="62"/>
      <c r="S41" s="25"/>
      <c r="T41" s="24"/>
      <c r="U41" s="31"/>
      <c r="V41" s="24"/>
      <c r="X41" s="32"/>
      <c r="Y41" s="32"/>
      <c r="AB41" s="189"/>
    </row>
    <row r="42" spans="1:28" s="27" customFormat="1" ht="15" customHeight="1">
      <c r="A42" s="25"/>
      <c r="B42" s="23"/>
      <c r="C42" s="23"/>
      <c r="D42" s="22"/>
      <c r="E42" s="23"/>
      <c r="F42" s="23"/>
      <c r="G42" s="29"/>
      <c r="H42" s="24"/>
      <c r="I42" s="24"/>
      <c r="J42" s="24"/>
      <c r="K42" s="24"/>
      <c r="L42" s="23"/>
      <c r="M42" s="24"/>
      <c r="N42" s="24"/>
      <c r="O42" s="24"/>
      <c r="P42" s="24"/>
      <c r="Q42" s="24"/>
      <c r="R42" s="62"/>
      <c r="S42" s="25"/>
      <c r="T42" s="24"/>
      <c r="U42" s="31"/>
      <c r="V42" s="24"/>
      <c r="X42" s="32"/>
      <c r="Y42" s="32"/>
      <c r="AB42" s="189"/>
    </row>
    <row r="43" spans="1:28" s="27" customFormat="1" ht="15" customHeight="1">
      <c r="A43" s="29"/>
      <c r="D43" s="22"/>
      <c r="E43" s="23"/>
      <c r="F43" s="23"/>
      <c r="G43" s="29"/>
      <c r="H43" s="24"/>
      <c r="I43" s="24"/>
      <c r="J43" s="24"/>
      <c r="K43" s="24"/>
      <c r="L43" s="23"/>
      <c r="M43" s="24"/>
      <c r="N43" s="24"/>
      <c r="O43" s="24"/>
      <c r="P43" s="24"/>
      <c r="Q43" s="24"/>
      <c r="R43" s="62"/>
      <c r="S43" s="25"/>
      <c r="T43" s="24"/>
      <c r="U43" s="31"/>
      <c r="V43" s="24"/>
      <c r="X43" s="32"/>
      <c r="Y43" s="32"/>
      <c r="AB43" s="189"/>
    </row>
    <row r="44" spans="1:28" s="27" customFormat="1" ht="15" customHeight="1">
      <c r="A44" s="29"/>
      <c r="B44" s="23"/>
      <c r="D44" s="22"/>
      <c r="E44" s="23"/>
      <c r="F44" s="23"/>
      <c r="G44" s="29"/>
      <c r="H44" s="24"/>
      <c r="I44" s="24"/>
      <c r="J44" s="24"/>
      <c r="K44" s="24"/>
      <c r="L44" s="23"/>
      <c r="M44" s="24"/>
      <c r="N44" s="24"/>
      <c r="O44" s="24"/>
      <c r="P44" s="24"/>
      <c r="Q44" s="24"/>
      <c r="R44" s="62"/>
      <c r="S44" s="25"/>
      <c r="T44" s="24"/>
      <c r="U44" s="31"/>
      <c r="V44" s="24"/>
      <c r="X44" s="32"/>
      <c r="Y44" s="32"/>
      <c r="AB44" s="189"/>
    </row>
    <row r="45" spans="1:28" s="27" customFormat="1" ht="15" customHeight="1">
      <c r="A45" s="29"/>
      <c r="B45" s="23"/>
      <c r="D45" s="22"/>
      <c r="E45" s="23"/>
      <c r="F45" s="23"/>
      <c r="G45" s="29"/>
      <c r="H45" s="24"/>
      <c r="I45" s="24"/>
      <c r="J45" s="24"/>
      <c r="K45" s="24"/>
      <c r="L45" s="23"/>
      <c r="M45" s="24"/>
      <c r="N45" s="24"/>
      <c r="O45" s="24"/>
      <c r="P45" s="24"/>
      <c r="Q45" s="24"/>
      <c r="R45" s="62"/>
      <c r="S45" s="25"/>
      <c r="T45" s="24"/>
      <c r="U45" s="31"/>
      <c r="V45" s="24"/>
      <c r="X45" s="32"/>
      <c r="Y45" s="32"/>
      <c r="AB45" s="189"/>
    </row>
    <row r="46" spans="1:22" ht="15" customHeight="1">
      <c r="A46" s="29"/>
      <c r="B46" s="23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7"/>
      <c r="S46" s="6"/>
      <c r="T46" s="4"/>
      <c r="V46" s="4"/>
    </row>
    <row r="47" spans="1:22" ht="15" customHeight="1">
      <c r="A47" s="2"/>
      <c r="B47" s="23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7"/>
      <c r="S47" s="6"/>
      <c r="T47" s="4"/>
      <c r="V47" s="4"/>
    </row>
    <row r="48" spans="1:22" ht="15" customHeight="1">
      <c r="A48" s="2"/>
      <c r="B48" s="23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3"/>
      <c r="S48" s="6"/>
      <c r="T48" s="4"/>
      <c r="V48" s="4"/>
    </row>
    <row r="49" spans="1:22" ht="15" customHeight="1">
      <c r="A49" s="25"/>
      <c r="B49" s="23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7"/>
      <c r="S49" s="6"/>
      <c r="T49" s="4"/>
      <c r="V49" s="4"/>
    </row>
    <row r="50" spans="1:16" ht="15" customHeight="1">
      <c r="A50" s="15"/>
      <c r="B50" s="16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5"/>
      <c r="B51" s="16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O1:P1"/>
  </mergeCells>
  <printOptions horizontalCentered="1"/>
  <pageMargins left="0.5" right="0.5" top="0.5" bottom="0.5" header="0.3" footer="0.3"/>
  <pageSetup fitToHeight="1" fitToWidth="1" horizontalDpi="600" verticalDpi="600" orientation="landscape" scale="67" r:id="rId2"/>
  <headerFooter alignWithMargins="0">
    <oddHeader xml:space="preserve">&amp;CBy Agilent Technologies&amp;R </oddHeader>
    <oddFooter>&amp;L&amp;F tab &amp;A page &amp;P of &amp;N&amp;RPrinted &amp;T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showGridLines="0" showOutlineSymbols="0" zoomScale="70" zoomScaleNormal="70" workbookViewId="0" topLeftCell="A1">
      <selection activeCell="N1" sqref="N1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8" customWidth="1"/>
    <col min="19" max="19" width="6.00390625" style="5" customWidth="1"/>
    <col min="20" max="20" width="6.57421875" style="5" customWidth="1"/>
    <col min="21" max="21" width="7.28125" style="7" customWidth="1"/>
    <col min="22" max="22" width="7.421875" style="5" customWidth="1"/>
    <col min="23" max="23" width="7.7109375" style="5" customWidth="1"/>
    <col min="24" max="24" width="11.140625" style="10" customWidth="1"/>
    <col min="25" max="25" width="8.8515625" style="10" customWidth="1"/>
    <col min="26" max="26" width="8.140625" style="5" customWidth="1"/>
    <col min="27" max="27" width="7.57421875" style="5" customWidth="1"/>
    <col min="28" max="28" width="10.00390625" style="188" customWidth="1"/>
    <col min="29" max="32" width="10.00390625" style="5" customWidth="1"/>
    <col min="33" max="16384" width="11.140625" style="5" customWidth="1"/>
  </cols>
  <sheetData>
    <row r="1" spans="1:32" s="145" customFormat="1" ht="15.75">
      <c r="A1" s="140" t="s">
        <v>106</v>
      </c>
      <c r="B1" s="122"/>
      <c r="C1" s="122"/>
      <c r="D1" s="122"/>
      <c r="E1" s="127"/>
      <c r="F1" s="127"/>
      <c r="G1" s="127"/>
      <c r="H1" s="127"/>
      <c r="I1" s="127"/>
      <c r="J1" s="127"/>
      <c r="K1" s="141" t="s">
        <v>76</v>
      </c>
      <c r="L1" s="122" t="s">
        <v>59</v>
      </c>
      <c r="M1" s="127"/>
      <c r="N1" s="150" t="s">
        <v>0</v>
      </c>
      <c r="O1" s="200">
        <v>36587</v>
      </c>
      <c r="P1" s="201"/>
      <c r="Q1" s="142" t="s">
        <v>1</v>
      </c>
      <c r="R1" s="143" t="s">
        <v>127</v>
      </c>
      <c r="S1" s="54"/>
      <c r="T1" s="51"/>
      <c r="U1" s="144"/>
      <c r="V1" s="51"/>
      <c r="W1" s="53"/>
      <c r="X1" s="54"/>
      <c r="Y1" s="54"/>
      <c r="Z1" s="53"/>
      <c r="AA1" s="53"/>
      <c r="AB1" s="186"/>
      <c r="AC1" s="53"/>
      <c r="AD1" s="53"/>
      <c r="AE1" s="53"/>
      <c r="AF1" s="53"/>
    </row>
    <row r="2" spans="1:32" ht="15.75">
      <c r="A2" s="65" t="s">
        <v>2</v>
      </c>
      <c r="B2" s="131" t="s">
        <v>3</v>
      </c>
      <c r="C2" s="76"/>
      <c r="D2" s="68"/>
      <c r="E2" s="76"/>
      <c r="F2" s="76"/>
      <c r="G2" s="65"/>
      <c r="H2" s="64"/>
      <c r="I2" s="68" t="s">
        <v>107</v>
      </c>
      <c r="J2" s="149">
        <v>0.55</v>
      </c>
      <c r="K2" s="64" t="s">
        <v>108</v>
      </c>
      <c r="L2" s="64"/>
      <c r="M2" s="76"/>
      <c r="N2" s="64"/>
      <c r="O2" s="65" t="s">
        <v>114</v>
      </c>
      <c r="P2" s="161">
        <f>1000000/$P$6</f>
        <v>720</v>
      </c>
      <c r="Q2" s="64" t="s">
        <v>101</v>
      </c>
      <c r="R2" s="86"/>
      <c r="S2" s="69"/>
      <c r="T2" s="70"/>
      <c r="U2" s="87"/>
      <c r="V2" s="70"/>
      <c r="W2" s="76"/>
      <c r="X2" s="69"/>
      <c r="Y2" s="6"/>
      <c r="Z2" s="1"/>
      <c r="AA2" s="1"/>
      <c r="AB2" s="187"/>
      <c r="AC2" s="1"/>
      <c r="AD2" s="1"/>
      <c r="AE2" s="1"/>
      <c r="AF2" s="1"/>
    </row>
    <row r="3" spans="1:32" ht="15" customHeight="1">
      <c r="A3" s="76"/>
      <c r="B3" s="76"/>
      <c r="C3" s="76"/>
      <c r="D3" s="68" t="s">
        <v>5</v>
      </c>
      <c r="E3" s="170">
        <v>500</v>
      </c>
      <c r="F3" s="64"/>
      <c r="G3" s="64"/>
      <c r="H3" s="76"/>
      <c r="I3" s="65" t="s">
        <v>111</v>
      </c>
      <c r="J3" s="130">
        <v>0.4</v>
      </c>
      <c r="K3" s="76" t="s">
        <v>108</v>
      </c>
      <c r="L3" s="64"/>
      <c r="M3" s="76"/>
      <c r="N3" s="64"/>
      <c r="O3" s="65" t="s">
        <v>4</v>
      </c>
      <c r="P3" s="51">
        <f>IF($B$4&gt;1000,$E$6/1.5,$E$6/3.5)</f>
        <v>1</v>
      </c>
      <c r="Q3" s="64"/>
      <c r="R3" s="86"/>
      <c r="S3" s="89"/>
      <c r="T3" s="90"/>
      <c r="U3" s="87"/>
      <c r="V3" s="70"/>
      <c r="W3" s="76"/>
      <c r="X3" s="69"/>
      <c r="Y3" s="6"/>
      <c r="Z3" s="1"/>
      <c r="AA3" s="1"/>
      <c r="AB3" s="187"/>
      <c r="AC3" s="1"/>
      <c r="AD3" s="1"/>
      <c r="AE3" s="1"/>
      <c r="AF3" s="1"/>
    </row>
    <row r="4" spans="1:32" ht="15" customHeight="1">
      <c r="A4" s="65" t="s">
        <v>55</v>
      </c>
      <c r="B4" s="91">
        <v>1270</v>
      </c>
      <c r="C4" s="76"/>
      <c r="D4" s="68" t="s">
        <v>9</v>
      </c>
      <c r="E4" s="88">
        <v>0.11</v>
      </c>
      <c r="F4" s="64"/>
      <c r="G4" s="64"/>
      <c r="H4" s="76"/>
      <c r="I4" s="65" t="s">
        <v>112</v>
      </c>
      <c r="J4" s="177">
        <f>10^(INT(LOG10(J3/9)))</f>
        <v>0.01</v>
      </c>
      <c r="K4" s="64" t="s">
        <v>108</v>
      </c>
      <c r="L4" s="64"/>
      <c r="M4" s="64"/>
      <c r="N4" s="64"/>
      <c r="O4" s="65" t="s">
        <v>6</v>
      </c>
      <c r="P4" s="161">
        <f>B7*1.518</f>
        <v>394.68</v>
      </c>
      <c r="Q4" s="76" t="s">
        <v>101</v>
      </c>
      <c r="R4" s="92" t="s">
        <v>7</v>
      </c>
      <c r="S4" s="90"/>
      <c r="T4" s="90"/>
      <c r="U4" s="87"/>
      <c r="V4" s="70"/>
      <c r="W4" s="76"/>
      <c r="X4" s="69"/>
      <c r="Y4" s="6"/>
      <c r="Z4" s="1"/>
      <c r="AA4" s="1"/>
      <c r="AB4" s="187"/>
      <c r="AC4" s="1"/>
      <c r="AD4" s="1"/>
      <c r="AE4" s="1"/>
      <c r="AF4" s="1"/>
    </row>
    <row r="5" spans="1:32" ht="15" customHeight="1">
      <c r="A5" s="65" t="s">
        <v>8</v>
      </c>
      <c r="B5" s="93">
        <v>4</v>
      </c>
      <c r="C5" s="76"/>
      <c r="D5" s="68" t="s">
        <v>56</v>
      </c>
      <c r="E5" s="88">
        <v>1365</v>
      </c>
      <c r="F5" s="64"/>
      <c r="G5" s="64"/>
      <c r="H5" s="76"/>
      <c r="I5" s="65" t="s">
        <v>12</v>
      </c>
      <c r="J5" s="94">
        <v>480</v>
      </c>
      <c r="K5" s="64" t="s">
        <v>105</v>
      </c>
      <c r="L5" s="76"/>
      <c r="M5" s="70"/>
      <c r="N5" s="64"/>
      <c r="O5" s="65" t="s">
        <v>10</v>
      </c>
      <c r="P5" s="103">
        <v>0.7</v>
      </c>
      <c r="Q5" s="64"/>
      <c r="R5" s="92" t="s">
        <v>11</v>
      </c>
      <c r="S5" s="90"/>
      <c r="T5" s="86"/>
      <c r="U5" s="87"/>
      <c r="V5" s="70"/>
      <c r="W5" s="76"/>
      <c r="X5" s="69"/>
      <c r="Y5" s="6"/>
      <c r="Z5" s="1"/>
      <c r="AA5" s="1"/>
      <c r="AB5" s="187"/>
      <c r="AC5" s="1"/>
      <c r="AD5" s="1"/>
      <c r="AE5" s="1"/>
      <c r="AF5" s="1"/>
    </row>
    <row r="6" spans="1:32" ht="15" customHeight="1">
      <c r="A6" s="65" t="s">
        <v>74</v>
      </c>
      <c r="B6" s="88">
        <v>9</v>
      </c>
      <c r="C6" s="76" t="s">
        <v>63</v>
      </c>
      <c r="D6" s="68" t="s">
        <v>97</v>
      </c>
      <c r="E6" s="88">
        <v>1.5</v>
      </c>
      <c r="F6" s="64" t="str">
        <f>"dB/km at "&amp;IF(B4&lt;1000,850,1300)&amp;" nm"</f>
        <v>dB/km at 1300 nm</v>
      </c>
      <c r="G6" s="64"/>
      <c r="H6" s="76"/>
      <c r="I6" s="65" t="s">
        <v>15</v>
      </c>
      <c r="J6" s="93">
        <v>7.037</v>
      </c>
      <c r="K6" s="64"/>
      <c r="L6" s="64"/>
      <c r="M6" s="70"/>
      <c r="N6" s="64"/>
      <c r="O6" s="68" t="s">
        <v>13</v>
      </c>
      <c r="P6" s="95">
        <f>(P7)</f>
        <v>1388.888888888889</v>
      </c>
      <c r="Q6" s="69"/>
      <c r="R6" s="90"/>
      <c r="S6" s="86"/>
      <c r="T6" s="86"/>
      <c r="U6" s="87"/>
      <c r="V6" s="70"/>
      <c r="W6" s="76"/>
      <c r="X6" s="69"/>
      <c r="AA6" s="1"/>
      <c r="AB6" s="187"/>
      <c r="AC6" s="1"/>
      <c r="AD6" s="1"/>
      <c r="AE6" s="1"/>
      <c r="AF6" s="1"/>
    </row>
    <row r="7" spans="1:32" ht="15" customHeight="1">
      <c r="A7" s="65" t="s">
        <v>14</v>
      </c>
      <c r="B7" s="88">
        <v>260</v>
      </c>
      <c r="C7" s="76" t="s">
        <v>101</v>
      </c>
      <c r="D7" s="65" t="s">
        <v>98</v>
      </c>
      <c r="E7" s="176">
        <v>1250</v>
      </c>
      <c r="F7" s="76" t="s">
        <v>103</v>
      </c>
      <c r="G7" s="70"/>
      <c r="H7" s="70"/>
      <c r="I7" s="68" t="s">
        <v>102</v>
      </c>
      <c r="J7" s="174">
        <f>2.5*10^5/$E$7</f>
        <v>200</v>
      </c>
      <c r="K7" s="70" t="s">
        <v>101</v>
      </c>
      <c r="L7" s="64"/>
      <c r="M7" s="70"/>
      <c r="N7" s="64"/>
      <c r="O7" s="68" t="s">
        <v>16</v>
      </c>
      <c r="P7" s="96">
        <f>1/((1/$E$7)-$J$8*10^-6)</f>
        <v>1388.888888888889</v>
      </c>
      <c r="Q7" s="69"/>
      <c r="R7" s="90"/>
      <c r="S7" s="98" t="s">
        <v>33</v>
      </c>
      <c r="T7" s="128">
        <f>AE36</f>
        <v>1.6565058046906298</v>
      </c>
      <c r="U7" s="99" t="str">
        <f>"dB at target "&amp;J2&amp;" km"</f>
        <v>dB at target 0.55 km</v>
      </c>
      <c r="V7" s="70"/>
      <c r="W7" s="76"/>
      <c r="X7" s="132"/>
      <c r="AA7" s="1"/>
      <c r="AB7" s="187"/>
      <c r="AC7" s="1"/>
      <c r="AD7" s="1"/>
      <c r="AE7" s="1"/>
      <c r="AF7" s="1"/>
    </row>
    <row r="8" spans="1:32" ht="15" customHeight="1">
      <c r="A8" s="65" t="s">
        <v>86</v>
      </c>
      <c r="B8" s="88">
        <v>-120</v>
      </c>
      <c r="C8" s="114" t="s">
        <v>85</v>
      </c>
      <c r="D8" s="68" t="s">
        <v>99</v>
      </c>
      <c r="E8" s="170">
        <v>1000</v>
      </c>
      <c r="F8" s="76" t="s">
        <v>104</v>
      </c>
      <c r="G8" s="70"/>
      <c r="H8" s="64"/>
      <c r="I8" s="68" t="s">
        <v>19</v>
      </c>
      <c r="J8" s="88">
        <v>80</v>
      </c>
      <c r="K8" s="64"/>
      <c r="L8" s="64"/>
      <c r="M8" s="64"/>
      <c r="N8" s="64"/>
      <c r="O8" s="65" t="s">
        <v>17</v>
      </c>
      <c r="P8" s="66">
        <f>(10^-6)*$J$7*$P$7</f>
        <v>0.27777777777777773</v>
      </c>
      <c r="Q8" s="69"/>
      <c r="R8" s="90"/>
      <c r="S8" s="68" t="s">
        <v>117</v>
      </c>
      <c r="T8" s="53">
        <f>$P$3*((1/(0.00094*$B$4)^4)+1.05)</f>
        <v>1.542349727375382</v>
      </c>
      <c r="U8" s="64" t="str">
        <f>"dB/km at "&amp;B4&amp;" nm"</f>
        <v>dB/km at 1270 nm</v>
      </c>
      <c r="V8" s="70"/>
      <c r="W8" s="76"/>
      <c r="X8" s="69"/>
      <c r="Y8" s="6"/>
      <c r="Z8" s="1"/>
      <c r="AA8" s="1"/>
      <c r="AB8" s="187"/>
      <c r="AC8" s="1"/>
      <c r="AD8" s="1"/>
      <c r="AE8" s="1"/>
      <c r="AF8" s="1"/>
    </row>
    <row r="9" spans="1:32" ht="15" customHeight="1">
      <c r="A9" s="65" t="s">
        <v>18</v>
      </c>
      <c r="B9" s="88">
        <v>0.8</v>
      </c>
      <c r="C9" s="76"/>
      <c r="D9" s="68" t="s">
        <v>67</v>
      </c>
      <c r="E9" s="88">
        <v>7.5</v>
      </c>
      <c r="F9" s="76"/>
      <c r="G9" s="76"/>
      <c r="H9" s="64"/>
      <c r="I9" s="68" t="s">
        <v>22</v>
      </c>
      <c r="J9" s="139">
        <v>-11.5</v>
      </c>
      <c r="K9" s="70"/>
      <c r="L9" s="64"/>
      <c r="M9" s="70"/>
      <c r="N9" s="64"/>
      <c r="O9" s="65" t="s">
        <v>20</v>
      </c>
      <c r="P9" s="97">
        <f>(P8)</f>
        <v>0.27777777777777773</v>
      </c>
      <c r="Q9" s="69"/>
      <c r="R9" s="90"/>
      <c r="S9" s="98" t="s">
        <v>73</v>
      </c>
      <c r="T9" s="160">
        <f>350000/$E$8</f>
        <v>350</v>
      </c>
      <c r="U9" s="99" t="s">
        <v>101</v>
      </c>
      <c r="V9" s="70"/>
      <c r="W9" s="33"/>
      <c r="X9" s="43"/>
      <c r="Y9" s="69"/>
      <c r="Z9" s="76"/>
      <c r="AA9" s="76"/>
      <c r="AB9" s="179"/>
      <c r="AC9" s="1"/>
      <c r="AD9" s="1"/>
      <c r="AE9" s="1"/>
      <c r="AF9" s="1"/>
    </row>
    <row r="10" spans="1:32" ht="15" customHeight="1">
      <c r="A10" s="65" t="s">
        <v>21</v>
      </c>
      <c r="B10" s="88">
        <v>0.5</v>
      </c>
      <c r="C10" s="76"/>
      <c r="D10" s="68" t="s">
        <v>68</v>
      </c>
      <c r="E10" s="88">
        <v>1.5</v>
      </c>
      <c r="F10" s="76"/>
      <c r="G10" s="65"/>
      <c r="H10" s="64"/>
      <c r="I10" s="65" t="s">
        <v>26</v>
      </c>
      <c r="J10" s="129">
        <v>9</v>
      </c>
      <c r="K10" s="64"/>
      <c r="L10" s="64"/>
      <c r="M10" s="70"/>
      <c r="N10" s="64"/>
      <c r="O10" s="65" t="s">
        <v>23</v>
      </c>
      <c r="P10" s="51">
        <f>T35-S35</f>
        <v>-1.1956323436521146</v>
      </c>
      <c r="Q10" s="70" t="s">
        <v>24</v>
      </c>
      <c r="R10" s="90"/>
      <c r="S10" s="98" t="s">
        <v>100</v>
      </c>
      <c r="T10" s="128">
        <f>(1-1.425*EXP(-1.28*($P$2/$T$9)^2))*((2*SIN(3.1416*$P$9))/(3.1416*$P$9*(1-$P$9^2))-1)</f>
        <v>0.8967246580471736</v>
      </c>
      <c r="U10" s="99" t="s">
        <v>77</v>
      </c>
      <c r="V10" s="112"/>
      <c r="W10" s="76"/>
      <c r="X10" s="115" t="s">
        <v>25</v>
      </c>
      <c r="Y10" s="69"/>
      <c r="Z10" s="64"/>
      <c r="AA10" s="76"/>
      <c r="AB10" s="179"/>
      <c r="AC10" s="1"/>
      <c r="AD10" s="1"/>
      <c r="AE10" s="1"/>
      <c r="AF10" s="1"/>
    </row>
    <row r="11" spans="1:32" ht="15" customHeight="1">
      <c r="A11" s="33"/>
      <c r="B11" s="33"/>
      <c r="C11" s="33"/>
      <c r="D11" s="34"/>
      <c r="E11" s="34"/>
      <c r="F11" s="34"/>
      <c r="G11" s="34"/>
      <c r="H11" s="34"/>
      <c r="I11" s="35" t="s">
        <v>75</v>
      </c>
      <c r="J11" s="36">
        <v>0</v>
      </c>
      <c r="K11" s="37" t="s">
        <v>66</v>
      </c>
      <c r="L11" s="38"/>
      <c r="M11" s="38"/>
      <c r="N11" s="34"/>
      <c r="O11" s="39" t="s">
        <v>62</v>
      </c>
      <c r="P11" s="40">
        <f>10*LOG10(1/SQRT(1-($J$6*J11)^2))</f>
        <v>0</v>
      </c>
      <c r="Q11" s="37" t="s">
        <v>63</v>
      </c>
      <c r="R11" s="59"/>
      <c r="S11" s="39" t="s">
        <v>61</v>
      </c>
      <c r="T11" s="41">
        <f>10*LOG10(1/SQRT(1-($J$6*$J$11/$T$10)^2))</f>
        <v>0</v>
      </c>
      <c r="U11" s="42" t="s">
        <v>63</v>
      </c>
      <c r="V11" s="113"/>
      <c r="W11" s="76"/>
      <c r="X11" s="100" t="s">
        <v>27</v>
      </c>
      <c r="Y11" s="6" t="s">
        <v>28</v>
      </c>
      <c r="Z11" s="12" t="s">
        <v>34</v>
      </c>
      <c r="AA11" s="12" t="s">
        <v>29</v>
      </c>
      <c r="AB11" s="180" t="s">
        <v>78</v>
      </c>
      <c r="AC11" s="1"/>
      <c r="AD11" s="1"/>
      <c r="AE11" s="1"/>
      <c r="AF11" s="1"/>
    </row>
    <row r="12" spans="1:32" ht="15" customHeight="1">
      <c r="A12" s="133" t="s">
        <v>88</v>
      </c>
      <c r="B12" s="69" t="s">
        <v>57</v>
      </c>
      <c r="C12" s="69" t="s">
        <v>36</v>
      </c>
      <c r="D12" s="75" t="s">
        <v>80</v>
      </c>
      <c r="E12" s="75" t="s">
        <v>81</v>
      </c>
      <c r="F12" s="76" t="s">
        <v>82</v>
      </c>
      <c r="G12" s="76" t="s">
        <v>83</v>
      </c>
      <c r="H12" s="67" t="s">
        <v>37</v>
      </c>
      <c r="I12" s="68" t="s">
        <v>38</v>
      </c>
      <c r="J12" s="69" t="s">
        <v>39</v>
      </c>
      <c r="K12" s="70" t="s">
        <v>40</v>
      </c>
      <c r="L12" s="68" t="s">
        <v>41</v>
      </c>
      <c r="M12" s="68" t="s">
        <v>42</v>
      </c>
      <c r="N12" s="68" t="s">
        <v>43</v>
      </c>
      <c r="O12" s="71" t="s">
        <v>79</v>
      </c>
      <c r="P12" s="68" t="s">
        <v>44</v>
      </c>
      <c r="Q12" s="68" t="s">
        <v>45</v>
      </c>
      <c r="R12" s="72" t="s">
        <v>46</v>
      </c>
      <c r="S12" s="69" t="s">
        <v>47</v>
      </c>
      <c r="T12" s="73" t="s">
        <v>48</v>
      </c>
      <c r="U12" s="71" t="s">
        <v>49</v>
      </c>
      <c r="V12" s="70" t="s">
        <v>50</v>
      </c>
      <c r="W12" s="74" t="s">
        <v>33</v>
      </c>
      <c r="X12" s="101" t="s">
        <v>32</v>
      </c>
      <c r="Y12" s="6" t="s">
        <v>33</v>
      </c>
      <c r="Z12" s="10" t="s">
        <v>89</v>
      </c>
      <c r="AA12" s="6" t="s">
        <v>35</v>
      </c>
      <c r="AB12" s="180" t="s">
        <v>65</v>
      </c>
      <c r="AC12" s="1"/>
      <c r="AD12" s="1"/>
      <c r="AE12" s="173" t="s">
        <v>118</v>
      </c>
      <c r="AF12" s="1"/>
    </row>
    <row r="13" spans="1:32" s="34" customFormat="1" ht="15" customHeight="1">
      <c r="A13" s="134" t="s">
        <v>87</v>
      </c>
      <c r="B13" s="44" t="s">
        <v>58</v>
      </c>
      <c r="C13" s="44" t="s">
        <v>58</v>
      </c>
      <c r="D13" s="45" t="s">
        <v>84</v>
      </c>
      <c r="E13" s="45" t="s">
        <v>84</v>
      </c>
      <c r="F13" s="33" t="s">
        <v>113</v>
      </c>
      <c r="G13" s="33" t="s">
        <v>113</v>
      </c>
      <c r="H13" s="46" t="s">
        <v>30</v>
      </c>
      <c r="I13" s="47" t="s">
        <v>30</v>
      </c>
      <c r="J13" s="33"/>
      <c r="K13" s="48"/>
      <c r="L13" s="47" t="s">
        <v>30</v>
      </c>
      <c r="M13" s="47"/>
      <c r="N13" s="47" t="s">
        <v>30</v>
      </c>
      <c r="O13" s="47" t="s">
        <v>30</v>
      </c>
      <c r="P13" s="47" t="s">
        <v>30</v>
      </c>
      <c r="Q13" s="47" t="s">
        <v>30</v>
      </c>
      <c r="R13" s="60" t="s">
        <v>30</v>
      </c>
      <c r="S13" s="44" t="s">
        <v>30</v>
      </c>
      <c r="T13" s="48" t="s">
        <v>30</v>
      </c>
      <c r="U13" s="49" t="s">
        <v>30</v>
      </c>
      <c r="V13" s="49" t="s">
        <v>31</v>
      </c>
      <c r="W13" s="50" t="s">
        <v>30</v>
      </c>
      <c r="X13" s="102" t="s">
        <v>51</v>
      </c>
      <c r="Y13" s="44" t="s">
        <v>52</v>
      </c>
      <c r="Z13" s="44" t="s">
        <v>30</v>
      </c>
      <c r="AA13" s="44" t="s">
        <v>53</v>
      </c>
      <c r="AB13" s="181" t="s">
        <v>64</v>
      </c>
      <c r="AC13" s="151" t="s">
        <v>110</v>
      </c>
      <c r="AD13" s="152" t="s">
        <v>109</v>
      </c>
      <c r="AE13" s="152" t="s">
        <v>119</v>
      </c>
      <c r="AF13" s="33"/>
    </row>
    <row r="14" spans="1:32" s="127" customFormat="1" ht="15" customHeight="1">
      <c r="A14" s="135">
        <v>0.002</v>
      </c>
      <c r="B14" s="119">
        <f aca="true" t="shared" si="0" ref="B14:B35">0.25*$E$4*$B$4*(1-($E$5/$B$4)^4)</f>
        <v>-11.68210595488614</v>
      </c>
      <c r="C14" s="142">
        <f aca="true" t="shared" si="1" ref="C14:C35">0.7*$E$4*$B$5</f>
        <v>0.308</v>
      </c>
      <c r="D14" s="120">
        <f aca="true" t="shared" si="2" ref="D14:D35">(0.187/(A14*$B$5))*(10^6/SQRT(B14^2+C14^2))</f>
        <v>2000228.3937582604</v>
      </c>
      <c r="E14" s="120">
        <f aca="true" t="shared" si="3" ref="E14:E35">$E$3/A14</f>
        <v>250000</v>
      </c>
      <c r="F14" s="165">
        <f>SQRT(($J$5/D14)^2+($J$5/E14)^2+$P$4^2)</f>
        <v>394.6800000047431</v>
      </c>
      <c r="G14" s="165">
        <f aca="true" t="shared" si="4" ref="G14:G35">SQRT(F14^2+(350000/$E$8)^2)</f>
        <v>527.5152153291352</v>
      </c>
      <c r="H14" s="121">
        <f aca="true" t="shared" si="5" ref="H14:H35">-10*LOG10(1-1.425*EXP(-1.28*($P$2/G14)^2))</f>
        <v>0.6112363337737231</v>
      </c>
      <c r="I14" s="119">
        <f aca="true" t="shared" si="6" ref="I14:I35">A14*$P$3*((1/(0.00094*$B$4)^4)+1.05)</f>
        <v>0.0030846994547507637</v>
      </c>
      <c r="J14" s="122">
        <f aca="true" t="shared" si="7" ref="J14:J35">(10^-6)*3.14*$P$6*B14*A14*$B$5</f>
        <v>-0.00040757569664824986</v>
      </c>
      <c r="K14" s="119">
        <f aca="true" t="shared" si="8" ref="K14:K35">($B$9/SQRT(2))*(1-EXP(-1*J14^2))</f>
        <v>9.397049450576241E-08</v>
      </c>
      <c r="L14" s="119">
        <f aca="true" t="shared" si="9" ref="L14:L35">10*LOG10(1/SQRT(1-($J$6*K14)^2))</f>
        <v>9.49862554554884E-13</v>
      </c>
      <c r="M14" s="119"/>
      <c r="N14" s="119"/>
      <c r="O14" s="119">
        <f aca="true" t="shared" si="10" ref="O14:O35">10*LOG10(1/SQRT(1-($J$6*$J$6*((($J$11/AB14)^2)+M14+(K14*K14)))))-$T$11-L14-N14</f>
        <v>0</v>
      </c>
      <c r="P14" s="119">
        <f aca="true" t="shared" si="11" ref="P14:P35">Z14-AA14</f>
        <v>0</v>
      </c>
      <c r="Q14" s="119">
        <f aca="true" t="shared" si="12" ref="Q14:Q35">$B$10</f>
        <v>0.5</v>
      </c>
      <c r="R14" s="123">
        <f aca="true" t="shared" si="13" ref="R14:R35">-10*LOG10((2*SIN(3.1416*$P$9))/(3.1416*$P$9*(1-$P$9^2))-1)</f>
        <v>0.4458340956509569</v>
      </c>
      <c r="S14" s="124">
        <f aca="true" t="shared" si="14" ref="S14:S35">$E$9-$E$10</f>
        <v>6</v>
      </c>
      <c r="T14" s="178">
        <f aca="true" t="shared" si="15" ref="T14:T35">H14+I14+L14+N14+O14+P14+Q14+R14</f>
        <v>1.5601551288803805</v>
      </c>
      <c r="U14" s="119">
        <f aca="true" t="shared" si="16" ref="U14:U35">$E$10+I14</f>
        <v>1.5030846994547509</v>
      </c>
      <c r="V14" s="119">
        <f aca="true" t="shared" si="17" ref="V14:V35">T14-I14</f>
        <v>1.5570704294256297</v>
      </c>
      <c r="W14" s="125">
        <f aca="true" t="shared" si="18" ref="W14:W35">S14-T14</f>
        <v>4.43984487111962</v>
      </c>
      <c r="X14" s="126">
        <f aca="true" t="shared" si="19" ref="X14:X35">$J$9-U14-R14-P14</f>
        <v>-13.448918795105708</v>
      </c>
      <c r="Y14" s="124"/>
      <c r="Z14" s="119">
        <f aca="true" t="shared" si="20" ref="Z14:Z35">10*LOG10((1+10^(-($B$6/10)))/(1-10^(-($B$6/10))))</f>
        <v>1.0993211590790997</v>
      </c>
      <c r="AA14" s="119">
        <f aca="true" t="shared" si="21" ref="AA14:AA35">10*LOG10((1+10^(-($J$10/10)))/(1-10^(-($J$10/10))))</f>
        <v>1.0993211590790997</v>
      </c>
      <c r="AB14" s="182">
        <f aca="true" t="shared" si="22" ref="AB14:AB35">10^(-(H14+R14)/10)</f>
        <v>0.7839582902146359</v>
      </c>
      <c r="AC14" s="153"/>
      <c r="AD14" s="154"/>
      <c r="AE14" s="122"/>
      <c r="AF14" s="122"/>
    </row>
    <row r="15" spans="1:32" s="21" customFormat="1" ht="15" customHeight="1">
      <c r="A15" s="136">
        <f>$J$3</f>
        <v>0.4</v>
      </c>
      <c r="B15" s="103">
        <f t="shared" si="0"/>
        <v>-11.68210595488614</v>
      </c>
      <c r="C15" s="146">
        <f t="shared" si="1"/>
        <v>0.308</v>
      </c>
      <c r="D15" s="167">
        <f t="shared" si="2"/>
        <v>10001.141968791302</v>
      </c>
      <c r="E15" s="167">
        <f t="shared" si="3"/>
        <v>1250</v>
      </c>
      <c r="F15" s="116">
        <f aca="true" t="shared" si="23" ref="F15:F35">SQRT((1000*$J$5/D15)^2+(1000*$J$5/E15)^2+$P$4^2)</f>
        <v>552.7492888018095</v>
      </c>
      <c r="G15" s="116">
        <f t="shared" si="4"/>
        <v>654.2413746247681</v>
      </c>
      <c r="H15" s="159">
        <f t="shared" si="5"/>
        <v>1.5638155592880898</v>
      </c>
      <c r="I15" s="103">
        <f t="shared" si="6"/>
        <v>0.6169398909501528</v>
      </c>
      <c r="J15" s="103">
        <f t="shared" si="7"/>
        <v>-0.08151513932964997</v>
      </c>
      <c r="K15" s="103">
        <f t="shared" si="8"/>
        <v>0.003746359556060808</v>
      </c>
      <c r="L15" s="103">
        <f t="shared" si="9"/>
        <v>0.0015097300334503613</v>
      </c>
      <c r="M15" s="103">
        <f aca="true" t="shared" si="24" ref="M15:M35">$P$5*10^9*($J$5/G15)*10^($B$8/10)</f>
        <v>0.0005135719216668443</v>
      </c>
      <c r="N15" s="103">
        <f aca="true" t="shared" si="25" ref="N15:N35">10*LOG10(1/SQRT(1-($J$6^2)*M15))</f>
        <v>0.055938723702647214</v>
      </c>
      <c r="O15" s="103">
        <f t="shared" si="10"/>
        <v>3.941107998238491E-05</v>
      </c>
      <c r="P15" s="103">
        <f t="shared" si="11"/>
        <v>0</v>
      </c>
      <c r="Q15" s="103">
        <f t="shared" si="12"/>
        <v>0.5</v>
      </c>
      <c r="R15" s="107">
        <f t="shared" si="13"/>
        <v>0.4458340956509569</v>
      </c>
      <c r="S15" s="108">
        <f t="shared" si="14"/>
        <v>6</v>
      </c>
      <c r="T15" s="104">
        <f t="shared" si="15"/>
        <v>3.18407741070528</v>
      </c>
      <c r="U15" s="103">
        <f t="shared" si="16"/>
        <v>2.1169398909501527</v>
      </c>
      <c r="V15" s="103">
        <f t="shared" si="17"/>
        <v>2.567137519755127</v>
      </c>
      <c r="W15" s="109">
        <f t="shared" si="18"/>
        <v>2.81592258929472</v>
      </c>
      <c r="X15" s="110">
        <f t="shared" si="19"/>
        <v>-14.06277398660111</v>
      </c>
      <c r="Y15" s="20"/>
      <c r="Z15" s="19">
        <f t="shared" si="20"/>
        <v>1.0993211590790997</v>
      </c>
      <c r="AA15" s="19">
        <f t="shared" si="21"/>
        <v>1.0993211590790997</v>
      </c>
      <c r="AB15" s="183">
        <f t="shared" si="22"/>
        <v>0.6295569671261863</v>
      </c>
      <c r="AC15" s="155">
        <f aca="true" t="shared" si="26" ref="AC15:AC35">$J$2</f>
        <v>0.55</v>
      </c>
      <c r="AD15" s="156">
        <v>0</v>
      </c>
      <c r="AE15" s="156">
        <f>IF(A15=$J$2,W15,0)</f>
        <v>0</v>
      </c>
      <c r="AF15" s="18"/>
    </row>
    <row r="16" spans="1:32" s="27" customFormat="1" ht="15" customHeight="1">
      <c r="A16" s="137">
        <f aca="true" t="shared" si="27" ref="A16:A35">A15+$J$4</f>
        <v>0.41000000000000003</v>
      </c>
      <c r="B16" s="51">
        <f t="shared" si="0"/>
        <v>-11.68210595488614</v>
      </c>
      <c r="C16" s="147">
        <f t="shared" si="1"/>
        <v>0.308</v>
      </c>
      <c r="D16" s="168">
        <f t="shared" si="2"/>
        <v>9757.211676869561</v>
      </c>
      <c r="E16" s="168">
        <f t="shared" si="3"/>
        <v>1219.5121951219512</v>
      </c>
      <c r="F16" s="117">
        <f t="shared" si="23"/>
        <v>559.5653220452647</v>
      </c>
      <c r="G16" s="117">
        <f t="shared" si="4"/>
        <v>660.010113282835</v>
      </c>
      <c r="H16" s="52">
        <f t="shared" si="5"/>
        <v>1.615604380383717</v>
      </c>
      <c r="I16" s="51">
        <f t="shared" si="6"/>
        <v>0.6323633882239066</v>
      </c>
      <c r="J16" s="51">
        <f t="shared" si="7"/>
        <v>-0.08355301781289122</v>
      </c>
      <c r="K16" s="51">
        <f t="shared" si="8"/>
        <v>0.003935357799394613</v>
      </c>
      <c r="L16" s="51">
        <f t="shared" si="9"/>
        <v>0.0016659595459704952</v>
      </c>
      <c r="M16" s="51">
        <f t="shared" si="24"/>
        <v>0.0005090831083311195</v>
      </c>
      <c r="N16" s="51">
        <f t="shared" si="25"/>
        <v>0.055443502551542234</v>
      </c>
      <c r="O16" s="51">
        <f t="shared" si="10"/>
        <v>4.310105074065845E-05</v>
      </c>
      <c r="P16" s="51">
        <f t="shared" si="11"/>
        <v>0</v>
      </c>
      <c r="Q16" s="51">
        <f t="shared" si="12"/>
        <v>0.5</v>
      </c>
      <c r="R16" s="61">
        <f t="shared" si="13"/>
        <v>0.4458340956509569</v>
      </c>
      <c r="S16" s="54">
        <f t="shared" si="14"/>
        <v>6</v>
      </c>
      <c r="T16" s="55">
        <f t="shared" si="15"/>
        <v>3.250954427406834</v>
      </c>
      <c r="U16" s="51">
        <f t="shared" si="16"/>
        <v>2.1323633882239066</v>
      </c>
      <c r="V16" s="51">
        <f t="shared" si="17"/>
        <v>2.6185910391829275</v>
      </c>
      <c r="W16" s="56">
        <f t="shared" si="18"/>
        <v>2.749045572593166</v>
      </c>
      <c r="X16" s="105">
        <f t="shared" si="19"/>
        <v>-14.078197483874863</v>
      </c>
      <c r="Y16" s="26">
        <f aca="true" t="shared" si="28" ref="Y16:Y34">(W17-W15)/2</f>
        <v>-0.06762116501537574</v>
      </c>
      <c r="Z16" s="24">
        <f t="shared" si="20"/>
        <v>1.0993211590790997</v>
      </c>
      <c r="AA16" s="24">
        <f t="shared" si="21"/>
        <v>1.0993211590790997</v>
      </c>
      <c r="AB16" s="184">
        <f t="shared" si="22"/>
        <v>0.6220942001619749</v>
      </c>
      <c r="AC16" s="155">
        <f t="shared" si="26"/>
        <v>0.55</v>
      </c>
      <c r="AD16" s="157">
        <f aca="true" t="shared" si="29" ref="AD16:AD34">AD17</f>
        <v>7.9</v>
      </c>
      <c r="AE16" s="156">
        <f aca="true" t="shared" si="30" ref="AE16:AE35">IF(A16=$J$2,W16,0)</f>
        <v>0</v>
      </c>
      <c r="AF16" s="23"/>
    </row>
    <row r="17" spans="1:32" s="27" customFormat="1" ht="15" customHeight="1">
      <c r="A17" s="137">
        <f t="shared" si="27"/>
        <v>0.42000000000000004</v>
      </c>
      <c r="B17" s="51">
        <f t="shared" si="0"/>
        <v>-11.68210595488614</v>
      </c>
      <c r="C17" s="147">
        <f t="shared" si="1"/>
        <v>0.308</v>
      </c>
      <c r="D17" s="168">
        <f t="shared" si="2"/>
        <v>9524.897113134573</v>
      </c>
      <c r="E17" s="168">
        <f t="shared" si="3"/>
        <v>1190.4761904761904</v>
      </c>
      <c r="F17" s="117">
        <f t="shared" si="23"/>
        <v>566.4645817195229</v>
      </c>
      <c r="G17" s="117">
        <f t="shared" si="4"/>
        <v>665.8694484226424</v>
      </c>
      <c r="H17" s="52">
        <f t="shared" si="5"/>
        <v>1.668868362317786</v>
      </c>
      <c r="I17" s="51">
        <f t="shared" si="6"/>
        <v>0.6477868854976605</v>
      </c>
      <c r="J17" s="51">
        <f t="shared" si="7"/>
        <v>-0.08559089629613248</v>
      </c>
      <c r="K17" s="51">
        <f t="shared" si="8"/>
        <v>0.004128956726313259</v>
      </c>
      <c r="L17" s="51">
        <f t="shared" si="9"/>
        <v>0.0018339752262411496</v>
      </c>
      <c r="M17" s="51">
        <f t="shared" si="24"/>
        <v>0.0005046034185769297</v>
      </c>
      <c r="N17" s="51">
        <f t="shared" si="25"/>
        <v>0.054949400514277255</v>
      </c>
      <c r="O17" s="51">
        <f t="shared" si="10"/>
        <v>4.702152910954216E-05</v>
      </c>
      <c r="P17" s="51">
        <f t="shared" si="11"/>
        <v>0</v>
      </c>
      <c r="Q17" s="51">
        <f t="shared" si="12"/>
        <v>0.5</v>
      </c>
      <c r="R17" s="61">
        <f t="shared" si="13"/>
        <v>0.4458340956509569</v>
      </c>
      <c r="S17" s="54">
        <f t="shared" si="14"/>
        <v>6</v>
      </c>
      <c r="T17" s="55">
        <f t="shared" si="15"/>
        <v>3.3193197407360313</v>
      </c>
      <c r="U17" s="51">
        <f t="shared" si="16"/>
        <v>2.1477868854976605</v>
      </c>
      <c r="V17" s="51">
        <f t="shared" si="17"/>
        <v>2.671532855238371</v>
      </c>
      <c r="W17" s="56">
        <f t="shared" si="18"/>
        <v>2.6806802592639687</v>
      </c>
      <c r="X17" s="105">
        <f t="shared" si="19"/>
        <v>-14.093620981148618</v>
      </c>
      <c r="Y17" s="26">
        <f t="shared" si="28"/>
        <v>-0.06910990633798342</v>
      </c>
      <c r="Z17" s="24">
        <f t="shared" si="20"/>
        <v>1.0993211590790997</v>
      </c>
      <c r="AA17" s="24">
        <f t="shared" si="21"/>
        <v>1.0993211590790997</v>
      </c>
      <c r="AB17" s="184">
        <f t="shared" si="22"/>
        <v>0.6145111313949352</v>
      </c>
      <c r="AC17" s="155">
        <f t="shared" si="26"/>
        <v>0.55</v>
      </c>
      <c r="AD17" s="157">
        <f t="shared" si="29"/>
        <v>7.9</v>
      </c>
      <c r="AE17" s="156">
        <f t="shared" si="30"/>
        <v>0</v>
      </c>
      <c r="AF17" s="23"/>
    </row>
    <row r="18" spans="1:31" s="27" customFormat="1" ht="15" customHeight="1">
      <c r="A18" s="137">
        <f t="shared" si="27"/>
        <v>0.43000000000000005</v>
      </c>
      <c r="B18" s="51">
        <f t="shared" si="0"/>
        <v>-11.68210595488614</v>
      </c>
      <c r="C18" s="147">
        <f t="shared" si="1"/>
        <v>0.308</v>
      </c>
      <c r="D18" s="168">
        <f t="shared" si="2"/>
        <v>9303.387877945397</v>
      </c>
      <c r="E18" s="168">
        <f t="shared" si="3"/>
        <v>1162.7906976744184</v>
      </c>
      <c r="F18" s="117">
        <f t="shared" si="23"/>
        <v>573.4440638737714</v>
      </c>
      <c r="G18" s="117">
        <f t="shared" si="4"/>
        <v>671.8170096031106</v>
      </c>
      <c r="H18" s="52">
        <f t="shared" si="5"/>
        <v>1.7236074466684275</v>
      </c>
      <c r="I18" s="51">
        <f t="shared" si="6"/>
        <v>0.6632103827714143</v>
      </c>
      <c r="J18" s="51">
        <f t="shared" si="7"/>
        <v>-0.08762877477937372</v>
      </c>
      <c r="K18" s="51">
        <f t="shared" si="8"/>
        <v>0.004327151535800525</v>
      </c>
      <c r="L18" s="51">
        <f t="shared" si="9"/>
        <v>0.002014350524097117</v>
      </c>
      <c r="M18" s="51">
        <f t="shared" si="24"/>
        <v>0.0005001361906548015</v>
      </c>
      <c r="N18" s="51">
        <f t="shared" si="25"/>
        <v>0.05445678493058285</v>
      </c>
      <c r="O18" s="51">
        <f t="shared" si="10"/>
        <v>5.1179537322053326E-05</v>
      </c>
      <c r="P18" s="51">
        <f t="shared" si="11"/>
        <v>0</v>
      </c>
      <c r="Q18" s="51">
        <f t="shared" si="12"/>
        <v>0.5</v>
      </c>
      <c r="R18" s="61">
        <f t="shared" si="13"/>
        <v>0.4458340956509569</v>
      </c>
      <c r="S18" s="54">
        <f t="shared" si="14"/>
        <v>6</v>
      </c>
      <c r="T18" s="55">
        <f t="shared" si="15"/>
        <v>3.389174240082801</v>
      </c>
      <c r="U18" s="51">
        <f t="shared" si="16"/>
        <v>2.1632103827714144</v>
      </c>
      <c r="V18" s="51">
        <f t="shared" si="17"/>
        <v>2.7259638573113865</v>
      </c>
      <c r="W18" s="56">
        <f t="shared" si="18"/>
        <v>2.610825759917199</v>
      </c>
      <c r="X18" s="105">
        <f t="shared" si="19"/>
        <v>-14.109044478422371</v>
      </c>
      <c r="Y18" s="26">
        <f t="shared" si="28"/>
        <v>-0.07059929193775294</v>
      </c>
      <c r="Z18" s="24">
        <f t="shared" si="20"/>
        <v>1.0993211590790997</v>
      </c>
      <c r="AA18" s="24">
        <f t="shared" si="21"/>
        <v>1.0993211590790997</v>
      </c>
      <c r="AB18" s="184">
        <f t="shared" si="22"/>
        <v>0.6068143546069792</v>
      </c>
      <c r="AC18" s="155">
        <f t="shared" si="26"/>
        <v>0.55</v>
      </c>
      <c r="AD18" s="157">
        <f t="shared" si="29"/>
        <v>7.9</v>
      </c>
      <c r="AE18" s="156">
        <f t="shared" si="30"/>
        <v>0</v>
      </c>
    </row>
    <row r="19" spans="1:31" s="27" customFormat="1" ht="15" customHeight="1">
      <c r="A19" s="137">
        <f t="shared" si="27"/>
        <v>0.44000000000000006</v>
      </c>
      <c r="B19" s="51">
        <f t="shared" si="0"/>
        <v>-11.68210595488614</v>
      </c>
      <c r="C19" s="147">
        <f t="shared" si="1"/>
        <v>0.308</v>
      </c>
      <c r="D19" s="168">
        <f t="shared" si="2"/>
        <v>9091.947244355728</v>
      </c>
      <c r="E19" s="168">
        <f t="shared" si="3"/>
        <v>1136.3636363636363</v>
      </c>
      <c r="F19" s="117">
        <f t="shared" si="23"/>
        <v>580.5008749207847</v>
      </c>
      <c r="G19" s="117">
        <f t="shared" si="4"/>
        <v>677.8504745028924</v>
      </c>
      <c r="H19" s="52">
        <f t="shared" si="5"/>
        <v>1.7798210967161634</v>
      </c>
      <c r="I19" s="51">
        <f t="shared" si="6"/>
        <v>0.6786338800451681</v>
      </c>
      <c r="J19" s="51">
        <f t="shared" si="7"/>
        <v>-0.08966665326261497</v>
      </c>
      <c r="K19" s="51">
        <f t="shared" si="8"/>
        <v>0.004529937314016359</v>
      </c>
      <c r="L19" s="51">
        <f t="shared" si="9"/>
        <v>0.0022076720057004847</v>
      </c>
      <c r="M19" s="51">
        <f t="shared" si="24"/>
        <v>0.000495684539051785</v>
      </c>
      <c r="N19" s="51">
        <f t="shared" si="25"/>
        <v>0.053965998142417516</v>
      </c>
      <c r="O19" s="51">
        <f t="shared" si="10"/>
        <v>5.5582051131014554E-05</v>
      </c>
      <c r="P19" s="51">
        <f t="shared" si="11"/>
        <v>0</v>
      </c>
      <c r="Q19" s="51">
        <f t="shared" si="12"/>
        <v>0.5</v>
      </c>
      <c r="R19" s="61">
        <f t="shared" si="13"/>
        <v>0.4458340956509569</v>
      </c>
      <c r="S19" s="54">
        <f t="shared" si="14"/>
        <v>6</v>
      </c>
      <c r="T19" s="55">
        <f t="shared" si="15"/>
        <v>3.460518324611537</v>
      </c>
      <c r="U19" s="51">
        <f t="shared" si="16"/>
        <v>2.178633880045168</v>
      </c>
      <c r="V19" s="51">
        <f t="shared" si="17"/>
        <v>2.7818844445663693</v>
      </c>
      <c r="W19" s="56">
        <f t="shared" si="18"/>
        <v>2.539481675388463</v>
      </c>
      <c r="X19" s="105">
        <f t="shared" si="19"/>
        <v>-14.124467975696126</v>
      </c>
      <c r="Y19" s="26">
        <f t="shared" si="28"/>
        <v>-0.07208887209020287</v>
      </c>
      <c r="Z19" s="24">
        <f t="shared" si="20"/>
        <v>1.0993211590790997</v>
      </c>
      <c r="AA19" s="24">
        <f t="shared" si="21"/>
        <v>1.0993211590790997</v>
      </c>
      <c r="AB19" s="184">
        <f t="shared" si="22"/>
        <v>0.5990105628937283</v>
      </c>
      <c r="AC19" s="155">
        <f t="shared" si="26"/>
        <v>0.55</v>
      </c>
      <c r="AD19" s="157">
        <f t="shared" si="29"/>
        <v>7.9</v>
      </c>
      <c r="AE19" s="156">
        <f t="shared" si="30"/>
        <v>0</v>
      </c>
    </row>
    <row r="20" spans="1:31" s="21" customFormat="1" ht="15" customHeight="1">
      <c r="A20" s="136">
        <f t="shared" si="27"/>
        <v>0.45000000000000007</v>
      </c>
      <c r="B20" s="103">
        <f t="shared" si="0"/>
        <v>-11.68210595488614</v>
      </c>
      <c r="C20" s="146">
        <f t="shared" si="1"/>
        <v>0.308</v>
      </c>
      <c r="D20" s="167">
        <f t="shared" si="2"/>
        <v>8889.903972258933</v>
      </c>
      <c r="E20" s="167">
        <f t="shared" si="3"/>
        <v>1111.1111111111109</v>
      </c>
      <c r="F20" s="116">
        <f t="shared" si="23"/>
        <v>587.6322289645674</v>
      </c>
      <c r="G20" s="116">
        <f t="shared" si="4"/>
        <v>683.9675697851951</v>
      </c>
      <c r="H20" s="106">
        <f t="shared" si="5"/>
        <v>1.8375083776562762</v>
      </c>
      <c r="I20" s="103">
        <f t="shared" si="6"/>
        <v>0.6940573773189219</v>
      </c>
      <c r="J20" s="103">
        <f t="shared" si="7"/>
        <v>-0.09170453174585623</v>
      </c>
      <c r="K20" s="103">
        <f t="shared" si="8"/>
        <v>0.004737309034500051</v>
      </c>
      <c r="L20" s="103">
        <f t="shared" si="9"/>
        <v>0.002414539320599426</v>
      </c>
      <c r="M20" s="103">
        <f t="shared" si="24"/>
        <v>0.0004912513616771671</v>
      </c>
      <c r="N20" s="103">
        <f t="shared" si="25"/>
        <v>0.053477358316670894</v>
      </c>
      <c r="O20" s="103">
        <f t="shared" si="10"/>
        <v>6.0235999781561855E-05</v>
      </c>
      <c r="P20" s="103">
        <f t="shared" si="11"/>
        <v>0</v>
      </c>
      <c r="Q20" s="103">
        <f t="shared" si="12"/>
        <v>0.5</v>
      </c>
      <c r="R20" s="107">
        <f t="shared" si="13"/>
        <v>0.4458340956509569</v>
      </c>
      <c r="S20" s="108">
        <f t="shared" si="14"/>
        <v>6</v>
      </c>
      <c r="T20" s="104">
        <f t="shared" si="15"/>
        <v>3.5333519842632066</v>
      </c>
      <c r="U20" s="103">
        <f t="shared" si="16"/>
        <v>2.194057377318922</v>
      </c>
      <c r="V20" s="103">
        <f t="shared" si="17"/>
        <v>2.839294606944285</v>
      </c>
      <c r="W20" s="109">
        <f t="shared" si="18"/>
        <v>2.4666480157367934</v>
      </c>
      <c r="X20" s="110">
        <f t="shared" si="19"/>
        <v>-14.139891472969879</v>
      </c>
      <c r="Y20" s="28">
        <f t="shared" si="28"/>
        <v>-0.07357827955803642</v>
      </c>
      <c r="Z20" s="19">
        <f t="shared" si="20"/>
        <v>1.0993211590790997</v>
      </c>
      <c r="AA20" s="19">
        <f t="shared" si="21"/>
        <v>1.0993211590790997</v>
      </c>
      <c r="AB20" s="183">
        <f t="shared" si="22"/>
        <v>0.5911065240232976</v>
      </c>
      <c r="AC20" s="155">
        <f t="shared" si="26"/>
        <v>0.55</v>
      </c>
      <c r="AD20" s="157">
        <f t="shared" si="29"/>
        <v>7.9</v>
      </c>
      <c r="AE20" s="156">
        <f t="shared" si="30"/>
        <v>0</v>
      </c>
    </row>
    <row r="21" spans="1:31" s="27" customFormat="1" ht="15" customHeight="1">
      <c r="A21" s="137">
        <f t="shared" si="27"/>
        <v>0.4600000000000001</v>
      </c>
      <c r="B21" s="51">
        <f t="shared" si="0"/>
        <v>-11.68210595488614</v>
      </c>
      <c r="C21" s="147">
        <f t="shared" si="1"/>
        <v>0.308</v>
      </c>
      <c r="D21" s="168">
        <f t="shared" si="2"/>
        <v>8696.645190253304</v>
      </c>
      <c r="E21" s="168">
        <f t="shared" si="3"/>
        <v>1086.9565217391303</v>
      </c>
      <c r="F21" s="117">
        <f t="shared" si="23"/>
        <v>594.835444971358</v>
      </c>
      <c r="G21" s="117">
        <f t="shared" si="4"/>
        <v>690.1660717495996</v>
      </c>
      <c r="H21" s="52">
        <f t="shared" si="5"/>
        <v>1.8966680397368356</v>
      </c>
      <c r="I21" s="51">
        <f t="shared" si="6"/>
        <v>0.7094808745926758</v>
      </c>
      <c r="J21" s="51">
        <f t="shared" si="7"/>
        <v>-0.09374241022909748</v>
      </c>
      <c r="K21" s="51">
        <f t="shared" si="8"/>
        <v>0.004949261558377857</v>
      </c>
      <c r="L21" s="51">
        <f t="shared" si="9"/>
        <v>0.0026355651699727185</v>
      </c>
      <c r="M21" s="51">
        <f t="shared" si="24"/>
        <v>0.00048683934744608073</v>
      </c>
      <c r="N21" s="51">
        <f t="shared" si="25"/>
        <v>0.05299116031081721</v>
      </c>
      <c r="O21" s="51">
        <f t="shared" si="10"/>
        <v>6.514826635200394E-05</v>
      </c>
      <c r="P21" s="51">
        <f t="shared" si="11"/>
        <v>0</v>
      </c>
      <c r="Q21" s="51">
        <f t="shared" si="12"/>
        <v>0.5</v>
      </c>
      <c r="R21" s="61">
        <f t="shared" si="13"/>
        <v>0.4458340956509569</v>
      </c>
      <c r="S21" s="54">
        <f t="shared" si="14"/>
        <v>6</v>
      </c>
      <c r="T21" s="55">
        <f t="shared" si="15"/>
        <v>3.60767488372761</v>
      </c>
      <c r="U21" s="51">
        <f t="shared" si="16"/>
        <v>2.2094808745926757</v>
      </c>
      <c r="V21" s="51">
        <f t="shared" si="17"/>
        <v>2.8981940091349343</v>
      </c>
      <c r="W21" s="56">
        <f t="shared" si="18"/>
        <v>2.39232511627239</v>
      </c>
      <c r="X21" s="105">
        <f t="shared" si="19"/>
        <v>-14.155314970243632</v>
      </c>
      <c r="Y21" s="26">
        <f t="shared" si="28"/>
        <v>-0.07506723228131129</v>
      </c>
      <c r="Z21" s="24">
        <f t="shared" si="20"/>
        <v>1.0993211590790997</v>
      </c>
      <c r="AA21" s="24">
        <f t="shared" si="21"/>
        <v>1.0993211590790997</v>
      </c>
      <c r="AB21" s="184">
        <f t="shared" si="22"/>
        <v>0.5831090562133134</v>
      </c>
      <c r="AC21" s="155">
        <f t="shared" si="26"/>
        <v>0.55</v>
      </c>
      <c r="AD21" s="157">
        <f t="shared" si="29"/>
        <v>7.9</v>
      </c>
      <c r="AE21" s="156">
        <f t="shared" si="30"/>
        <v>0</v>
      </c>
    </row>
    <row r="22" spans="1:31" s="27" customFormat="1" ht="15" customHeight="1">
      <c r="A22" s="137">
        <f t="shared" si="27"/>
        <v>0.4700000000000001</v>
      </c>
      <c r="B22" s="51">
        <f t="shared" si="0"/>
        <v>-11.68210595488614</v>
      </c>
      <c r="C22" s="147">
        <f t="shared" si="1"/>
        <v>0.308</v>
      </c>
      <c r="D22" s="168">
        <f t="shared" si="2"/>
        <v>8511.610186205362</v>
      </c>
      <c r="E22" s="168">
        <f t="shared" si="3"/>
        <v>1063.8297872340424</v>
      </c>
      <c r="F22" s="117">
        <f t="shared" si="23"/>
        <v>602.1079438215542</v>
      </c>
      <c r="G22" s="117">
        <f t="shared" si="4"/>
        <v>696.443806787755</v>
      </c>
      <c r="H22" s="52">
        <f t="shared" si="5"/>
        <v>1.957298603773088</v>
      </c>
      <c r="I22" s="51">
        <f t="shared" si="6"/>
        <v>0.7249043718664296</v>
      </c>
      <c r="J22" s="51">
        <f t="shared" si="7"/>
        <v>-0.09578028871233872</v>
      </c>
      <c r="K22" s="51">
        <f t="shared" si="8"/>
        <v>0.005165789634575219</v>
      </c>
      <c r="L22" s="51">
        <f t="shared" si="9"/>
        <v>0.002871375276203703</v>
      </c>
      <c r="M22" s="51">
        <f t="shared" si="24"/>
        <v>0.0004824509841644666</v>
      </c>
      <c r="N22" s="51">
        <f t="shared" si="25"/>
        <v>0.05250767657070317</v>
      </c>
      <c r="O22" s="51">
        <f t="shared" si="10"/>
        <v>7.032568844752424E-05</v>
      </c>
      <c r="P22" s="51">
        <f t="shared" si="11"/>
        <v>0</v>
      </c>
      <c r="Q22" s="51">
        <f t="shared" si="12"/>
        <v>0.5</v>
      </c>
      <c r="R22" s="61">
        <f t="shared" si="13"/>
        <v>0.4458340956509569</v>
      </c>
      <c r="S22" s="54">
        <f t="shared" si="14"/>
        <v>6</v>
      </c>
      <c r="T22" s="55">
        <f t="shared" si="15"/>
        <v>3.683486448825829</v>
      </c>
      <c r="U22" s="51">
        <f t="shared" si="16"/>
        <v>2.2249043718664296</v>
      </c>
      <c r="V22" s="51">
        <f t="shared" si="17"/>
        <v>2.9585820769593996</v>
      </c>
      <c r="W22" s="56">
        <f t="shared" si="18"/>
        <v>2.316513551174171</v>
      </c>
      <c r="X22" s="105">
        <f t="shared" si="19"/>
        <v>-14.170738467517387</v>
      </c>
      <c r="Y22" s="26">
        <f t="shared" si="28"/>
        <v>-0.07655553553459793</v>
      </c>
      <c r="Z22" s="24">
        <f t="shared" si="20"/>
        <v>1.0993211590790997</v>
      </c>
      <c r="AA22" s="24">
        <f t="shared" si="21"/>
        <v>1.0993211590790997</v>
      </c>
      <c r="AB22" s="184">
        <f t="shared" si="22"/>
        <v>0.5750250045145412</v>
      </c>
      <c r="AC22" s="155">
        <f t="shared" si="26"/>
        <v>0.55</v>
      </c>
      <c r="AD22" s="157">
        <f t="shared" si="29"/>
        <v>7.9</v>
      </c>
      <c r="AE22" s="156">
        <f t="shared" si="30"/>
        <v>0</v>
      </c>
    </row>
    <row r="23" spans="1:31" s="27" customFormat="1" ht="15" customHeight="1">
      <c r="A23" s="137">
        <f t="shared" si="27"/>
        <v>0.4800000000000001</v>
      </c>
      <c r="B23" s="51">
        <f t="shared" si="0"/>
        <v>-11.68210595488614</v>
      </c>
      <c r="C23" s="147">
        <f t="shared" si="1"/>
        <v>0.308</v>
      </c>
      <c r="D23" s="168">
        <f t="shared" si="2"/>
        <v>8334.28497399275</v>
      </c>
      <c r="E23" s="168">
        <f t="shared" si="3"/>
        <v>1041.6666666666665</v>
      </c>
      <c r="F23" s="117">
        <f t="shared" si="23"/>
        <v>609.4472452756719</v>
      </c>
      <c r="G23" s="117">
        <f t="shared" si="4"/>
        <v>702.7986516592821</v>
      </c>
      <c r="H23" s="52">
        <f t="shared" si="5"/>
        <v>2.0193984485418364</v>
      </c>
      <c r="I23" s="51">
        <f t="shared" si="6"/>
        <v>0.7403278691401834</v>
      </c>
      <c r="J23" s="51">
        <f t="shared" si="7"/>
        <v>-0.09781816719557998</v>
      </c>
      <c r="K23" s="51">
        <f t="shared" si="8"/>
        <v>0.005386887900033686</v>
      </c>
      <c r="L23" s="51">
        <f t="shared" si="9"/>
        <v>0.003122608353887443</v>
      </c>
      <c r="M23" s="51">
        <f t="shared" si="24"/>
        <v>0.00047808856662817466</v>
      </c>
      <c r="N23" s="51">
        <f t="shared" si="25"/>
        <v>0.05202715805072839</v>
      </c>
      <c r="O23" s="51">
        <f t="shared" si="10"/>
        <v>7.577505921309985E-05</v>
      </c>
      <c r="P23" s="51">
        <f t="shared" si="11"/>
        <v>0</v>
      </c>
      <c r="Q23" s="51">
        <f t="shared" si="12"/>
        <v>0.5</v>
      </c>
      <c r="R23" s="61">
        <f t="shared" si="13"/>
        <v>0.4458340956509569</v>
      </c>
      <c r="S23" s="54">
        <f t="shared" si="14"/>
        <v>6</v>
      </c>
      <c r="T23" s="55">
        <f t="shared" si="15"/>
        <v>3.760785954796806</v>
      </c>
      <c r="U23" s="51">
        <f t="shared" si="16"/>
        <v>2.2403278691401836</v>
      </c>
      <c r="V23" s="51">
        <f t="shared" si="17"/>
        <v>3.0204580856566223</v>
      </c>
      <c r="W23" s="56">
        <f t="shared" si="18"/>
        <v>2.239214045203194</v>
      </c>
      <c r="X23" s="105">
        <f t="shared" si="19"/>
        <v>-14.186161964791141</v>
      </c>
      <c r="Y23" s="26">
        <f t="shared" si="28"/>
        <v>-0.07804308360690815</v>
      </c>
      <c r="Z23" s="24">
        <f t="shared" si="20"/>
        <v>1.0993211590790997</v>
      </c>
      <c r="AA23" s="24">
        <f t="shared" si="21"/>
        <v>1.0993211590790997</v>
      </c>
      <c r="AB23" s="184">
        <f t="shared" si="22"/>
        <v>0.5668612179683804</v>
      </c>
      <c r="AC23" s="155">
        <f t="shared" si="26"/>
        <v>0.55</v>
      </c>
      <c r="AD23" s="157">
        <f t="shared" si="29"/>
        <v>7.9</v>
      </c>
      <c r="AE23" s="156">
        <f t="shared" si="30"/>
        <v>0</v>
      </c>
    </row>
    <row r="24" spans="1:31" s="27" customFormat="1" ht="15" customHeight="1">
      <c r="A24" s="137">
        <f t="shared" si="27"/>
        <v>0.4900000000000001</v>
      </c>
      <c r="B24" s="51">
        <f t="shared" si="0"/>
        <v>-11.68210595488614</v>
      </c>
      <c r="C24" s="147">
        <f t="shared" si="1"/>
        <v>0.308</v>
      </c>
      <c r="D24" s="168">
        <f t="shared" si="2"/>
        <v>8164.197525543918</v>
      </c>
      <c r="E24" s="168">
        <f t="shared" si="3"/>
        <v>1020.4081632653059</v>
      </c>
      <c r="F24" s="117">
        <f t="shared" si="23"/>
        <v>616.850964883357</v>
      </c>
      <c r="G24" s="117">
        <f t="shared" si="4"/>
        <v>709.2285336036111</v>
      </c>
      <c r="H24" s="52">
        <f t="shared" si="5"/>
        <v>2.0829658996160068</v>
      </c>
      <c r="I24" s="51">
        <f t="shared" si="6"/>
        <v>0.7557513664139373</v>
      </c>
      <c r="J24" s="51">
        <f t="shared" si="7"/>
        <v>-0.09985604567882123</v>
      </c>
      <c r="K24" s="51">
        <f t="shared" si="8"/>
        <v>0.0056125508799320465</v>
      </c>
      <c r="L24" s="51">
        <f t="shared" si="9"/>
        <v>0.0033899160824273646</v>
      </c>
      <c r="M24" s="51">
        <f t="shared" si="24"/>
        <v>0.00047375420485802237</v>
      </c>
      <c r="N24" s="51">
        <f t="shared" si="25"/>
        <v>0.051549835147706474</v>
      </c>
      <c r="O24" s="51">
        <f t="shared" si="10"/>
        <v>8.15031286104731E-05</v>
      </c>
      <c r="P24" s="51">
        <f t="shared" si="11"/>
        <v>0</v>
      </c>
      <c r="Q24" s="51">
        <f t="shared" si="12"/>
        <v>0.5</v>
      </c>
      <c r="R24" s="61">
        <f t="shared" si="13"/>
        <v>0.4458340956509569</v>
      </c>
      <c r="S24" s="54">
        <f t="shared" si="14"/>
        <v>6</v>
      </c>
      <c r="T24" s="55">
        <f t="shared" si="15"/>
        <v>3.8395726160396455</v>
      </c>
      <c r="U24" s="51">
        <f t="shared" si="16"/>
        <v>2.2557513664139375</v>
      </c>
      <c r="V24" s="51">
        <f t="shared" si="17"/>
        <v>3.083821249625708</v>
      </c>
      <c r="W24" s="56">
        <f t="shared" si="18"/>
        <v>2.1604273839603545</v>
      </c>
      <c r="X24" s="105">
        <f t="shared" si="19"/>
        <v>-14.201585462064894</v>
      </c>
      <c r="Y24" s="26">
        <f t="shared" si="28"/>
        <v>-0.079529861063238</v>
      </c>
      <c r="Z24" s="24">
        <f t="shared" si="20"/>
        <v>1.0993211590790997</v>
      </c>
      <c r="AA24" s="24">
        <f t="shared" si="21"/>
        <v>1.0993211590790997</v>
      </c>
      <c r="AB24" s="184">
        <f t="shared" si="22"/>
        <v>0.5586245276838845</v>
      </c>
      <c r="AC24" s="155">
        <f t="shared" si="26"/>
        <v>0.55</v>
      </c>
      <c r="AD24" s="157">
        <f t="shared" si="29"/>
        <v>7.9</v>
      </c>
      <c r="AE24" s="156">
        <f t="shared" si="30"/>
        <v>0</v>
      </c>
    </row>
    <row r="25" spans="1:31" s="21" customFormat="1" ht="15" customHeight="1">
      <c r="A25" s="136">
        <f t="shared" si="27"/>
        <v>0.5000000000000001</v>
      </c>
      <c r="B25" s="103">
        <f t="shared" si="0"/>
        <v>-11.68210595488614</v>
      </c>
      <c r="C25" s="146">
        <f t="shared" si="1"/>
        <v>0.308</v>
      </c>
      <c r="D25" s="167">
        <f t="shared" si="2"/>
        <v>8000.913575033041</v>
      </c>
      <c r="E25" s="167">
        <f t="shared" si="3"/>
        <v>999.9999999999998</v>
      </c>
      <c r="F25" s="116">
        <f t="shared" si="23"/>
        <v>624.3168108607127</v>
      </c>
      <c r="G25" s="116">
        <f t="shared" si="4"/>
        <v>715.7314303027994</v>
      </c>
      <c r="H25" s="106">
        <f t="shared" si="5"/>
        <v>2.1479993192586697</v>
      </c>
      <c r="I25" s="103">
        <f t="shared" si="6"/>
        <v>0.7711748636876912</v>
      </c>
      <c r="J25" s="103">
        <f t="shared" si="7"/>
        <v>-0.10189392416206249</v>
      </c>
      <c r="K25" s="103">
        <f t="shared" si="8"/>
        <v>0.005842772987912608</v>
      </c>
      <c r="L25" s="103">
        <f t="shared" si="9"/>
        <v>0.003673963080353986</v>
      </c>
      <c r="M25" s="103">
        <f t="shared" si="24"/>
        <v>0.00046944983240131133</v>
      </c>
      <c r="N25" s="103">
        <f t="shared" si="25"/>
        <v>0.05107591864066028</v>
      </c>
      <c r="O25" s="103">
        <f t="shared" si="10"/>
        <v>8.751660494914909E-05</v>
      </c>
      <c r="P25" s="103">
        <f t="shared" si="11"/>
        <v>0</v>
      </c>
      <c r="Q25" s="103">
        <f t="shared" si="12"/>
        <v>0.5</v>
      </c>
      <c r="R25" s="107">
        <f t="shared" si="13"/>
        <v>0.4458340956509569</v>
      </c>
      <c r="S25" s="108">
        <f t="shared" si="14"/>
        <v>6</v>
      </c>
      <c r="T25" s="104">
        <f t="shared" si="15"/>
        <v>3.919845676923282</v>
      </c>
      <c r="U25" s="103">
        <f t="shared" si="16"/>
        <v>2.2711748636876914</v>
      </c>
      <c r="V25" s="103">
        <f t="shared" si="17"/>
        <v>3.148670813235591</v>
      </c>
      <c r="W25" s="109">
        <f t="shared" si="18"/>
        <v>2.080154323076718</v>
      </c>
      <c r="X25" s="110">
        <f t="shared" si="19"/>
        <v>-14.217008959338648</v>
      </c>
      <c r="Y25" s="28">
        <f t="shared" si="28"/>
        <v>-0.08101594364848808</v>
      </c>
      <c r="Z25" s="19">
        <f t="shared" si="20"/>
        <v>1.0993211590790997</v>
      </c>
      <c r="AA25" s="19">
        <f t="shared" si="21"/>
        <v>1.0993211590790997</v>
      </c>
      <c r="AB25" s="183">
        <f t="shared" si="22"/>
        <v>0.550321725958282</v>
      </c>
      <c r="AC25" s="155">
        <f t="shared" si="26"/>
        <v>0.55</v>
      </c>
      <c r="AD25" s="157">
        <f t="shared" si="29"/>
        <v>7.9</v>
      </c>
      <c r="AE25" s="156">
        <f t="shared" si="30"/>
        <v>0</v>
      </c>
    </row>
    <row r="26" spans="1:31" s="27" customFormat="1" ht="15" customHeight="1">
      <c r="A26" s="137">
        <f t="shared" si="27"/>
        <v>0.5100000000000001</v>
      </c>
      <c r="B26" s="51">
        <f t="shared" si="0"/>
        <v>-11.68210595488614</v>
      </c>
      <c r="C26" s="147">
        <f t="shared" si="1"/>
        <v>0.308</v>
      </c>
      <c r="D26" s="168">
        <f t="shared" si="2"/>
        <v>7844.032916699059</v>
      </c>
      <c r="E26" s="168">
        <f t="shared" si="3"/>
        <v>980.3921568627449</v>
      </c>
      <c r="F26" s="117">
        <f t="shared" si="23"/>
        <v>631.8425809577825</v>
      </c>
      <c r="G26" s="117">
        <f t="shared" si="4"/>
        <v>722.3053697096485</v>
      </c>
      <c r="H26" s="52">
        <f t="shared" si="5"/>
        <v>2.2144971970563248</v>
      </c>
      <c r="I26" s="51">
        <f t="shared" si="6"/>
        <v>0.786598360961445</v>
      </c>
      <c r="J26" s="51">
        <f t="shared" si="7"/>
        <v>-0.10393180264530373</v>
      </c>
      <c r="K26" s="51">
        <f t="shared" si="8"/>
        <v>0.006077548526311374</v>
      </c>
      <c r="L26" s="51">
        <f t="shared" si="9"/>
        <v>0.003975426881488182</v>
      </c>
      <c r="M26" s="51">
        <f t="shared" si="24"/>
        <v>0.0004651772146385467</v>
      </c>
      <c r="N26" s="51">
        <f t="shared" si="25"/>
        <v>0.0506056006297575</v>
      </c>
      <c r="O26" s="51">
        <f t="shared" si="10"/>
        <v>9.382215665013072E-05</v>
      </c>
      <c r="P26" s="51">
        <f t="shared" si="11"/>
        <v>0</v>
      </c>
      <c r="Q26" s="51">
        <f t="shared" si="12"/>
        <v>0.5</v>
      </c>
      <c r="R26" s="61">
        <f t="shared" si="13"/>
        <v>0.4458340956509569</v>
      </c>
      <c r="S26" s="54">
        <f t="shared" si="14"/>
        <v>6</v>
      </c>
      <c r="T26" s="55">
        <f t="shared" si="15"/>
        <v>4.001604503336622</v>
      </c>
      <c r="U26" s="51">
        <f t="shared" si="16"/>
        <v>2.286598360961445</v>
      </c>
      <c r="V26" s="51">
        <f t="shared" si="17"/>
        <v>3.215006142375177</v>
      </c>
      <c r="W26" s="56">
        <f t="shared" si="18"/>
        <v>1.9983954966633783</v>
      </c>
      <c r="X26" s="105">
        <f t="shared" si="19"/>
        <v>-14.232432456612402</v>
      </c>
      <c r="Y26" s="26">
        <f t="shared" si="28"/>
        <v>-0.08250149889562386</v>
      </c>
      <c r="Z26" s="24">
        <f t="shared" si="20"/>
        <v>1.0993211590790997</v>
      </c>
      <c r="AA26" s="24">
        <f t="shared" si="21"/>
        <v>1.0993211590790997</v>
      </c>
      <c r="AB26" s="184">
        <f t="shared" si="22"/>
        <v>0.5419595465436505</v>
      </c>
      <c r="AC26" s="155">
        <f t="shared" si="26"/>
        <v>0.55</v>
      </c>
      <c r="AD26" s="157">
        <f t="shared" si="29"/>
        <v>7.9</v>
      </c>
      <c r="AE26" s="156">
        <f t="shared" si="30"/>
        <v>0</v>
      </c>
    </row>
    <row r="27" spans="1:31" s="27" customFormat="1" ht="15" customHeight="1">
      <c r="A27" s="137">
        <f t="shared" si="27"/>
        <v>0.5200000000000001</v>
      </c>
      <c r="B27" s="51">
        <f t="shared" si="0"/>
        <v>-11.68210595488614</v>
      </c>
      <c r="C27" s="147">
        <f t="shared" si="1"/>
        <v>0.308</v>
      </c>
      <c r="D27" s="168">
        <f t="shared" si="2"/>
        <v>7693.186129839461</v>
      </c>
      <c r="E27" s="168">
        <f t="shared" si="3"/>
        <v>961.5384615384613</v>
      </c>
      <c r="F27" s="117">
        <f t="shared" si="23"/>
        <v>639.4261593349396</v>
      </c>
      <c r="G27" s="117">
        <f t="shared" si="4"/>
        <v>728.9484297546923</v>
      </c>
      <c r="H27" s="52">
        <f t="shared" si="5"/>
        <v>2.282458241032606</v>
      </c>
      <c r="I27" s="51">
        <f t="shared" si="6"/>
        <v>0.8020218582351988</v>
      </c>
      <c r="J27" s="51">
        <f t="shared" si="7"/>
        <v>-0.10596968112854498</v>
      </c>
      <c r="K27" s="51">
        <f t="shared" si="8"/>
        <v>0.006316871686393372</v>
      </c>
      <c r="L27" s="51">
        <f t="shared" si="9"/>
        <v>0.004294997913109326</v>
      </c>
      <c r="M27" s="51">
        <f t="shared" si="24"/>
        <v>0.00046093795704186044</v>
      </c>
      <c r="N27" s="51">
        <f t="shared" si="25"/>
        <v>0.050139055468472964</v>
      </c>
      <c r="O27" s="51">
        <f t="shared" si="10"/>
        <v>0.00010042641418610276</v>
      </c>
      <c r="P27" s="51">
        <f t="shared" si="11"/>
        <v>0</v>
      </c>
      <c r="Q27" s="51">
        <f t="shared" si="12"/>
        <v>0.5</v>
      </c>
      <c r="R27" s="61">
        <f t="shared" si="13"/>
        <v>0.4458340956509569</v>
      </c>
      <c r="S27" s="54">
        <f t="shared" si="14"/>
        <v>6</v>
      </c>
      <c r="T27" s="55">
        <f t="shared" si="15"/>
        <v>4.08484867471453</v>
      </c>
      <c r="U27" s="51">
        <f t="shared" si="16"/>
        <v>2.302021858235199</v>
      </c>
      <c r="V27" s="51">
        <f t="shared" si="17"/>
        <v>3.282826816479331</v>
      </c>
      <c r="W27" s="56">
        <f t="shared" si="18"/>
        <v>1.9151513252854704</v>
      </c>
      <c r="X27" s="105">
        <f t="shared" si="19"/>
        <v>-14.247855953886155</v>
      </c>
      <c r="Y27" s="26">
        <f t="shared" si="28"/>
        <v>-0.08398678650030078</v>
      </c>
      <c r="Z27" s="24">
        <f t="shared" si="20"/>
        <v>1.0993211590790997</v>
      </c>
      <c r="AA27" s="24">
        <f t="shared" si="21"/>
        <v>1.0993211590790997</v>
      </c>
      <c r="AB27" s="184">
        <f t="shared" si="22"/>
        <v>0.5335446461416978</v>
      </c>
      <c r="AC27" s="155">
        <f t="shared" si="26"/>
        <v>0.55</v>
      </c>
      <c r="AD27" s="157">
        <f t="shared" si="29"/>
        <v>7.9</v>
      </c>
      <c r="AE27" s="156">
        <f t="shared" si="30"/>
        <v>0</v>
      </c>
    </row>
    <row r="28" spans="1:31" s="27" customFormat="1" ht="15" customHeight="1">
      <c r="A28" s="137">
        <f t="shared" si="27"/>
        <v>0.5300000000000001</v>
      </c>
      <c r="B28" s="51">
        <f t="shared" si="0"/>
        <v>-11.68210595488614</v>
      </c>
      <c r="C28" s="147">
        <f t="shared" si="1"/>
        <v>0.308</v>
      </c>
      <c r="D28" s="168">
        <f t="shared" si="2"/>
        <v>7548.031674559472</v>
      </c>
      <c r="E28" s="168">
        <f t="shared" si="3"/>
        <v>943.3962264150941</v>
      </c>
      <c r="F28" s="117">
        <f t="shared" si="23"/>
        <v>647.0655134641389</v>
      </c>
      <c r="G28" s="117">
        <f t="shared" si="4"/>
        <v>735.6587379448503</v>
      </c>
      <c r="H28" s="52">
        <f t="shared" si="5"/>
        <v>2.3518814690449847</v>
      </c>
      <c r="I28" s="51">
        <f t="shared" si="6"/>
        <v>0.8174453555089526</v>
      </c>
      <c r="J28" s="51">
        <f t="shared" si="7"/>
        <v>-0.10800755961178624</v>
      </c>
      <c r="K28" s="51">
        <f t="shared" si="8"/>
        <v>0.0065607365485917425</v>
      </c>
      <c r="L28" s="51">
        <f t="shared" si="9"/>
        <v>0.004633379476261047</v>
      </c>
      <c r="M28" s="51">
        <f t="shared" si="24"/>
        <v>0.00045673351333888287</v>
      </c>
      <c r="N28" s="51">
        <f t="shared" si="25"/>
        <v>0.04967644068386029</v>
      </c>
      <c r="O28" s="51">
        <f t="shared" si="10"/>
        <v>0.0001073359722074882</v>
      </c>
      <c r="P28" s="51">
        <f t="shared" si="11"/>
        <v>0</v>
      </c>
      <c r="Q28" s="51">
        <f t="shared" si="12"/>
        <v>0.5</v>
      </c>
      <c r="R28" s="61">
        <f t="shared" si="13"/>
        <v>0.4458340956509569</v>
      </c>
      <c r="S28" s="54">
        <f t="shared" si="14"/>
        <v>6</v>
      </c>
      <c r="T28" s="55">
        <f t="shared" si="15"/>
        <v>4.169578076337223</v>
      </c>
      <c r="U28" s="51">
        <f t="shared" si="16"/>
        <v>2.3174453555089527</v>
      </c>
      <c r="V28" s="51">
        <f t="shared" si="17"/>
        <v>3.3521327208282705</v>
      </c>
      <c r="W28" s="56">
        <f t="shared" si="18"/>
        <v>1.8304219236627768</v>
      </c>
      <c r="X28" s="105">
        <f t="shared" si="19"/>
        <v>-14.26327945115991</v>
      </c>
      <c r="Y28" s="26">
        <f t="shared" si="28"/>
        <v>-0.08547215852387957</v>
      </c>
      <c r="Z28" s="24">
        <f t="shared" si="20"/>
        <v>1.0993211590790997</v>
      </c>
      <c r="AA28" s="24">
        <f t="shared" si="21"/>
        <v>1.0993211590790997</v>
      </c>
      <c r="AB28" s="184">
        <f t="shared" si="22"/>
        <v>0.5250835871888453</v>
      </c>
      <c r="AC28" s="155">
        <f t="shared" si="26"/>
        <v>0.55</v>
      </c>
      <c r="AD28" s="157">
        <f t="shared" si="29"/>
        <v>7.9</v>
      </c>
      <c r="AE28" s="156">
        <f t="shared" si="30"/>
        <v>0</v>
      </c>
    </row>
    <row r="29" spans="1:31" s="27" customFormat="1" ht="15" customHeight="1">
      <c r="A29" s="137">
        <f t="shared" si="27"/>
        <v>0.5400000000000001</v>
      </c>
      <c r="B29" s="51">
        <f t="shared" si="0"/>
        <v>-11.68210595488614</v>
      </c>
      <c r="C29" s="147">
        <f t="shared" si="1"/>
        <v>0.308</v>
      </c>
      <c r="D29" s="168">
        <f t="shared" si="2"/>
        <v>7408.253310215778</v>
      </c>
      <c r="E29" s="168">
        <f t="shared" si="3"/>
        <v>925.9259259259256</v>
      </c>
      <c r="F29" s="117">
        <f t="shared" si="23"/>
        <v>654.7586910684934</v>
      </c>
      <c r="G29" s="117">
        <f t="shared" si="4"/>
        <v>742.4344708657638</v>
      </c>
      <c r="H29" s="52">
        <f t="shared" si="5"/>
        <v>2.4227663003278805</v>
      </c>
      <c r="I29" s="51">
        <f t="shared" si="6"/>
        <v>0.8328688527827065</v>
      </c>
      <c r="J29" s="51">
        <f t="shared" si="7"/>
        <v>-0.11004543809502748</v>
      </c>
      <c r="K29" s="51">
        <f t="shared" si="8"/>
        <v>0.006809137082752238</v>
      </c>
      <c r="L29" s="51">
        <f t="shared" si="9"/>
        <v>0.004991287728337186</v>
      </c>
      <c r="M29" s="51">
        <f t="shared" si="24"/>
        <v>0.00045256519354251615</v>
      </c>
      <c r="N29" s="51">
        <f t="shared" si="25"/>
        <v>0.04921789788058471</v>
      </c>
      <c r="O29" s="51">
        <f t="shared" si="10"/>
        <v>0.00011455739182270747</v>
      </c>
      <c r="P29" s="51">
        <f t="shared" si="11"/>
        <v>0</v>
      </c>
      <c r="Q29" s="51">
        <f t="shared" si="12"/>
        <v>0.5</v>
      </c>
      <c r="R29" s="61">
        <f t="shared" si="13"/>
        <v>0.4458340956509569</v>
      </c>
      <c r="S29" s="54">
        <f t="shared" si="14"/>
        <v>6</v>
      </c>
      <c r="T29" s="55">
        <f t="shared" si="15"/>
        <v>4.255792991762289</v>
      </c>
      <c r="U29" s="51">
        <f t="shared" si="16"/>
        <v>2.3328688527827066</v>
      </c>
      <c r="V29" s="51">
        <f t="shared" si="17"/>
        <v>3.422924138979582</v>
      </c>
      <c r="W29" s="56">
        <f t="shared" si="18"/>
        <v>1.7442070082377112</v>
      </c>
      <c r="X29" s="105">
        <f t="shared" si="19"/>
        <v>-14.278702948433663</v>
      </c>
      <c r="Y29" s="26">
        <f t="shared" si="28"/>
        <v>-0.08695805948607349</v>
      </c>
      <c r="Z29" s="24">
        <f t="shared" si="20"/>
        <v>1.0993211590790997</v>
      </c>
      <c r="AA29" s="24">
        <f t="shared" si="21"/>
        <v>1.0993211590790997</v>
      </c>
      <c r="AB29" s="184">
        <f t="shared" si="22"/>
        <v>0.516582821975209</v>
      </c>
      <c r="AC29" s="155">
        <f t="shared" si="26"/>
        <v>0.55</v>
      </c>
      <c r="AD29" s="157">
        <f t="shared" si="29"/>
        <v>7.9</v>
      </c>
      <c r="AE29" s="156">
        <f t="shared" si="30"/>
        <v>0</v>
      </c>
    </row>
    <row r="30" spans="1:31" s="21" customFormat="1" ht="15" customHeight="1">
      <c r="A30" s="136">
        <f t="shared" si="27"/>
        <v>0.5500000000000002</v>
      </c>
      <c r="B30" s="103">
        <f t="shared" si="0"/>
        <v>-11.68210595488614</v>
      </c>
      <c r="C30" s="146">
        <f t="shared" si="1"/>
        <v>0.308</v>
      </c>
      <c r="D30" s="167">
        <f t="shared" si="2"/>
        <v>7273.557795484581</v>
      </c>
      <c r="E30" s="167">
        <f t="shared" si="3"/>
        <v>909.0909090909088</v>
      </c>
      <c r="F30" s="116">
        <f t="shared" si="23"/>
        <v>662.5038171114052</v>
      </c>
      <c r="G30" s="116">
        <f t="shared" si="4"/>
        <v>749.2738535990577</v>
      </c>
      <c r="H30" s="106">
        <f t="shared" si="5"/>
        <v>2.4951126471057656</v>
      </c>
      <c r="I30" s="103">
        <f t="shared" si="6"/>
        <v>0.8482923500564603</v>
      </c>
      <c r="J30" s="103">
        <f t="shared" si="7"/>
        <v>-0.11208331657826874</v>
      </c>
      <c r="K30" s="103">
        <f t="shared" si="8"/>
        <v>0.007062067148381421</v>
      </c>
      <c r="L30" s="103">
        <f t="shared" si="9"/>
        <v>0.005369451668099445</v>
      </c>
      <c r="M30" s="103">
        <f t="shared" si="24"/>
        <v>0.00044843417181322895</v>
      </c>
      <c r="N30" s="103">
        <f t="shared" si="25"/>
        <v>0.04876355362507371</v>
      </c>
      <c r="O30" s="103">
        <f t="shared" si="10"/>
        <v>0.00012209720301428056</v>
      </c>
      <c r="P30" s="103">
        <f t="shared" si="11"/>
        <v>0</v>
      </c>
      <c r="Q30" s="103">
        <f t="shared" si="12"/>
        <v>0.5</v>
      </c>
      <c r="R30" s="107">
        <f t="shared" si="13"/>
        <v>0.4458340956509569</v>
      </c>
      <c r="S30" s="108">
        <f t="shared" si="14"/>
        <v>6</v>
      </c>
      <c r="T30" s="104">
        <f t="shared" si="15"/>
        <v>4.34349419530937</v>
      </c>
      <c r="U30" s="103">
        <f t="shared" si="16"/>
        <v>2.34829235005646</v>
      </c>
      <c r="V30" s="103">
        <f t="shared" si="17"/>
        <v>3.49520184525291</v>
      </c>
      <c r="W30" s="109">
        <f t="shared" si="18"/>
        <v>1.6565058046906298</v>
      </c>
      <c r="X30" s="110">
        <f t="shared" si="19"/>
        <v>-14.294126445707418</v>
      </c>
      <c r="Y30" s="28">
        <f t="shared" si="28"/>
        <v>-0.08844502640739815</v>
      </c>
      <c r="Z30" s="19">
        <f t="shared" si="20"/>
        <v>1.0993211590790997</v>
      </c>
      <c r="AA30" s="19">
        <f t="shared" si="21"/>
        <v>1.0993211590790997</v>
      </c>
      <c r="AB30" s="183">
        <f t="shared" si="22"/>
        <v>0.5080486781237716</v>
      </c>
      <c r="AC30" s="155">
        <f t="shared" si="26"/>
        <v>0.55</v>
      </c>
      <c r="AD30" s="157">
        <f t="shared" si="29"/>
        <v>7.9</v>
      </c>
      <c r="AE30" s="156">
        <f t="shared" si="30"/>
        <v>1.6565058046906298</v>
      </c>
    </row>
    <row r="31" spans="1:31" s="27" customFormat="1" ht="15" customHeight="1">
      <c r="A31" s="137">
        <f t="shared" si="27"/>
        <v>0.5600000000000002</v>
      </c>
      <c r="B31" s="51">
        <f t="shared" si="0"/>
        <v>-11.68210595488614</v>
      </c>
      <c r="C31" s="147">
        <f t="shared" si="1"/>
        <v>0.308</v>
      </c>
      <c r="D31" s="168">
        <f t="shared" si="2"/>
        <v>7143.672834850929</v>
      </c>
      <c r="E31" s="168">
        <f t="shared" si="3"/>
        <v>892.8571428571425</v>
      </c>
      <c r="F31" s="117">
        <f t="shared" si="23"/>
        <v>670.2990908445097</v>
      </c>
      <c r="G31" s="117">
        <f t="shared" si="4"/>
        <v>756.1751590649989</v>
      </c>
      <c r="H31" s="52">
        <f t="shared" si="5"/>
        <v>2.568921006258718</v>
      </c>
      <c r="I31" s="51">
        <f t="shared" si="6"/>
        <v>0.8637158473302141</v>
      </c>
      <c r="J31" s="51">
        <f t="shared" si="7"/>
        <v>-0.11412119506150999</v>
      </c>
      <c r="K31" s="51">
        <f t="shared" si="8"/>
        <v>0.007319520494899762</v>
      </c>
      <c r="L31" s="51">
        <f t="shared" si="9"/>
        <v>0.005768613123284059</v>
      </c>
      <c r="M31" s="51">
        <f t="shared" si="24"/>
        <v>0.00044434149412612257</v>
      </c>
      <c r="N31" s="51">
        <f t="shared" si="25"/>
        <v>0.048313520306742866</v>
      </c>
      <c r="O31" s="51">
        <f t="shared" si="10"/>
        <v>0.0001299619071693514</v>
      </c>
      <c r="P31" s="51">
        <f t="shared" si="11"/>
        <v>0</v>
      </c>
      <c r="Q31" s="51">
        <f t="shared" si="12"/>
        <v>0.5</v>
      </c>
      <c r="R31" s="61">
        <f t="shared" si="13"/>
        <v>0.4458340956509569</v>
      </c>
      <c r="S31" s="54">
        <f t="shared" si="14"/>
        <v>6</v>
      </c>
      <c r="T31" s="55">
        <f t="shared" si="15"/>
        <v>4.432683044577085</v>
      </c>
      <c r="U31" s="51">
        <f t="shared" si="16"/>
        <v>2.363715847330214</v>
      </c>
      <c r="V31" s="51">
        <f t="shared" si="17"/>
        <v>3.568967197246871</v>
      </c>
      <c r="W31" s="56">
        <f t="shared" si="18"/>
        <v>1.567316955422915</v>
      </c>
      <c r="X31" s="105">
        <f t="shared" si="19"/>
        <v>-14.309549942981171</v>
      </c>
      <c r="Y31" s="26">
        <f t="shared" si="28"/>
        <v>-0.08993368886036013</v>
      </c>
      <c r="Z31" s="24">
        <f t="shared" si="20"/>
        <v>1.0993211590790997</v>
      </c>
      <c r="AA31" s="24">
        <f t="shared" si="21"/>
        <v>1.0993211590790997</v>
      </c>
      <c r="AB31" s="184">
        <f t="shared" si="22"/>
        <v>0.49948734544020457</v>
      </c>
      <c r="AC31" s="155">
        <f t="shared" si="26"/>
        <v>0.55</v>
      </c>
      <c r="AD31" s="157">
        <f t="shared" si="29"/>
        <v>7.9</v>
      </c>
      <c r="AE31" s="156">
        <f t="shared" si="30"/>
        <v>0</v>
      </c>
    </row>
    <row r="32" spans="1:31" s="27" customFormat="1" ht="15" customHeight="1">
      <c r="A32" s="137">
        <f t="shared" si="27"/>
        <v>0.5700000000000002</v>
      </c>
      <c r="B32" s="51">
        <f t="shared" si="0"/>
        <v>-11.68210595488614</v>
      </c>
      <c r="C32" s="147">
        <f t="shared" si="1"/>
        <v>0.308</v>
      </c>
      <c r="D32" s="168">
        <f t="shared" si="2"/>
        <v>7018.345241257052</v>
      </c>
      <c r="E32" s="168">
        <f t="shared" si="3"/>
        <v>877.19298245614</v>
      </c>
      <c r="F32" s="117">
        <f t="shared" si="23"/>
        <v>678.1427829219367</v>
      </c>
      <c r="G32" s="117">
        <f t="shared" si="4"/>
        <v>763.1367073002773</v>
      </c>
      <c r="H32" s="52">
        <f t="shared" si="5"/>
        <v>2.64419255108064</v>
      </c>
      <c r="I32" s="51">
        <f t="shared" si="6"/>
        <v>0.8791393446039679</v>
      </c>
      <c r="J32" s="51">
        <f t="shared" si="7"/>
        <v>-0.11615907354475123</v>
      </c>
      <c r="K32" s="51">
        <f t="shared" si="8"/>
        <v>0.007581490761899012</v>
      </c>
      <c r="L32" s="51">
        <f t="shared" si="9"/>
        <v>0.006189526740926989</v>
      </c>
      <c r="M32" s="51">
        <f t="shared" si="24"/>
        <v>0.000440288085720127</v>
      </c>
      <c r="N32" s="51">
        <f t="shared" si="25"/>
        <v>0.04786789697386265</v>
      </c>
      <c r="O32" s="51">
        <f t="shared" si="10"/>
        <v>0.00013815797973614624</v>
      </c>
      <c r="P32" s="51">
        <f t="shared" si="11"/>
        <v>0</v>
      </c>
      <c r="Q32" s="51">
        <f t="shared" si="12"/>
        <v>0.5</v>
      </c>
      <c r="R32" s="61">
        <f t="shared" si="13"/>
        <v>0.4458340956509569</v>
      </c>
      <c r="S32" s="54">
        <f t="shared" si="14"/>
        <v>6</v>
      </c>
      <c r="T32" s="55">
        <f t="shared" si="15"/>
        <v>4.5233615730300905</v>
      </c>
      <c r="U32" s="51">
        <f t="shared" si="16"/>
        <v>2.379139344603968</v>
      </c>
      <c r="V32" s="51">
        <f t="shared" si="17"/>
        <v>3.6442222284261225</v>
      </c>
      <c r="W32" s="56">
        <f t="shared" si="18"/>
        <v>1.4766384269699095</v>
      </c>
      <c r="X32" s="105">
        <f t="shared" si="19"/>
        <v>-14.324973440254924</v>
      </c>
      <c r="Y32" s="26">
        <f t="shared" si="28"/>
        <v>-0.09142476908704866</v>
      </c>
      <c r="Z32" s="24">
        <f t="shared" si="20"/>
        <v>1.0993211590790997</v>
      </c>
      <c r="AA32" s="24">
        <f t="shared" si="21"/>
        <v>1.0993211590790997</v>
      </c>
      <c r="AB32" s="184">
        <f t="shared" si="22"/>
        <v>0.4909048641294645</v>
      </c>
      <c r="AC32" s="155">
        <f t="shared" si="26"/>
        <v>0.55</v>
      </c>
      <c r="AD32" s="157">
        <f t="shared" si="29"/>
        <v>7.9</v>
      </c>
      <c r="AE32" s="156">
        <f t="shared" si="30"/>
        <v>0</v>
      </c>
    </row>
    <row r="33" spans="1:31" s="27" customFormat="1" ht="15" customHeight="1">
      <c r="A33" s="137">
        <f t="shared" si="27"/>
        <v>0.5800000000000002</v>
      </c>
      <c r="B33" s="51">
        <f t="shared" si="0"/>
        <v>-11.68210595488614</v>
      </c>
      <c r="C33" s="147">
        <f t="shared" si="1"/>
        <v>0.308</v>
      </c>
      <c r="D33" s="168">
        <f t="shared" si="2"/>
        <v>6897.339288821586</v>
      </c>
      <c r="E33" s="168">
        <f t="shared" si="3"/>
        <v>862.068965517241</v>
      </c>
      <c r="F33" s="117">
        <f t="shared" si="23"/>
        <v>686.0332325868626</v>
      </c>
      <c r="G33" s="117">
        <f t="shared" si="4"/>
        <v>770.1568646799043</v>
      </c>
      <c r="H33" s="52">
        <f t="shared" si="5"/>
        <v>2.720929223226847</v>
      </c>
      <c r="I33" s="51">
        <f t="shared" si="6"/>
        <v>0.8945628418777217</v>
      </c>
      <c r="J33" s="51">
        <f t="shared" si="7"/>
        <v>-0.11819695202799249</v>
      </c>
      <c r="K33" s="51">
        <f t="shared" si="8"/>
        <v>0.007847971479404156</v>
      </c>
      <c r="L33" s="51">
        <f t="shared" si="9"/>
        <v>0.006632959980592939</v>
      </c>
      <c r="M33" s="51">
        <f t="shared" si="24"/>
        <v>0.00043627475831128204</v>
      </c>
      <c r="N33" s="51">
        <f t="shared" si="25"/>
        <v>0.04742677014211189</v>
      </c>
      <c r="O33" s="51">
        <f t="shared" si="10"/>
        <v>0.00014669187295167363</v>
      </c>
      <c r="P33" s="51">
        <f t="shared" si="11"/>
        <v>0</v>
      </c>
      <c r="Q33" s="51">
        <f t="shared" si="12"/>
        <v>0.5</v>
      </c>
      <c r="R33" s="61">
        <f t="shared" si="13"/>
        <v>0.4458340956509569</v>
      </c>
      <c r="S33" s="54">
        <f t="shared" si="14"/>
        <v>6</v>
      </c>
      <c r="T33" s="55">
        <f t="shared" si="15"/>
        <v>4.615532582751182</v>
      </c>
      <c r="U33" s="51">
        <f t="shared" si="16"/>
        <v>2.394562841877722</v>
      </c>
      <c r="V33" s="51">
        <f t="shared" si="17"/>
        <v>3.7209697408734606</v>
      </c>
      <c r="W33" s="56">
        <f t="shared" si="18"/>
        <v>1.3844674172488176</v>
      </c>
      <c r="X33" s="105">
        <f t="shared" si="19"/>
        <v>-14.340396937528679</v>
      </c>
      <c r="Y33" s="26">
        <f t="shared" si="28"/>
        <v>-0.09291908223953094</v>
      </c>
      <c r="Z33" s="24">
        <f t="shared" si="20"/>
        <v>1.0993211590790997</v>
      </c>
      <c r="AA33" s="24">
        <f t="shared" si="21"/>
        <v>1.0993211590790997</v>
      </c>
      <c r="AB33" s="184">
        <f t="shared" si="22"/>
        <v>0.4823071143625262</v>
      </c>
      <c r="AC33" s="155">
        <f t="shared" si="26"/>
        <v>0.55</v>
      </c>
      <c r="AD33" s="157">
        <f t="shared" si="29"/>
        <v>7.9</v>
      </c>
      <c r="AE33" s="156">
        <f t="shared" si="30"/>
        <v>0</v>
      </c>
    </row>
    <row r="34" spans="1:31" s="27" customFormat="1" ht="15" customHeight="1">
      <c r="A34" s="137">
        <f t="shared" si="27"/>
        <v>0.5900000000000002</v>
      </c>
      <c r="B34" s="51">
        <f t="shared" si="0"/>
        <v>-11.68210595488614</v>
      </c>
      <c r="C34" s="147">
        <f t="shared" si="1"/>
        <v>0.308</v>
      </c>
      <c r="D34" s="168">
        <f t="shared" si="2"/>
        <v>6780.435233078846</v>
      </c>
      <c r="E34" s="168">
        <f t="shared" si="3"/>
        <v>847.4576271186438</v>
      </c>
      <c r="F34" s="117">
        <f t="shared" si="23"/>
        <v>693.9688449349801</v>
      </c>
      <c r="G34" s="117">
        <f t="shared" si="4"/>
        <v>777.2340430915198</v>
      </c>
      <c r="H34" s="52">
        <f t="shared" si="5"/>
        <v>2.7991338250030444</v>
      </c>
      <c r="I34" s="51">
        <f t="shared" si="6"/>
        <v>0.9099863391514756</v>
      </c>
      <c r="J34" s="51">
        <f t="shared" si="7"/>
        <v>-0.12023483051123374</v>
      </c>
      <c r="K34" s="51">
        <f t="shared" si="8"/>
        <v>0.008118956068139758</v>
      </c>
      <c r="L34" s="51">
        <f t="shared" si="9"/>
        <v>0.00709969311063656</v>
      </c>
      <c r="M34" s="51">
        <f t="shared" si="24"/>
        <v>0.00043230221705617677</v>
      </c>
      <c r="N34" s="51">
        <f t="shared" si="25"/>
        <v>0.046990214574354636</v>
      </c>
      <c r="O34" s="51">
        <f t="shared" si="10"/>
        <v>0.00015557001868416603</v>
      </c>
      <c r="P34" s="51">
        <f t="shared" si="11"/>
        <v>0</v>
      </c>
      <c r="Q34" s="51">
        <f t="shared" si="12"/>
        <v>0.5</v>
      </c>
      <c r="R34" s="61">
        <f t="shared" si="13"/>
        <v>0.4458340956509569</v>
      </c>
      <c r="S34" s="54">
        <f t="shared" si="14"/>
        <v>6</v>
      </c>
      <c r="T34" s="55">
        <f t="shared" si="15"/>
        <v>4.709199737509152</v>
      </c>
      <c r="U34" s="51">
        <f t="shared" si="16"/>
        <v>2.4099863391514758</v>
      </c>
      <c r="V34" s="51">
        <f t="shared" si="17"/>
        <v>3.7992133983576766</v>
      </c>
      <c r="W34" s="56">
        <f t="shared" si="18"/>
        <v>1.2908002624908477</v>
      </c>
      <c r="X34" s="105">
        <f t="shared" si="19"/>
        <v>-14.355820434802434</v>
      </c>
      <c r="Y34" s="26">
        <f t="shared" si="28"/>
        <v>-0.09441753679835152</v>
      </c>
      <c r="Z34" s="24">
        <f t="shared" si="20"/>
        <v>1.0993211590790997</v>
      </c>
      <c r="AA34" s="24">
        <f t="shared" si="21"/>
        <v>1.0993211590790997</v>
      </c>
      <c r="AB34" s="184">
        <f t="shared" si="22"/>
        <v>0.4736998071654152</v>
      </c>
      <c r="AC34" s="155">
        <f t="shared" si="26"/>
        <v>0.55</v>
      </c>
      <c r="AD34" s="157">
        <f t="shared" si="29"/>
        <v>7.9</v>
      </c>
      <c r="AE34" s="156">
        <f t="shared" si="30"/>
        <v>0</v>
      </c>
    </row>
    <row r="35" spans="1:31" s="84" customFormat="1" ht="15" customHeight="1">
      <c r="A35" s="138">
        <f t="shared" si="27"/>
        <v>0.6000000000000002</v>
      </c>
      <c r="B35" s="77">
        <f t="shared" si="0"/>
        <v>-11.68210595488614</v>
      </c>
      <c r="C35" s="148">
        <f t="shared" si="1"/>
        <v>0.308</v>
      </c>
      <c r="D35" s="169">
        <f t="shared" si="2"/>
        <v>6667.427979194198</v>
      </c>
      <c r="E35" s="169">
        <f t="shared" si="3"/>
        <v>833.333333333333</v>
      </c>
      <c r="F35" s="118">
        <f t="shared" si="23"/>
        <v>701.9480882583405</v>
      </c>
      <c r="G35" s="118">
        <f t="shared" si="4"/>
        <v>784.3666990697266</v>
      </c>
      <c r="H35" s="78">
        <f t="shared" si="5"/>
        <v>2.8788101122021375</v>
      </c>
      <c r="I35" s="77">
        <f t="shared" si="6"/>
        <v>0.9254098364252294</v>
      </c>
      <c r="J35" s="77">
        <f t="shared" si="7"/>
        <v>-0.122272708994475</v>
      </c>
      <c r="K35" s="77">
        <f t="shared" si="8"/>
        <v>0.008394437839800468</v>
      </c>
      <c r="L35" s="77">
        <f t="shared" si="9"/>
        <v>0.0075905192076769655</v>
      </c>
      <c r="M35" s="77">
        <f t="shared" si="24"/>
        <v>0.00042837106725528027</v>
      </c>
      <c r="N35" s="77">
        <f t="shared" si="25"/>
        <v>0.04655829403055388</v>
      </c>
      <c r="O35" s="77">
        <f t="shared" si="10"/>
        <v>0.00016479883133121292</v>
      </c>
      <c r="P35" s="77">
        <f t="shared" si="11"/>
        <v>0</v>
      </c>
      <c r="Q35" s="77">
        <f t="shared" si="12"/>
        <v>0.5</v>
      </c>
      <c r="R35" s="79">
        <f t="shared" si="13"/>
        <v>0.4458340956509569</v>
      </c>
      <c r="S35" s="80">
        <f t="shared" si="14"/>
        <v>6</v>
      </c>
      <c r="T35" s="81">
        <f t="shared" si="15"/>
        <v>4.804367656347885</v>
      </c>
      <c r="U35" s="77">
        <f t="shared" si="16"/>
        <v>2.4254098364252297</v>
      </c>
      <c r="V35" s="77">
        <f t="shared" si="17"/>
        <v>3.8789578199226558</v>
      </c>
      <c r="W35" s="82">
        <f t="shared" si="18"/>
        <v>1.1956323436521146</v>
      </c>
      <c r="X35" s="111">
        <f t="shared" si="19"/>
        <v>-14.371243932076187</v>
      </c>
      <c r="Y35" s="83"/>
      <c r="Z35" s="77">
        <f t="shared" si="20"/>
        <v>1.0993211590790997</v>
      </c>
      <c r="AA35" s="77">
        <f t="shared" si="21"/>
        <v>1.0993211590790997</v>
      </c>
      <c r="AB35" s="185">
        <f t="shared" si="22"/>
        <v>0.4650884765930391</v>
      </c>
      <c r="AC35" s="164">
        <f t="shared" si="26"/>
        <v>0.55</v>
      </c>
      <c r="AD35" s="158">
        <f>ROUNDUP(E9,0)-0.1</f>
        <v>7.9</v>
      </c>
      <c r="AE35" s="171">
        <f t="shared" si="30"/>
        <v>0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7"/>
      <c r="S36" s="6"/>
      <c r="T36" s="13"/>
      <c r="V36" s="13"/>
      <c r="W36" s="13"/>
      <c r="X36" s="14"/>
      <c r="AE36" s="172">
        <f>SUM(AE15:AE35)</f>
        <v>1.6565058046906298</v>
      </c>
    </row>
    <row r="37" spans="1:28" s="27" customFormat="1" ht="15" customHeight="1">
      <c r="A37" s="85" t="s">
        <v>69</v>
      </c>
      <c r="B37" s="23"/>
      <c r="C37" s="23"/>
      <c r="D37" s="22"/>
      <c r="E37" s="23"/>
      <c r="F37" s="23"/>
      <c r="G37" s="29"/>
      <c r="X37" s="32"/>
      <c r="Y37" s="32"/>
      <c r="AB37" s="189"/>
    </row>
    <row r="38" spans="1:28" s="27" customFormat="1" ht="15" customHeight="1">
      <c r="A38" s="30" t="s">
        <v>128</v>
      </c>
      <c r="B38" s="23"/>
      <c r="C38" s="23"/>
      <c r="D38" s="22"/>
      <c r="E38" s="23"/>
      <c r="F38" s="23"/>
      <c r="G38" s="29"/>
      <c r="K38" s="24"/>
      <c r="L38" s="23"/>
      <c r="M38" s="24"/>
      <c r="N38" s="24"/>
      <c r="O38" s="24"/>
      <c r="P38" s="24"/>
      <c r="Q38" s="24"/>
      <c r="R38" s="62"/>
      <c r="S38" s="25"/>
      <c r="T38" s="24"/>
      <c r="U38" s="31"/>
      <c r="V38" s="24"/>
      <c r="X38" s="32"/>
      <c r="Y38" s="32"/>
      <c r="AB38" s="189"/>
    </row>
    <row r="39" spans="1:28" s="27" customFormat="1" ht="15" customHeight="1">
      <c r="A39" s="24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23"/>
      <c r="M39" s="24"/>
      <c r="N39" s="24"/>
      <c r="O39" s="24"/>
      <c r="P39" s="24"/>
      <c r="Q39" s="24"/>
      <c r="R39" s="62"/>
      <c r="S39" s="25"/>
      <c r="T39" s="24"/>
      <c r="U39" s="31"/>
      <c r="V39" s="24"/>
      <c r="X39" s="32"/>
      <c r="Y39" s="32"/>
      <c r="AB39" s="189"/>
    </row>
    <row r="40" spans="1:28" s="27" customFormat="1" ht="15" customHeight="1">
      <c r="A40" s="30"/>
      <c r="B40" s="23"/>
      <c r="C40" s="23"/>
      <c r="D40" s="22"/>
      <c r="E40" s="23"/>
      <c r="F40" s="23"/>
      <c r="G40" s="29"/>
      <c r="H40" s="24"/>
      <c r="I40" s="24"/>
      <c r="J40" s="24"/>
      <c r="K40" s="24"/>
      <c r="L40" s="23"/>
      <c r="M40" s="24"/>
      <c r="N40" s="24"/>
      <c r="O40" s="24"/>
      <c r="P40" s="24"/>
      <c r="Q40" s="24"/>
      <c r="R40" s="62"/>
      <c r="S40" s="25"/>
      <c r="T40" s="24"/>
      <c r="U40" s="31"/>
      <c r="V40" s="24"/>
      <c r="X40" s="32"/>
      <c r="Y40" s="32"/>
      <c r="AB40" s="189"/>
    </row>
    <row r="41" spans="1:28" s="27" customFormat="1" ht="15" customHeight="1">
      <c r="A41" s="25"/>
      <c r="B41" s="23"/>
      <c r="C41" s="23"/>
      <c r="D41" s="22"/>
      <c r="E41" s="23"/>
      <c r="F41" s="23"/>
      <c r="G41" s="29"/>
      <c r="H41" s="24"/>
      <c r="I41" s="24"/>
      <c r="J41" s="24"/>
      <c r="K41" s="24"/>
      <c r="L41" s="23"/>
      <c r="M41" s="24"/>
      <c r="N41" s="24"/>
      <c r="O41" s="24"/>
      <c r="P41" s="24"/>
      <c r="Q41" s="24"/>
      <c r="R41" s="62"/>
      <c r="S41" s="25"/>
      <c r="T41" s="24"/>
      <c r="U41" s="31"/>
      <c r="V41" s="24"/>
      <c r="X41" s="32"/>
      <c r="Y41" s="32"/>
      <c r="AB41" s="189"/>
    </row>
    <row r="42" spans="1:28" s="27" customFormat="1" ht="15" customHeight="1">
      <c r="A42" s="25"/>
      <c r="B42" s="23"/>
      <c r="C42" s="23"/>
      <c r="D42" s="22"/>
      <c r="E42" s="23"/>
      <c r="F42" s="23"/>
      <c r="G42" s="29"/>
      <c r="H42" s="24"/>
      <c r="I42" s="24"/>
      <c r="J42" s="24"/>
      <c r="K42" s="24"/>
      <c r="L42" s="23"/>
      <c r="M42" s="24"/>
      <c r="N42" s="24"/>
      <c r="O42" s="24"/>
      <c r="P42" s="24"/>
      <c r="Q42" s="24"/>
      <c r="R42" s="62"/>
      <c r="S42" s="25"/>
      <c r="T42" s="24"/>
      <c r="U42" s="31"/>
      <c r="V42" s="24"/>
      <c r="X42" s="32"/>
      <c r="Y42" s="32"/>
      <c r="AB42" s="189"/>
    </row>
    <row r="43" spans="1:28" s="27" customFormat="1" ht="15" customHeight="1">
      <c r="A43" s="29"/>
      <c r="D43" s="22"/>
      <c r="E43" s="23"/>
      <c r="F43" s="23"/>
      <c r="G43" s="29"/>
      <c r="H43" s="24"/>
      <c r="I43" s="24"/>
      <c r="J43" s="24"/>
      <c r="K43" s="24"/>
      <c r="L43" s="23"/>
      <c r="M43" s="24"/>
      <c r="N43" s="24"/>
      <c r="O43" s="24"/>
      <c r="P43" s="24"/>
      <c r="Q43" s="24"/>
      <c r="R43" s="62"/>
      <c r="S43" s="25"/>
      <c r="T43" s="24"/>
      <c r="U43" s="31"/>
      <c r="V43" s="24"/>
      <c r="X43" s="32"/>
      <c r="Y43" s="32"/>
      <c r="AB43" s="189"/>
    </row>
    <row r="44" spans="1:28" s="27" customFormat="1" ht="15" customHeight="1">
      <c r="A44" s="29"/>
      <c r="B44" s="23"/>
      <c r="D44" s="22"/>
      <c r="E44" s="23"/>
      <c r="F44" s="23"/>
      <c r="G44" s="29"/>
      <c r="H44" s="24"/>
      <c r="I44" s="24"/>
      <c r="J44" s="24"/>
      <c r="K44" s="24"/>
      <c r="L44" s="23"/>
      <c r="M44" s="24"/>
      <c r="N44" s="24"/>
      <c r="O44" s="24"/>
      <c r="P44" s="24"/>
      <c r="Q44" s="24"/>
      <c r="R44" s="62"/>
      <c r="S44" s="25"/>
      <c r="T44" s="24"/>
      <c r="U44" s="31"/>
      <c r="V44" s="24"/>
      <c r="X44" s="32"/>
      <c r="Y44" s="32"/>
      <c r="AB44" s="189"/>
    </row>
    <row r="45" spans="1:28" s="27" customFormat="1" ht="15" customHeight="1">
      <c r="A45" s="29"/>
      <c r="B45" s="23"/>
      <c r="D45" s="22"/>
      <c r="E45" s="23"/>
      <c r="F45" s="23"/>
      <c r="G45" s="29"/>
      <c r="H45" s="24"/>
      <c r="I45" s="24"/>
      <c r="J45" s="24"/>
      <c r="K45" s="24"/>
      <c r="L45" s="23"/>
      <c r="M45" s="24"/>
      <c r="N45" s="24"/>
      <c r="O45" s="24"/>
      <c r="P45" s="24"/>
      <c r="Q45" s="24"/>
      <c r="R45" s="62"/>
      <c r="S45" s="25"/>
      <c r="T45" s="24"/>
      <c r="U45" s="31"/>
      <c r="V45" s="24"/>
      <c r="X45" s="32"/>
      <c r="Y45" s="32"/>
      <c r="AB45" s="189"/>
    </row>
    <row r="46" spans="1:22" ht="15" customHeight="1">
      <c r="A46" s="29"/>
      <c r="B46" s="23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7"/>
      <c r="S46" s="6"/>
      <c r="T46" s="4"/>
      <c r="V46" s="4"/>
    </row>
    <row r="47" spans="1:22" ht="15" customHeight="1">
      <c r="A47" s="2"/>
      <c r="B47" s="23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7"/>
      <c r="S47" s="6"/>
      <c r="T47" s="4"/>
      <c r="V47" s="4"/>
    </row>
    <row r="48" spans="1:22" ht="15" customHeight="1">
      <c r="A48" s="2"/>
      <c r="B48" s="23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3"/>
      <c r="S48" s="6"/>
      <c r="T48" s="4"/>
      <c r="V48" s="4"/>
    </row>
    <row r="49" spans="1:22" ht="15" customHeight="1">
      <c r="A49" s="25"/>
      <c r="B49" s="23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7"/>
      <c r="S49" s="6"/>
      <c r="T49" s="4"/>
      <c r="V49" s="4"/>
    </row>
    <row r="50" spans="1:16" ht="15" customHeight="1">
      <c r="A50" s="15"/>
      <c r="B50" s="16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5"/>
      <c r="B51" s="16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O1:P1"/>
  </mergeCells>
  <printOptions horizontalCentered="1"/>
  <pageMargins left="0.5" right="0.5" top="0.5" bottom="0.5" header="0.3" footer="0.3"/>
  <pageSetup fitToHeight="1" fitToWidth="1" horizontalDpi="600" verticalDpi="600" orientation="landscape" scale="67" r:id="rId2"/>
  <headerFooter alignWithMargins="0">
    <oddHeader xml:space="preserve">&amp;CBy Agilent Technologies&amp;R </oddHeader>
    <oddFooter>&amp;L&amp;F tab &amp;A page &amp;P of &amp;N&amp;RPrinted &amp;T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showGridLines="0" showOutlineSymbols="0" zoomScale="70" zoomScaleNormal="70" workbookViewId="0" topLeftCell="A1">
      <selection activeCell="N1" sqref="N1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8" customWidth="1"/>
    <col min="19" max="19" width="6.00390625" style="5" customWidth="1"/>
    <col min="20" max="20" width="6.57421875" style="5" customWidth="1"/>
    <col min="21" max="21" width="7.28125" style="7" customWidth="1"/>
    <col min="22" max="22" width="7.421875" style="5" customWidth="1"/>
    <col min="23" max="23" width="7.7109375" style="5" customWidth="1"/>
    <col min="24" max="24" width="11.140625" style="10" customWidth="1"/>
    <col min="25" max="25" width="8.8515625" style="10" customWidth="1"/>
    <col min="26" max="26" width="8.140625" style="5" customWidth="1"/>
    <col min="27" max="27" width="7.57421875" style="5" customWidth="1"/>
    <col min="28" max="28" width="10.00390625" style="188" customWidth="1"/>
    <col min="29" max="32" width="10.00390625" style="5" customWidth="1"/>
    <col min="33" max="16384" width="11.140625" style="5" customWidth="1"/>
  </cols>
  <sheetData>
    <row r="1" spans="1:32" s="145" customFormat="1" ht="15.75">
      <c r="A1" s="140" t="s">
        <v>106</v>
      </c>
      <c r="B1" s="122"/>
      <c r="C1" s="122"/>
      <c r="D1" s="122"/>
      <c r="E1" s="127"/>
      <c r="F1" s="127"/>
      <c r="G1" s="127"/>
      <c r="H1" s="127"/>
      <c r="I1" s="127"/>
      <c r="J1" s="127"/>
      <c r="K1" s="141" t="s">
        <v>76</v>
      </c>
      <c r="L1" s="122" t="s">
        <v>59</v>
      </c>
      <c r="M1" s="127"/>
      <c r="N1" s="150" t="s">
        <v>54</v>
      </c>
      <c r="O1" s="200">
        <v>36587</v>
      </c>
      <c r="P1" s="201"/>
      <c r="Q1" s="142" t="s">
        <v>1</v>
      </c>
      <c r="R1" s="143" t="s">
        <v>127</v>
      </c>
      <c r="S1" s="54"/>
      <c r="T1" s="51"/>
      <c r="U1" s="144"/>
      <c r="V1" s="51"/>
      <c r="W1" s="53"/>
      <c r="X1" s="54"/>
      <c r="Y1" s="54"/>
      <c r="Z1" s="53"/>
      <c r="AA1" s="53"/>
      <c r="AB1" s="186"/>
      <c r="AC1" s="53"/>
      <c r="AD1" s="53"/>
      <c r="AE1" s="53"/>
      <c r="AF1" s="53"/>
    </row>
    <row r="2" spans="1:32" ht="15.75">
      <c r="A2" s="65" t="s">
        <v>2</v>
      </c>
      <c r="B2" s="131" t="s">
        <v>3</v>
      </c>
      <c r="C2" s="76"/>
      <c r="D2" s="68"/>
      <c r="E2" s="76"/>
      <c r="F2" s="76"/>
      <c r="G2" s="65"/>
      <c r="H2" s="64"/>
      <c r="I2" s="68" t="s">
        <v>107</v>
      </c>
      <c r="J2" s="149">
        <v>0.55</v>
      </c>
      <c r="K2" s="64" t="s">
        <v>108</v>
      </c>
      <c r="L2" s="64"/>
      <c r="M2" s="76"/>
      <c r="N2" s="64"/>
      <c r="O2" s="65" t="s">
        <v>114</v>
      </c>
      <c r="P2" s="161">
        <f>1000000/$P$6</f>
        <v>720</v>
      </c>
      <c r="Q2" s="64" t="s">
        <v>101</v>
      </c>
      <c r="R2" s="86"/>
      <c r="S2" s="69"/>
      <c r="T2" s="70"/>
      <c r="U2" s="87"/>
      <c r="V2" s="70"/>
      <c r="W2" s="76"/>
      <c r="X2" s="69"/>
      <c r="Y2" s="6"/>
      <c r="Z2" s="1"/>
      <c r="AA2" s="1"/>
      <c r="AB2" s="187"/>
      <c r="AC2" s="1"/>
      <c r="AD2" s="1"/>
      <c r="AE2" s="1"/>
      <c r="AF2" s="1"/>
    </row>
    <row r="3" spans="1:32" ht="15" customHeight="1">
      <c r="A3" s="76"/>
      <c r="B3" s="76"/>
      <c r="C3" s="76"/>
      <c r="D3" s="68" t="s">
        <v>5</v>
      </c>
      <c r="E3" s="170">
        <v>400</v>
      </c>
      <c r="F3" s="64"/>
      <c r="G3" s="64"/>
      <c r="H3" s="76"/>
      <c r="I3" s="65" t="s">
        <v>111</v>
      </c>
      <c r="J3" s="130">
        <v>0.4</v>
      </c>
      <c r="K3" s="76" t="s">
        <v>108</v>
      </c>
      <c r="L3" s="64"/>
      <c r="M3" s="76"/>
      <c r="N3" s="64"/>
      <c r="O3" s="65" t="s">
        <v>4</v>
      </c>
      <c r="P3" s="51">
        <f>IF($B$4&gt;1000,$E$6/1.5,$E$6/3.5)</f>
        <v>1</v>
      </c>
      <c r="Q3" s="64"/>
      <c r="R3" s="86"/>
      <c r="S3" s="89"/>
      <c r="T3" s="90"/>
      <c r="U3" s="87"/>
      <c r="V3" s="70"/>
      <c r="W3" s="76"/>
      <c r="X3" s="69"/>
      <c r="Y3" s="6"/>
      <c r="Z3" s="1"/>
      <c r="AA3" s="1"/>
      <c r="AB3" s="187"/>
      <c r="AC3" s="1"/>
      <c r="AD3" s="1"/>
      <c r="AE3" s="1"/>
      <c r="AF3" s="1"/>
    </row>
    <row r="4" spans="1:32" ht="15" customHeight="1">
      <c r="A4" s="65" t="s">
        <v>55</v>
      </c>
      <c r="B4" s="91">
        <v>1270</v>
      </c>
      <c r="C4" s="76"/>
      <c r="D4" s="68" t="s">
        <v>9</v>
      </c>
      <c r="E4" s="88">
        <v>0.11</v>
      </c>
      <c r="F4" s="64"/>
      <c r="G4" s="64"/>
      <c r="H4" s="76"/>
      <c r="I4" s="65" t="s">
        <v>112</v>
      </c>
      <c r="J4" s="177">
        <f>10^(INT(LOG10(J3/9)))</f>
        <v>0.01</v>
      </c>
      <c r="K4" s="64" t="s">
        <v>108</v>
      </c>
      <c r="L4" s="64"/>
      <c r="M4" s="64"/>
      <c r="N4" s="64"/>
      <c r="O4" s="65" t="s">
        <v>6</v>
      </c>
      <c r="P4" s="161">
        <f>B7*1.518</f>
        <v>394.68</v>
      </c>
      <c r="Q4" s="76" t="s">
        <v>101</v>
      </c>
      <c r="R4" s="92" t="s">
        <v>7</v>
      </c>
      <c r="S4" s="90"/>
      <c r="T4" s="90"/>
      <c r="U4" s="87"/>
      <c r="V4" s="70"/>
      <c r="W4" s="76"/>
      <c r="X4" s="69"/>
      <c r="Y4" s="6"/>
      <c r="Z4" s="1"/>
      <c r="AA4" s="1"/>
      <c r="AB4" s="187"/>
      <c r="AC4" s="1"/>
      <c r="AD4" s="1"/>
      <c r="AE4" s="1"/>
      <c r="AF4" s="1"/>
    </row>
    <row r="5" spans="1:32" ht="15" customHeight="1">
      <c r="A5" s="65" t="s">
        <v>8</v>
      </c>
      <c r="B5" s="93">
        <v>4</v>
      </c>
      <c r="C5" s="76"/>
      <c r="D5" s="68" t="s">
        <v>56</v>
      </c>
      <c r="E5" s="88">
        <v>1320</v>
      </c>
      <c r="F5" s="64"/>
      <c r="G5" s="64"/>
      <c r="H5" s="76"/>
      <c r="I5" s="65" t="s">
        <v>12</v>
      </c>
      <c r="J5" s="94">
        <v>480</v>
      </c>
      <c r="K5" s="64" t="s">
        <v>105</v>
      </c>
      <c r="L5" s="76"/>
      <c r="M5" s="70"/>
      <c r="N5" s="64"/>
      <c r="O5" s="65" t="s">
        <v>10</v>
      </c>
      <c r="P5" s="103">
        <v>0.7</v>
      </c>
      <c r="Q5" s="64"/>
      <c r="R5" s="92" t="s">
        <v>11</v>
      </c>
      <c r="S5" s="90"/>
      <c r="T5" s="86"/>
      <c r="U5" s="87"/>
      <c r="V5" s="70"/>
      <c r="W5" s="76"/>
      <c r="X5" s="69"/>
      <c r="Y5" s="6"/>
      <c r="Z5" s="1"/>
      <c r="AA5" s="1"/>
      <c r="AB5" s="187"/>
      <c r="AC5" s="1"/>
      <c r="AD5" s="1"/>
      <c r="AE5" s="1"/>
      <c r="AF5" s="1"/>
    </row>
    <row r="6" spans="1:32" ht="15" customHeight="1">
      <c r="A6" s="65" t="s">
        <v>74</v>
      </c>
      <c r="B6" s="88">
        <v>9</v>
      </c>
      <c r="C6" s="76" t="s">
        <v>63</v>
      </c>
      <c r="D6" s="68" t="s">
        <v>97</v>
      </c>
      <c r="E6" s="88">
        <v>1.5</v>
      </c>
      <c r="F6" s="64" t="str">
        <f>"dB/km at "&amp;IF(B4&lt;1000,850,1300)&amp;" nm"</f>
        <v>dB/km at 1300 nm</v>
      </c>
      <c r="G6" s="64"/>
      <c r="H6" s="76"/>
      <c r="I6" s="65" t="s">
        <v>15</v>
      </c>
      <c r="J6" s="93">
        <v>7.037</v>
      </c>
      <c r="K6" s="64"/>
      <c r="L6" s="64"/>
      <c r="M6" s="70"/>
      <c r="N6" s="64"/>
      <c r="O6" s="68" t="s">
        <v>13</v>
      </c>
      <c r="P6" s="95">
        <f>(P7)</f>
        <v>1388.888888888889</v>
      </c>
      <c r="Q6" s="69"/>
      <c r="R6" s="90"/>
      <c r="S6" s="86"/>
      <c r="T6" s="86"/>
      <c r="U6" s="87"/>
      <c r="V6" s="70"/>
      <c r="W6" s="76"/>
      <c r="X6" s="69"/>
      <c r="AA6" s="1"/>
      <c r="AB6" s="187"/>
      <c r="AC6" s="1"/>
      <c r="AD6" s="1"/>
      <c r="AE6" s="1"/>
      <c r="AF6" s="1"/>
    </row>
    <row r="7" spans="1:32" ht="15" customHeight="1">
      <c r="A7" s="65" t="s">
        <v>14</v>
      </c>
      <c r="B7" s="88">
        <v>260</v>
      </c>
      <c r="C7" s="76" t="s">
        <v>101</v>
      </c>
      <c r="D7" s="65" t="s">
        <v>98</v>
      </c>
      <c r="E7" s="176">
        <v>1250</v>
      </c>
      <c r="F7" s="76" t="s">
        <v>103</v>
      </c>
      <c r="G7" s="70"/>
      <c r="H7" s="70"/>
      <c r="I7" s="68" t="s">
        <v>102</v>
      </c>
      <c r="J7" s="174">
        <f>2.5*10^5/$E$7</f>
        <v>200</v>
      </c>
      <c r="K7" s="70" t="s">
        <v>101</v>
      </c>
      <c r="L7" s="64"/>
      <c r="M7" s="70"/>
      <c r="N7" s="64"/>
      <c r="O7" s="68" t="s">
        <v>16</v>
      </c>
      <c r="P7" s="96">
        <f>1/((1/$E$7)-$J$8*10^-6)</f>
        <v>1388.888888888889</v>
      </c>
      <c r="Q7" s="69"/>
      <c r="R7" s="90"/>
      <c r="S7" s="98" t="s">
        <v>33</v>
      </c>
      <c r="T7" s="128">
        <f>AE36</f>
        <v>0.06410191096353035</v>
      </c>
      <c r="U7" s="99" t="str">
        <f>"dB at target "&amp;J2&amp;" km"</f>
        <v>dB at target 0.55 km</v>
      </c>
      <c r="V7" s="70"/>
      <c r="W7" s="76"/>
      <c r="X7" s="132"/>
      <c r="AA7" s="1"/>
      <c r="AB7" s="187"/>
      <c r="AC7" s="1"/>
      <c r="AD7" s="1"/>
      <c r="AE7" s="1"/>
      <c r="AF7" s="1"/>
    </row>
    <row r="8" spans="1:32" ht="15" customHeight="1">
      <c r="A8" s="65" t="s">
        <v>86</v>
      </c>
      <c r="B8" s="88">
        <v>-120</v>
      </c>
      <c r="C8" s="114" t="s">
        <v>85</v>
      </c>
      <c r="D8" s="68" t="s">
        <v>99</v>
      </c>
      <c r="E8" s="170">
        <v>1000</v>
      </c>
      <c r="F8" s="76" t="s">
        <v>104</v>
      </c>
      <c r="G8" s="70"/>
      <c r="H8" s="64"/>
      <c r="I8" s="68" t="s">
        <v>19</v>
      </c>
      <c r="J8" s="88">
        <v>80</v>
      </c>
      <c r="K8" s="64"/>
      <c r="L8" s="64"/>
      <c r="M8" s="64"/>
      <c r="N8" s="64"/>
      <c r="O8" s="65" t="s">
        <v>17</v>
      </c>
      <c r="P8" s="66">
        <f>(10^-6)*$J$7*$P$7</f>
        <v>0.27777777777777773</v>
      </c>
      <c r="Q8" s="69"/>
      <c r="R8" s="90"/>
      <c r="S8" s="68" t="s">
        <v>117</v>
      </c>
      <c r="T8" s="53">
        <f>$P$3*((1/(0.00094*$B$4)^4)+1.05)</f>
        <v>1.542349727375382</v>
      </c>
      <c r="U8" s="64" t="str">
        <f>"dB/km at "&amp;B4&amp;" nm"</f>
        <v>dB/km at 1270 nm</v>
      </c>
      <c r="V8" s="70"/>
      <c r="W8" s="76"/>
      <c r="X8" s="69"/>
      <c r="Y8" s="6"/>
      <c r="Z8" s="1"/>
      <c r="AA8" s="1"/>
      <c r="AB8" s="187"/>
      <c r="AC8" s="1"/>
      <c r="AD8" s="1"/>
      <c r="AE8" s="1"/>
      <c r="AF8" s="1"/>
    </row>
    <row r="9" spans="1:32" ht="15" customHeight="1">
      <c r="A9" s="65" t="s">
        <v>18</v>
      </c>
      <c r="B9" s="88">
        <v>0.8</v>
      </c>
      <c r="C9" s="76"/>
      <c r="D9" s="68" t="s">
        <v>67</v>
      </c>
      <c r="E9" s="88">
        <v>7.5</v>
      </c>
      <c r="F9" s="76"/>
      <c r="G9" s="76"/>
      <c r="H9" s="64"/>
      <c r="I9" s="68" t="s">
        <v>22</v>
      </c>
      <c r="J9" s="139">
        <v>-11.5</v>
      </c>
      <c r="K9" s="70"/>
      <c r="L9" s="64"/>
      <c r="M9" s="70"/>
      <c r="N9" s="64"/>
      <c r="O9" s="65" t="s">
        <v>20</v>
      </c>
      <c r="P9" s="97">
        <f>(P8)</f>
        <v>0.27777777777777773</v>
      </c>
      <c r="Q9" s="69"/>
      <c r="R9" s="90"/>
      <c r="S9" s="98" t="s">
        <v>73</v>
      </c>
      <c r="T9" s="160">
        <f>350000/$E$8</f>
        <v>350</v>
      </c>
      <c r="U9" s="99" t="s">
        <v>101</v>
      </c>
      <c r="V9" s="70"/>
      <c r="W9" s="33"/>
      <c r="X9" s="43"/>
      <c r="Y9" s="69"/>
      <c r="Z9" s="76"/>
      <c r="AA9" s="76"/>
      <c r="AB9" s="179"/>
      <c r="AC9" s="1"/>
      <c r="AD9" s="1"/>
      <c r="AE9" s="1"/>
      <c r="AF9" s="1"/>
    </row>
    <row r="10" spans="1:32" ht="15" customHeight="1">
      <c r="A10" s="65" t="s">
        <v>21</v>
      </c>
      <c r="B10" s="88">
        <v>1</v>
      </c>
      <c r="C10" s="76"/>
      <c r="D10" s="68" t="s">
        <v>68</v>
      </c>
      <c r="E10" s="88">
        <v>1.5</v>
      </c>
      <c r="F10" s="76"/>
      <c r="G10" s="65"/>
      <c r="H10" s="64"/>
      <c r="I10" s="65" t="s">
        <v>26</v>
      </c>
      <c r="J10" s="129">
        <v>9</v>
      </c>
      <c r="K10" s="64"/>
      <c r="L10" s="64"/>
      <c r="M10" s="70"/>
      <c r="N10" s="64"/>
      <c r="O10" s="65" t="s">
        <v>23</v>
      </c>
      <c r="P10" s="51">
        <f>T35-S35</f>
        <v>0.6193645206714535</v>
      </c>
      <c r="Q10" s="70" t="s">
        <v>24</v>
      </c>
      <c r="R10" s="90"/>
      <c r="S10" s="98" t="s">
        <v>100</v>
      </c>
      <c r="T10" s="128">
        <f>(1-1.425*EXP(-1.28*($P$2/$T$9)^2))*((2*SIN(3.1416*$P$9))/(3.1416*$P$9*(1-$P$9^2))-1)</f>
        <v>0.8967246580471736</v>
      </c>
      <c r="U10" s="99" t="s">
        <v>77</v>
      </c>
      <c r="V10" s="112"/>
      <c r="W10" s="76"/>
      <c r="X10" s="115" t="s">
        <v>25</v>
      </c>
      <c r="Y10" s="69"/>
      <c r="Z10" s="64"/>
      <c r="AA10" s="76"/>
      <c r="AB10" s="179"/>
      <c r="AC10" s="1"/>
      <c r="AD10" s="1"/>
      <c r="AE10" s="1"/>
      <c r="AF10" s="1"/>
    </row>
    <row r="11" spans="1:32" ht="15" customHeight="1">
      <c r="A11" s="33"/>
      <c r="B11" s="33"/>
      <c r="C11" s="33"/>
      <c r="D11" s="34"/>
      <c r="E11" s="34"/>
      <c r="F11" s="34"/>
      <c r="G11" s="34"/>
      <c r="H11" s="34"/>
      <c r="I11" s="35" t="s">
        <v>75</v>
      </c>
      <c r="J11" s="36">
        <v>0</v>
      </c>
      <c r="K11" s="37" t="s">
        <v>66</v>
      </c>
      <c r="L11" s="38"/>
      <c r="M11" s="38"/>
      <c r="N11" s="34"/>
      <c r="O11" s="39" t="s">
        <v>62</v>
      </c>
      <c r="P11" s="40">
        <f>10*LOG10(1/SQRT(1-($J$6*J11)^2))</f>
        <v>0</v>
      </c>
      <c r="Q11" s="37" t="s">
        <v>63</v>
      </c>
      <c r="R11" s="59"/>
      <c r="S11" s="39" t="s">
        <v>61</v>
      </c>
      <c r="T11" s="41">
        <f>10*LOG10(1/SQRT(1-($J$6*$J$11/$T$10)^2))</f>
        <v>0</v>
      </c>
      <c r="U11" s="42" t="s">
        <v>63</v>
      </c>
      <c r="V11" s="113"/>
      <c r="W11" s="76"/>
      <c r="X11" s="100" t="s">
        <v>27</v>
      </c>
      <c r="Y11" s="6" t="s">
        <v>28</v>
      </c>
      <c r="Z11" s="12" t="s">
        <v>34</v>
      </c>
      <c r="AA11" s="12" t="s">
        <v>29</v>
      </c>
      <c r="AB11" s="180" t="s">
        <v>78</v>
      </c>
      <c r="AC11" s="1"/>
      <c r="AD11" s="1"/>
      <c r="AE11" s="1"/>
      <c r="AF11" s="1"/>
    </row>
    <row r="12" spans="1:32" ht="15" customHeight="1">
      <c r="A12" s="133" t="s">
        <v>88</v>
      </c>
      <c r="B12" s="69" t="s">
        <v>57</v>
      </c>
      <c r="C12" s="69" t="s">
        <v>36</v>
      </c>
      <c r="D12" s="75" t="s">
        <v>80</v>
      </c>
      <c r="E12" s="75" t="s">
        <v>81</v>
      </c>
      <c r="F12" s="76" t="s">
        <v>82</v>
      </c>
      <c r="G12" s="76" t="s">
        <v>83</v>
      </c>
      <c r="H12" s="67" t="s">
        <v>37</v>
      </c>
      <c r="I12" s="68" t="s">
        <v>38</v>
      </c>
      <c r="J12" s="69" t="s">
        <v>39</v>
      </c>
      <c r="K12" s="70" t="s">
        <v>40</v>
      </c>
      <c r="L12" s="68" t="s">
        <v>41</v>
      </c>
      <c r="M12" s="68" t="s">
        <v>42</v>
      </c>
      <c r="N12" s="68" t="s">
        <v>43</v>
      </c>
      <c r="O12" s="71" t="s">
        <v>79</v>
      </c>
      <c r="P12" s="68" t="s">
        <v>44</v>
      </c>
      <c r="Q12" s="68" t="s">
        <v>45</v>
      </c>
      <c r="R12" s="72" t="s">
        <v>46</v>
      </c>
      <c r="S12" s="69" t="s">
        <v>47</v>
      </c>
      <c r="T12" s="73" t="s">
        <v>48</v>
      </c>
      <c r="U12" s="71" t="s">
        <v>49</v>
      </c>
      <c r="V12" s="70" t="s">
        <v>50</v>
      </c>
      <c r="W12" s="74" t="s">
        <v>33</v>
      </c>
      <c r="X12" s="101" t="s">
        <v>32</v>
      </c>
      <c r="Y12" s="6" t="s">
        <v>33</v>
      </c>
      <c r="Z12" s="10" t="s">
        <v>89</v>
      </c>
      <c r="AA12" s="6" t="s">
        <v>35</v>
      </c>
      <c r="AB12" s="180" t="s">
        <v>65</v>
      </c>
      <c r="AC12" s="1"/>
      <c r="AD12" s="1"/>
      <c r="AE12" s="173" t="s">
        <v>118</v>
      </c>
      <c r="AF12" s="1"/>
    </row>
    <row r="13" spans="1:32" s="34" customFormat="1" ht="15" customHeight="1">
      <c r="A13" s="134" t="s">
        <v>87</v>
      </c>
      <c r="B13" s="44" t="s">
        <v>58</v>
      </c>
      <c r="C13" s="44" t="s">
        <v>58</v>
      </c>
      <c r="D13" s="45" t="s">
        <v>84</v>
      </c>
      <c r="E13" s="45" t="s">
        <v>84</v>
      </c>
      <c r="F13" s="33" t="s">
        <v>113</v>
      </c>
      <c r="G13" s="33" t="s">
        <v>113</v>
      </c>
      <c r="H13" s="46" t="s">
        <v>30</v>
      </c>
      <c r="I13" s="47" t="s">
        <v>30</v>
      </c>
      <c r="J13" s="33"/>
      <c r="K13" s="48"/>
      <c r="L13" s="47" t="s">
        <v>30</v>
      </c>
      <c r="M13" s="47"/>
      <c r="N13" s="47" t="s">
        <v>30</v>
      </c>
      <c r="O13" s="47" t="s">
        <v>30</v>
      </c>
      <c r="P13" s="47" t="s">
        <v>30</v>
      </c>
      <c r="Q13" s="47" t="s">
        <v>30</v>
      </c>
      <c r="R13" s="60" t="s">
        <v>30</v>
      </c>
      <c r="S13" s="44" t="s">
        <v>30</v>
      </c>
      <c r="T13" s="48" t="s">
        <v>30</v>
      </c>
      <c r="U13" s="49" t="s">
        <v>30</v>
      </c>
      <c r="V13" s="49" t="s">
        <v>31</v>
      </c>
      <c r="W13" s="50" t="s">
        <v>30</v>
      </c>
      <c r="X13" s="102" t="s">
        <v>51</v>
      </c>
      <c r="Y13" s="44" t="s">
        <v>52</v>
      </c>
      <c r="Z13" s="44" t="s">
        <v>30</v>
      </c>
      <c r="AA13" s="44" t="s">
        <v>53</v>
      </c>
      <c r="AB13" s="181" t="s">
        <v>64</v>
      </c>
      <c r="AC13" s="151" t="s">
        <v>110</v>
      </c>
      <c r="AD13" s="152" t="s">
        <v>109</v>
      </c>
      <c r="AE13" s="152" t="s">
        <v>119</v>
      </c>
      <c r="AF13" s="33"/>
    </row>
    <row r="14" spans="1:32" s="127" customFormat="1" ht="15" customHeight="1">
      <c r="A14" s="135">
        <v>0.002</v>
      </c>
      <c r="B14" s="119">
        <f aca="true" t="shared" si="0" ref="B14:B35">0.25*$E$4*$B$4*(1-($E$5/$B$4)^4)</f>
        <v>-5.833412074304454</v>
      </c>
      <c r="C14" s="142">
        <f aca="true" t="shared" si="1" ref="C14:C35">0.7*$E$4*$B$5</f>
        <v>0.308</v>
      </c>
      <c r="D14" s="120">
        <f aca="true" t="shared" si="2" ref="D14:D35">(0.187/(A14*$B$5))*(10^6/SQRT(B14^2+C14^2))</f>
        <v>4001515.0083052632</v>
      </c>
      <c r="E14" s="120">
        <f aca="true" t="shared" si="3" ref="E14:E35">$E$3/A14</f>
        <v>200000</v>
      </c>
      <c r="F14" s="165">
        <f>SQRT(($J$5/D14)^2+($J$5/E14)^2+$P$4^2)</f>
        <v>394.6800000073153</v>
      </c>
      <c r="G14" s="165">
        <f aca="true" t="shared" si="4" ref="G14:G35">SQRT(F14^2+(350000/$E$8)^2)</f>
        <v>527.5152153310598</v>
      </c>
      <c r="H14" s="121">
        <f aca="true" t="shared" si="5" ref="H14:H35">-10*LOG10(1-1.425*EXP(-1.28*($P$2/G14)^2))</f>
        <v>0.6112363337851434</v>
      </c>
      <c r="I14" s="119">
        <f aca="true" t="shared" si="6" ref="I14:I35">A14*$P$3*((1/(0.00094*$B$4)^4)+1.05)</f>
        <v>0.0030846994547507637</v>
      </c>
      <c r="J14" s="122">
        <f aca="true" t="shared" si="7" ref="J14:J35">(10^-6)*3.14*$P$6*B14*A14*$B$5</f>
        <v>-0.00020352126570351097</v>
      </c>
      <c r="K14" s="119">
        <f aca="true" t="shared" si="8" ref="K14:K35">($B$9/SQRT(2))*(1-EXP(-1*J14^2))</f>
        <v>2.3431202080484632E-08</v>
      </c>
      <c r="L14" s="119">
        <f aca="true" t="shared" si="9" ref="L14:L35">10*LOG10(1/SQRT(1-($J$6*K14)^2))</f>
        <v>5.882397545975011E-14</v>
      </c>
      <c r="M14" s="119"/>
      <c r="N14" s="119"/>
      <c r="O14" s="119">
        <f aca="true" t="shared" si="10" ref="O14:O35">10*LOG10(1/SQRT(1-($J$6*$J$6*((($J$11/AB14)^2)+M14+(K14*K14)))))-$T$11-L14-N14</f>
        <v>0</v>
      </c>
      <c r="P14" s="119">
        <f aca="true" t="shared" si="11" ref="P14:P35">Z14-AA14</f>
        <v>0</v>
      </c>
      <c r="Q14" s="119">
        <f aca="true" t="shared" si="12" ref="Q14:Q35">$B$10</f>
        <v>1</v>
      </c>
      <c r="R14" s="123">
        <f aca="true" t="shared" si="13" ref="R14:R35">-10*LOG10((2*SIN(3.1416*$P$9))/(3.1416*$P$9*(1-$P$9^2))-1)</f>
        <v>0.4458340956509569</v>
      </c>
      <c r="S14" s="124">
        <f aca="true" t="shared" si="14" ref="S14:S35">$E$9-$E$10</f>
        <v>6</v>
      </c>
      <c r="T14" s="178">
        <f aca="true" t="shared" si="15" ref="T14:T35">H14+I14+L14+N14+O14+P14+Q14+R14</f>
        <v>2.06015512889091</v>
      </c>
      <c r="U14" s="119">
        <f aca="true" t="shared" si="16" ref="U14:U35">$E$10+I14</f>
        <v>1.5030846994547509</v>
      </c>
      <c r="V14" s="119">
        <f aca="true" t="shared" si="17" ref="V14:V35">T14-I14</f>
        <v>2.057070429436159</v>
      </c>
      <c r="W14" s="125">
        <f aca="true" t="shared" si="18" ref="W14:W35">S14-T14</f>
        <v>3.93984487110909</v>
      </c>
      <c r="X14" s="126">
        <f aca="true" t="shared" si="19" ref="X14:X35">$J$9-U14-R14-P14</f>
        <v>-13.448918795105708</v>
      </c>
      <c r="Y14" s="124"/>
      <c r="Z14" s="119">
        <f aca="true" t="shared" si="20" ref="Z14:Z35">10*LOG10((1+10^(-($B$6/10)))/(1-10^(-($B$6/10))))</f>
        <v>1.0993211590790997</v>
      </c>
      <c r="AA14" s="119">
        <f aca="true" t="shared" si="21" ref="AA14:AA35">10*LOG10((1+10^(-($J$10/10)))/(1-10^(-($J$10/10))))</f>
        <v>1.0993211590790997</v>
      </c>
      <c r="AB14" s="182">
        <f aca="true" t="shared" si="22" ref="AB14:AB35">10^(-(H14+R14)/10)</f>
        <v>0.7839582902125742</v>
      </c>
      <c r="AC14" s="153"/>
      <c r="AD14" s="154"/>
      <c r="AE14" s="122"/>
      <c r="AF14" s="122"/>
    </row>
    <row r="15" spans="1:32" s="21" customFormat="1" ht="15" customHeight="1">
      <c r="A15" s="136">
        <f>$J$3</f>
        <v>0.4</v>
      </c>
      <c r="B15" s="103">
        <f t="shared" si="0"/>
        <v>-5.833412074304454</v>
      </c>
      <c r="C15" s="146">
        <f t="shared" si="1"/>
        <v>0.308</v>
      </c>
      <c r="D15" s="167">
        <f t="shared" si="2"/>
        <v>20007.575041526314</v>
      </c>
      <c r="E15" s="167">
        <f t="shared" si="3"/>
        <v>1000</v>
      </c>
      <c r="F15" s="116">
        <f aca="true" t="shared" si="23" ref="F15:F35">SQRT((1000*$J$5/D15)^2+(1000*$J$5/E15)^2+$P$4^2)</f>
        <v>621.8905581574382</v>
      </c>
      <c r="G15" s="116">
        <f t="shared" si="4"/>
        <v>713.616049655114</v>
      </c>
      <c r="H15" s="159">
        <f t="shared" si="5"/>
        <v>2.126762356428589</v>
      </c>
      <c r="I15" s="103">
        <f t="shared" si="6"/>
        <v>0.6169398909501528</v>
      </c>
      <c r="J15" s="103">
        <f t="shared" si="7"/>
        <v>-0.040704253140702196</v>
      </c>
      <c r="K15" s="103">
        <f t="shared" si="8"/>
        <v>0.0009364720986249252</v>
      </c>
      <c r="L15" s="103">
        <f t="shared" si="9"/>
        <v>9.43036566558045E-05</v>
      </c>
      <c r="M15" s="103">
        <f aca="true" t="shared" si="24" ref="M15:M35">$P$5*10^9*($J$5/G15)*10^($B$8/10)</f>
        <v>0.0004708414281915136</v>
      </c>
      <c r="N15" s="103">
        <f aca="true" t="shared" si="25" ref="N15:N35">10*LOG10(1/SQRT(1-($J$6^2)*M15))</f>
        <v>0.05122912367203248</v>
      </c>
      <c r="O15" s="103">
        <f t="shared" si="10"/>
        <v>2.251302137504241E-06</v>
      </c>
      <c r="P15" s="103">
        <f t="shared" si="11"/>
        <v>0</v>
      </c>
      <c r="Q15" s="103">
        <f t="shared" si="12"/>
        <v>1</v>
      </c>
      <c r="R15" s="107">
        <f t="shared" si="13"/>
        <v>0.4458340956509569</v>
      </c>
      <c r="S15" s="108">
        <f t="shared" si="14"/>
        <v>6</v>
      </c>
      <c r="T15" s="104">
        <f t="shared" si="15"/>
        <v>4.240862021660524</v>
      </c>
      <c r="U15" s="103">
        <f t="shared" si="16"/>
        <v>2.1169398909501527</v>
      </c>
      <c r="V15" s="103">
        <f t="shared" si="17"/>
        <v>3.6239221307103713</v>
      </c>
      <c r="W15" s="109">
        <f t="shared" si="18"/>
        <v>1.759137978339476</v>
      </c>
      <c r="X15" s="110">
        <f t="shared" si="19"/>
        <v>-14.06277398660111</v>
      </c>
      <c r="Y15" s="20"/>
      <c r="Z15" s="19">
        <f t="shared" si="20"/>
        <v>1.0993211590790997</v>
      </c>
      <c r="AA15" s="19">
        <f t="shared" si="21"/>
        <v>1.0993211590790997</v>
      </c>
      <c r="AB15" s="183">
        <f t="shared" si="22"/>
        <v>0.5530193848561412</v>
      </c>
      <c r="AC15" s="155">
        <f aca="true" t="shared" si="26" ref="AC15:AC35">$J$2</f>
        <v>0.55</v>
      </c>
      <c r="AD15" s="156">
        <v>0</v>
      </c>
      <c r="AE15" s="156">
        <f>IF(A15=$J$2,W15,0)</f>
        <v>0</v>
      </c>
      <c r="AF15" s="18"/>
    </row>
    <row r="16" spans="1:32" s="27" customFormat="1" ht="15" customHeight="1">
      <c r="A16" s="137">
        <f aca="true" t="shared" si="27" ref="A16:A35">A15+$J$4</f>
        <v>0.41000000000000003</v>
      </c>
      <c r="B16" s="51">
        <f t="shared" si="0"/>
        <v>-5.833412074304454</v>
      </c>
      <c r="C16" s="147">
        <f t="shared" si="1"/>
        <v>0.308</v>
      </c>
      <c r="D16" s="168">
        <f t="shared" si="2"/>
        <v>19519.585406367136</v>
      </c>
      <c r="E16" s="168">
        <f t="shared" si="3"/>
        <v>975.6097560975609</v>
      </c>
      <c r="F16" s="117">
        <f t="shared" si="23"/>
        <v>631.2218344204293</v>
      </c>
      <c r="G16" s="117">
        <f t="shared" si="4"/>
        <v>721.7624292307628</v>
      </c>
      <c r="H16" s="52">
        <f t="shared" si="5"/>
        <v>2.2089765793639025</v>
      </c>
      <c r="I16" s="51">
        <f t="shared" si="6"/>
        <v>0.6323633882239066</v>
      </c>
      <c r="J16" s="51">
        <f t="shared" si="7"/>
        <v>-0.04172185946921975</v>
      </c>
      <c r="K16" s="51">
        <f t="shared" si="8"/>
        <v>0.0009838397485077781</v>
      </c>
      <c r="L16" s="51">
        <f t="shared" si="9"/>
        <v>0.00010408509801930452</v>
      </c>
      <c r="M16" s="51">
        <f t="shared" si="24"/>
        <v>0.00046552714077691853</v>
      </c>
      <c r="N16" s="51">
        <f t="shared" si="25"/>
        <v>0.050644115707022</v>
      </c>
      <c r="O16" s="51">
        <f t="shared" si="10"/>
        <v>2.456111851768805E-06</v>
      </c>
      <c r="P16" s="51">
        <f t="shared" si="11"/>
        <v>0</v>
      </c>
      <c r="Q16" s="51">
        <f t="shared" si="12"/>
        <v>1</v>
      </c>
      <c r="R16" s="61">
        <f t="shared" si="13"/>
        <v>0.4458340956509569</v>
      </c>
      <c r="S16" s="54">
        <f t="shared" si="14"/>
        <v>6</v>
      </c>
      <c r="T16" s="55">
        <f t="shared" si="15"/>
        <v>4.337924720155659</v>
      </c>
      <c r="U16" s="51">
        <f t="shared" si="16"/>
        <v>2.1323633882239066</v>
      </c>
      <c r="V16" s="51">
        <f t="shared" si="17"/>
        <v>3.705561331931752</v>
      </c>
      <c r="W16" s="56">
        <f t="shared" si="18"/>
        <v>1.6620752798443412</v>
      </c>
      <c r="X16" s="105">
        <f t="shared" si="19"/>
        <v>-14.078197483874863</v>
      </c>
      <c r="Y16" s="26">
        <f aca="true" t="shared" si="28" ref="Y16:Y34">(W17-W15)/2</f>
        <v>-0.0981943859540868</v>
      </c>
      <c r="Z16" s="24">
        <f t="shared" si="20"/>
        <v>1.0993211590790997</v>
      </c>
      <c r="AA16" s="24">
        <f t="shared" si="21"/>
        <v>1.0993211590790997</v>
      </c>
      <c r="AB16" s="184">
        <f t="shared" si="22"/>
        <v>0.5426489068809965</v>
      </c>
      <c r="AC16" s="155">
        <f t="shared" si="26"/>
        <v>0.55</v>
      </c>
      <c r="AD16" s="157">
        <f aca="true" t="shared" si="29" ref="AD16:AD34">AD17</f>
        <v>7.9</v>
      </c>
      <c r="AE16" s="156">
        <f aca="true" t="shared" si="30" ref="AE16:AE35">IF(A16=$J$2,W16,0)</f>
        <v>0</v>
      </c>
      <c r="AF16" s="23"/>
    </row>
    <row r="17" spans="1:32" s="27" customFormat="1" ht="15" customHeight="1">
      <c r="A17" s="137">
        <f t="shared" si="27"/>
        <v>0.42000000000000004</v>
      </c>
      <c r="B17" s="51">
        <f t="shared" si="0"/>
        <v>-5.833412074304454</v>
      </c>
      <c r="C17" s="147">
        <f t="shared" si="1"/>
        <v>0.308</v>
      </c>
      <c r="D17" s="168">
        <f t="shared" si="2"/>
        <v>19054.833372882204</v>
      </c>
      <c r="E17" s="168">
        <f t="shared" si="3"/>
        <v>952.3809523809523</v>
      </c>
      <c r="F17" s="117">
        <f t="shared" si="23"/>
        <v>640.6425381035203</v>
      </c>
      <c r="G17" s="117">
        <f t="shared" si="4"/>
        <v>730.0156584811866</v>
      </c>
      <c r="H17" s="52">
        <f t="shared" si="5"/>
        <v>2.2934476271589883</v>
      </c>
      <c r="I17" s="51">
        <f t="shared" si="6"/>
        <v>0.6477868854976605</v>
      </c>
      <c r="J17" s="51">
        <f t="shared" si="7"/>
        <v>-0.04273946579773731</v>
      </c>
      <c r="K17" s="51">
        <f t="shared" si="8"/>
        <v>0.0010323728487342074</v>
      </c>
      <c r="L17" s="51">
        <f t="shared" si="9"/>
        <v>0.00011460776061517316</v>
      </c>
      <c r="M17" s="51">
        <f t="shared" si="24"/>
        <v>0.0004602640999496576</v>
      </c>
      <c r="N17" s="51">
        <f t="shared" si="25"/>
        <v>0.050064904365186416</v>
      </c>
      <c r="O17" s="51">
        <f t="shared" si="10"/>
        <v>2.673135289954498E-06</v>
      </c>
      <c r="P17" s="51">
        <f t="shared" si="11"/>
        <v>0</v>
      </c>
      <c r="Q17" s="51">
        <f t="shared" si="12"/>
        <v>1</v>
      </c>
      <c r="R17" s="61">
        <f t="shared" si="13"/>
        <v>0.4458340956509569</v>
      </c>
      <c r="S17" s="54">
        <f t="shared" si="14"/>
        <v>6</v>
      </c>
      <c r="T17" s="55">
        <f t="shared" si="15"/>
        <v>4.437250793568698</v>
      </c>
      <c r="U17" s="51">
        <f t="shared" si="16"/>
        <v>2.1477868854976605</v>
      </c>
      <c r="V17" s="51">
        <f t="shared" si="17"/>
        <v>3.789463908071037</v>
      </c>
      <c r="W17" s="56">
        <f t="shared" si="18"/>
        <v>1.5627492064313024</v>
      </c>
      <c r="X17" s="105">
        <f t="shared" si="19"/>
        <v>-14.093620981148618</v>
      </c>
      <c r="Y17" s="26">
        <f t="shared" si="28"/>
        <v>-0.1004570081894105</v>
      </c>
      <c r="Z17" s="24">
        <f t="shared" si="20"/>
        <v>1.0993211590790997</v>
      </c>
      <c r="AA17" s="24">
        <f t="shared" si="21"/>
        <v>1.0993211590790997</v>
      </c>
      <c r="AB17" s="184">
        <f t="shared" si="22"/>
        <v>0.5321962716291344</v>
      </c>
      <c r="AC17" s="155">
        <f t="shared" si="26"/>
        <v>0.55</v>
      </c>
      <c r="AD17" s="157">
        <f t="shared" si="29"/>
        <v>7.9</v>
      </c>
      <c r="AE17" s="156">
        <f t="shared" si="30"/>
        <v>0</v>
      </c>
      <c r="AF17" s="23"/>
    </row>
    <row r="18" spans="1:31" s="27" customFormat="1" ht="15" customHeight="1">
      <c r="A18" s="137">
        <f t="shared" si="27"/>
        <v>0.43000000000000005</v>
      </c>
      <c r="B18" s="51">
        <f t="shared" si="0"/>
        <v>-5.833412074304454</v>
      </c>
      <c r="C18" s="147">
        <f t="shared" si="1"/>
        <v>0.308</v>
      </c>
      <c r="D18" s="168">
        <f t="shared" si="2"/>
        <v>18611.697713047735</v>
      </c>
      <c r="E18" s="168">
        <f t="shared" si="3"/>
        <v>930.2325581395348</v>
      </c>
      <c r="F18" s="117">
        <f t="shared" si="23"/>
        <v>650.1487817886424</v>
      </c>
      <c r="G18" s="117">
        <f t="shared" si="4"/>
        <v>738.372154446019</v>
      </c>
      <c r="H18" s="52">
        <f t="shared" si="5"/>
        <v>2.3801736570441236</v>
      </c>
      <c r="I18" s="51">
        <f t="shared" si="6"/>
        <v>0.6632103827714143</v>
      </c>
      <c r="J18" s="51">
        <f t="shared" si="7"/>
        <v>-0.04375707212625487</v>
      </c>
      <c r="K18" s="51">
        <f t="shared" si="8"/>
        <v>0.0010820710981202849</v>
      </c>
      <c r="L18" s="51">
        <f t="shared" si="9"/>
        <v>0.00012590808048578702</v>
      </c>
      <c r="M18" s="51">
        <f t="shared" si="24"/>
        <v>0.0004550550802556901</v>
      </c>
      <c r="N18" s="51">
        <f t="shared" si="25"/>
        <v>0.049491790275746086</v>
      </c>
      <c r="O18" s="51">
        <f t="shared" si="10"/>
        <v>2.9027117532873237E-06</v>
      </c>
      <c r="P18" s="51">
        <f t="shared" si="11"/>
        <v>0</v>
      </c>
      <c r="Q18" s="51">
        <f t="shared" si="12"/>
        <v>1</v>
      </c>
      <c r="R18" s="61">
        <f t="shared" si="13"/>
        <v>0.4458340956509569</v>
      </c>
      <c r="S18" s="54">
        <f t="shared" si="14"/>
        <v>6</v>
      </c>
      <c r="T18" s="55">
        <f t="shared" si="15"/>
        <v>4.53883873653448</v>
      </c>
      <c r="U18" s="51">
        <f t="shared" si="16"/>
        <v>2.1632103827714144</v>
      </c>
      <c r="V18" s="51">
        <f t="shared" si="17"/>
        <v>3.8756283537630654</v>
      </c>
      <c r="W18" s="56">
        <f t="shared" si="18"/>
        <v>1.4611612634655202</v>
      </c>
      <c r="X18" s="105">
        <f t="shared" si="19"/>
        <v>-14.109044478422371</v>
      </c>
      <c r="Y18" s="26">
        <f t="shared" si="28"/>
        <v>-0.10271860150587031</v>
      </c>
      <c r="Z18" s="24">
        <f t="shared" si="20"/>
        <v>1.0993211590790997</v>
      </c>
      <c r="AA18" s="24">
        <f t="shared" si="21"/>
        <v>1.0993211590790997</v>
      </c>
      <c r="AB18" s="184">
        <f t="shared" si="22"/>
        <v>0.5216740390539163</v>
      </c>
      <c r="AC18" s="155">
        <f t="shared" si="26"/>
        <v>0.55</v>
      </c>
      <c r="AD18" s="157">
        <f t="shared" si="29"/>
        <v>7.9</v>
      </c>
      <c r="AE18" s="156">
        <f t="shared" si="30"/>
        <v>0</v>
      </c>
    </row>
    <row r="19" spans="1:31" s="27" customFormat="1" ht="15" customHeight="1">
      <c r="A19" s="137">
        <f t="shared" si="27"/>
        <v>0.44000000000000006</v>
      </c>
      <c r="B19" s="51">
        <f t="shared" si="0"/>
        <v>-5.833412074304454</v>
      </c>
      <c r="C19" s="147">
        <f t="shared" si="1"/>
        <v>0.308</v>
      </c>
      <c r="D19" s="168">
        <f t="shared" si="2"/>
        <v>18188.704583205737</v>
      </c>
      <c r="E19" s="168">
        <f t="shared" si="3"/>
        <v>909.090909090909</v>
      </c>
      <c r="F19" s="117">
        <f t="shared" si="23"/>
        <v>659.7368678114766</v>
      </c>
      <c r="G19" s="117">
        <f t="shared" si="4"/>
        <v>746.8284506830854</v>
      </c>
      <c r="H19" s="52">
        <f t="shared" si="5"/>
        <v>2.4691538158216937</v>
      </c>
      <c r="I19" s="51">
        <f t="shared" si="6"/>
        <v>0.6786338800451681</v>
      </c>
      <c r="J19" s="51">
        <f t="shared" si="7"/>
        <v>-0.04477467845477242</v>
      </c>
      <c r="K19" s="51">
        <f t="shared" si="8"/>
        <v>0.0011329341882695178</v>
      </c>
      <c r="L19" s="51">
        <f t="shared" si="9"/>
        <v>0.0001380233566938229</v>
      </c>
      <c r="M19" s="51">
        <f t="shared" si="24"/>
        <v>0.00044990251736215747</v>
      </c>
      <c r="N19" s="51">
        <f t="shared" si="25"/>
        <v>0.04892503652788566</v>
      </c>
      <c r="O19" s="51">
        <f t="shared" si="10"/>
        <v>3.145178039322405E-06</v>
      </c>
      <c r="P19" s="51">
        <f t="shared" si="11"/>
        <v>0</v>
      </c>
      <c r="Q19" s="51">
        <f t="shared" si="12"/>
        <v>1</v>
      </c>
      <c r="R19" s="61">
        <f t="shared" si="13"/>
        <v>0.4458340956509569</v>
      </c>
      <c r="S19" s="54">
        <f t="shared" si="14"/>
        <v>6</v>
      </c>
      <c r="T19" s="55">
        <f t="shared" si="15"/>
        <v>4.642687996580438</v>
      </c>
      <c r="U19" s="51">
        <f t="shared" si="16"/>
        <v>2.178633880045168</v>
      </c>
      <c r="V19" s="51">
        <f t="shared" si="17"/>
        <v>3.9640541165352703</v>
      </c>
      <c r="W19" s="56">
        <f t="shared" si="18"/>
        <v>1.3573120034195618</v>
      </c>
      <c r="X19" s="105">
        <f t="shared" si="19"/>
        <v>-14.124467975696126</v>
      </c>
      <c r="Y19" s="26">
        <f t="shared" si="28"/>
        <v>-0.104980255430835</v>
      </c>
      <c r="Z19" s="24">
        <f t="shared" si="20"/>
        <v>1.0993211590790997</v>
      </c>
      <c r="AA19" s="24">
        <f t="shared" si="21"/>
        <v>1.0993211590790997</v>
      </c>
      <c r="AB19" s="184">
        <f t="shared" si="22"/>
        <v>0.5110945016599477</v>
      </c>
      <c r="AC19" s="155">
        <f t="shared" si="26"/>
        <v>0.55</v>
      </c>
      <c r="AD19" s="157">
        <f t="shared" si="29"/>
        <v>7.9</v>
      </c>
      <c r="AE19" s="156">
        <f t="shared" si="30"/>
        <v>0</v>
      </c>
    </row>
    <row r="20" spans="1:31" s="21" customFormat="1" ht="15" customHeight="1">
      <c r="A20" s="136">
        <f t="shared" si="27"/>
        <v>0.45000000000000007</v>
      </c>
      <c r="B20" s="103">
        <f t="shared" si="0"/>
        <v>-5.833412074304454</v>
      </c>
      <c r="C20" s="146">
        <f t="shared" si="1"/>
        <v>0.308</v>
      </c>
      <c r="D20" s="167">
        <f t="shared" si="2"/>
        <v>17784.51114802339</v>
      </c>
      <c r="E20" s="167">
        <f t="shared" si="3"/>
        <v>888.8888888888888</v>
      </c>
      <c r="F20" s="116">
        <f t="shared" si="23"/>
        <v>669.4032794161128</v>
      </c>
      <c r="G20" s="116">
        <f t="shared" si="4"/>
        <v>755.3811954854624</v>
      </c>
      <c r="H20" s="106">
        <f t="shared" si="5"/>
        <v>2.5603885105439206</v>
      </c>
      <c r="I20" s="103">
        <f t="shared" si="6"/>
        <v>0.6940573773189219</v>
      </c>
      <c r="J20" s="103">
        <f t="shared" si="7"/>
        <v>-0.04579228478328998</v>
      </c>
      <c r="K20" s="103">
        <f t="shared" si="8"/>
        <v>0.0011849618035756737</v>
      </c>
      <c r="L20" s="103">
        <f t="shared" si="9"/>
        <v>0.0001509917503207299</v>
      </c>
      <c r="M20" s="103">
        <f t="shared" si="24"/>
        <v>0.000444808531120585</v>
      </c>
      <c r="N20" s="103">
        <f t="shared" si="25"/>
        <v>0.04836487126349976</v>
      </c>
      <c r="O20" s="103">
        <f t="shared" si="10"/>
        <v>3.400868529304657E-06</v>
      </c>
      <c r="P20" s="103">
        <f t="shared" si="11"/>
        <v>0</v>
      </c>
      <c r="Q20" s="103">
        <f t="shared" si="12"/>
        <v>1</v>
      </c>
      <c r="R20" s="107">
        <f t="shared" si="13"/>
        <v>0.4458340956509569</v>
      </c>
      <c r="S20" s="108">
        <f t="shared" si="14"/>
        <v>6</v>
      </c>
      <c r="T20" s="104">
        <f t="shared" si="15"/>
        <v>4.74879924739615</v>
      </c>
      <c r="U20" s="103">
        <f t="shared" si="16"/>
        <v>2.194057377318922</v>
      </c>
      <c r="V20" s="103">
        <f t="shared" si="17"/>
        <v>4.054741870077228</v>
      </c>
      <c r="W20" s="109">
        <f t="shared" si="18"/>
        <v>1.2512007526038502</v>
      </c>
      <c r="X20" s="110">
        <f t="shared" si="19"/>
        <v>-14.139891472969879</v>
      </c>
      <c r="Y20" s="28">
        <f t="shared" si="28"/>
        <v>-0.10724333284491383</v>
      </c>
      <c r="Z20" s="19">
        <f t="shared" si="20"/>
        <v>1.0993211590790997</v>
      </c>
      <c r="AA20" s="19">
        <f t="shared" si="21"/>
        <v>1.0993211590790997</v>
      </c>
      <c r="AB20" s="183">
        <f t="shared" si="22"/>
        <v>0.5004696427439599</v>
      </c>
      <c r="AC20" s="155">
        <f t="shared" si="26"/>
        <v>0.55</v>
      </c>
      <c r="AD20" s="157">
        <f t="shared" si="29"/>
        <v>7.9</v>
      </c>
      <c r="AE20" s="156">
        <f t="shared" si="30"/>
        <v>0</v>
      </c>
    </row>
    <row r="21" spans="1:31" s="27" customFormat="1" ht="15" customHeight="1">
      <c r="A21" s="137">
        <f t="shared" si="27"/>
        <v>0.4600000000000001</v>
      </c>
      <c r="B21" s="51">
        <f t="shared" si="0"/>
        <v>-5.833412074304454</v>
      </c>
      <c r="C21" s="147">
        <f t="shared" si="1"/>
        <v>0.308</v>
      </c>
      <c r="D21" s="168">
        <f t="shared" si="2"/>
        <v>17397.891340457663</v>
      </c>
      <c r="E21" s="168">
        <f t="shared" si="3"/>
        <v>869.5652173913043</v>
      </c>
      <c r="F21" s="117">
        <f t="shared" si="23"/>
        <v>679.1446721364321</v>
      </c>
      <c r="G21" s="117">
        <f t="shared" si="4"/>
        <v>764.0271498391282</v>
      </c>
      <c r="H21" s="52">
        <f t="shared" si="5"/>
        <v>2.6538796794455983</v>
      </c>
      <c r="I21" s="51">
        <f t="shared" si="6"/>
        <v>0.7094808745926758</v>
      </c>
      <c r="J21" s="51">
        <f t="shared" si="7"/>
        <v>-0.046809891111807535</v>
      </c>
      <c r="K21" s="51">
        <f t="shared" si="8"/>
        <v>0.0012381536212262988</v>
      </c>
      <c r="L21" s="51">
        <f t="shared" si="9"/>
        <v>0.0001648522834556536</v>
      </c>
      <c r="M21" s="51">
        <f t="shared" si="24"/>
        <v>0.00043977494788077537</v>
      </c>
      <c r="N21" s="51">
        <f t="shared" si="25"/>
        <v>0.04781149018230329</v>
      </c>
      <c r="O21" s="51">
        <f t="shared" si="10"/>
        <v>3.6701152762927403E-06</v>
      </c>
      <c r="P21" s="51">
        <f t="shared" si="11"/>
        <v>0</v>
      </c>
      <c r="Q21" s="51">
        <f t="shared" si="12"/>
        <v>1</v>
      </c>
      <c r="R21" s="61">
        <f t="shared" si="13"/>
        <v>0.4458340956509569</v>
      </c>
      <c r="S21" s="54">
        <f t="shared" si="14"/>
        <v>6</v>
      </c>
      <c r="T21" s="55">
        <f t="shared" si="15"/>
        <v>4.857174662270266</v>
      </c>
      <c r="U21" s="51">
        <f t="shared" si="16"/>
        <v>2.2094808745926757</v>
      </c>
      <c r="V21" s="51">
        <f t="shared" si="17"/>
        <v>4.14769378767759</v>
      </c>
      <c r="W21" s="56">
        <f t="shared" si="18"/>
        <v>1.1428253377297342</v>
      </c>
      <c r="X21" s="105">
        <f t="shared" si="19"/>
        <v>-14.155314970243632</v>
      </c>
      <c r="Y21" s="26">
        <f t="shared" si="28"/>
        <v>-0.10950947030305258</v>
      </c>
      <c r="Z21" s="24">
        <f t="shared" si="20"/>
        <v>1.0993211590790997</v>
      </c>
      <c r="AA21" s="24">
        <f t="shared" si="21"/>
        <v>1.0993211590790997</v>
      </c>
      <c r="AB21" s="184">
        <f t="shared" si="22"/>
        <v>0.48981109965769354</v>
      </c>
      <c r="AC21" s="155">
        <f t="shared" si="26"/>
        <v>0.55</v>
      </c>
      <c r="AD21" s="157">
        <f t="shared" si="29"/>
        <v>7.9</v>
      </c>
      <c r="AE21" s="156">
        <f t="shared" si="30"/>
        <v>0</v>
      </c>
    </row>
    <row r="22" spans="1:31" s="27" customFormat="1" ht="15" customHeight="1">
      <c r="A22" s="137">
        <f t="shared" si="27"/>
        <v>0.4700000000000001</v>
      </c>
      <c r="B22" s="51">
        <f t="shared" si="0"/>
        <v>-5.833412074304454</v>
      </c>
      <c r="C22" s="147">
        <f t="shared" si="1"/>
        <v>0.308</v>
      </c>
      <c r="D22" s="168">
        <f t="shared" si="2"/>
        <v>17027.72343959686</v>
      </c>
      <c r="E22" s="168">
        <f t="shared" si="3"/>
        <v>851.0638297872339</v>
      </c>
      <c r="F22" s="117">
        <f t="shared" si="23"/>
        <v>688.9578654347913</v>
      </c>
      <c r="G22" s="117">
        <f t="shared" si="4"/>
        <v>772.7631851637758</v>
      </c>
      <c r="H22" s="52">
        <f t="shared" si="5"/>
        <v>2.7496310634492866</v>
      </c>
      <c r="I22" s="51">
        <f t="shared" si="6"/>
        <v>0.7249043718664296</v>
      </c>
      <c r="J22" s="51">
        <f t="shared" si="7"/>
        <v>-0.047827497440325085</v>
      </c>
      <c r="K22" s="51">
        <f t="shared" si="8"/>
        <v>0.0012925093112061714</v>
      </c>
      <c r="L22" s="51">
        <f t="shared" si="9"/>
        <v>0.00017964483816683665</v>
      </c>
      <c r="M22" s="51">
        <f t="shared" si="24"/>
        <v>0.0004348033219631053</v>
      </c>
      <c r="N22" s="51">
        <f t="shared" si="25"/>
        <v>0.04726505894932147</v>
      </c>
      <c r="O22" s="51">
        <f t="shared" si="10"/>
        <v>3.953248093963024E-06</v>
      </c>
      <c r="P22" s="51">
        <f t="shared" si="11"/>
        <v>0</v>
      </c>
      <c r="Q22" s="51">
        <f t="shared" si="12"/>
        <v>1</v>
      </c>
      <c r="R22" s="61">
        <f t="shared" si="13"/>
        <v>0.4458340956509569</v>
      </c>
      <c r="S22" s="54">
        <f t="shared" si="14"/>
        <v>6</v>
      </c>
      <c r="T22" s="55">
        <f t="shared" si="15"/>
        <v>4.967818188002255</v>
      </c>
      <c r="U22" s="51">
        <f t="shared" si="16"/>
        <v>2.2249043718664296</v>
      </c>
      <c r="V22" s="51">
        <f t="shared" si="17"/>
        <v>4.242913816135825</v>
      </c>
      <c r="W22" s="56">
        <f t="shared" si="18"/>
        <v>1.032181811997745</v>
      </c>
      <c r="X22" s="105">
        <f t="shared" si="19"/>
        <v>-14.170738467517387</v>
      </c>
      <c r="Y22" s="26">
        <f t="shared" si="28"/>
        <v>-0.11178057882224302</v>
      </c>
      <c r="Z22" s="24">
        <f t="shared" si="20"/>
        <v>1.0993211590790997</v>
      </c>
      <c r="AA22" s="24">
        <f t="shared" si="21"/>
        <v>1.0993211590790997</v>
      </c>
      <c r="AB22" s="184">
        <f t="shared" si="22"/>
        <v>0.4791301320449893</v>
      </c>
      <c r="AC22" s="155">
        <f t="shared" si="26"/>
        <v>0.55</v>
      </c>
      <c r="AD22" s="157">
        <f t="shared" si="29"/>
        <v>7.9</v>
      </c>
      <c r="AE22" s="156">
        <f t="shared" si="30"/>
        <v>0</v>
      </c>
    </row>
    <row r="23" spans="1:31" s="27" customFormat="1" ht="15" customHeight="1">
      <c r="A23" s="137">
        <f t="shared" si="27"/>
        <v>0.4800000000000001</v>
      </c>
      <c r="B23" s="51">
        <f t="shared" si="0"/>
        <v>-5.833412074304454</v>
      </c>
      <c r="C23" s="147">
        <f t="shared" si="1"/>
        <v>0.308</v>
      </c>
      <c r="D23" s="168">
        <f t="shared" si="2"/>
        <v>16672.979201271926</v>
      </c>
      <c r="E23" s="168">
        <f t="shared" si="3"/>
        <v>833.3333333333331</v>
      </c>
      <c r="F23" s="117">
        <f t="shared" si="23"/>
        <v>698.8398346205895</v>
      </c>
      <c r="G23" s="117">
        <f t="shared" si="4"/>
        <v>781.5862808753318</v>
      </c>
      <c r="H23" s="52">
        <f t="shared" si="5"/>
        <v>2.8476484788759633</v>
      </c>
      <c r="I23" s="51">
        <f t="shared" si="6"/>
        <v>0.7403278691401834</v>
      </c>
      <c r="J23" s="51">
        <f t="shared" si="7"/>
        <v>-0.04884510376884264</v>
      </c>
      <c r="K23" s="51">
        <f t="shared" si="8"/>
        <v>0.001348028536300505</v>
      </c>
      <c r="L23" s="51">
        <f t="shared" si="9"/>
        <v>0.00019541015545908766</v>
      </c>
      <c r="M23" s="51">
        <f t="shared" si="24"/>
        <v>0.0004298949562212112</v>
      </c>
      <c r="N23" s="51">
        <f t="shared" si="25"/>
        <v>0.046725715497537644</v>
      </c>
      <c r="O23" s="51">
        <f t="shared" si="10"/>
        <v>4.250594651672435E-06</v>
      </c>
      <c r="P23" s="51">
        <f t="shared" si="11"/>
        <v>0</v>
      </c>
      <c r="Q23" s="51">
        <f t="shared" si="12"/>
        <v>1</v>
      </c>
      <c r="R23" s="61">
        <f t="shared" si="13"/>
        <v>0.4458340956509569</v>
      </c>
      <c r="S23" s="54">
        <f t="shared" si="14"/>
        <v>6</v>
      </c>
      <c r="T23" s="55">
        <f t="shared" si="15"/>
        <v>5.080735819914752</v>
      </c>
      <c r="U23" s="51">
        <f t="shared" si="16"/>
        <v>2.2403278691401836</v>
      </c>
      <c r="V23" s="51">
        <f t="shared" si="17"/>
        <v>4.340407950774568</v>
      </c>
      <c r="W23" s="56">
        <f t="shared" si="18"/>
        <v>0.9192641800852481</v>
      </c>
      <c r="X23" s="105">
        <f t="shared" si="19"/>
        <v>-14.186161964791141</v>
      </c>
      <c r="Y23" s="26">
        <f t="shared" si="28"/>
        <v>-0.1140588454505651</v>
      </c>
      <c r="Z23" s="24">
        <f t="shared" si="20"/>
        <v>1.0993211590790997</v>
      </c>
      <c r="AA23" s="24">
        <f t="shared" si="21"/>
        <v>1.0993211590790997</v>
      </c>
      <c r="AB23" s="184">
        <f t="shared" si="22"/>
        <v>0.46843759493874665</v>
      </c>
      <c r="AC23" s="155">
        <f t="shared" si="26"/>
        <v>0.55</v>
      </c>
      <c r="AD23" s="157">
        <f t="shared" si="29"/>
        <v>7.9</v>
      </c>
      <c r="AE23" s="156">
        <f t="shared" si="30"/>
        <v>0</v>
      </c>
    </row>
    <row r="24" spans="1:31" s="27" customFormat="1" ht="15" customHeight="1">
      <c r="A24" s="137">
        <f t="shared" si="27"/>
        <v>0.4900000000000001</v>
      </c>
      <c r="B24" s="51">
        <f t="shared" si="0"/>
        <v>-5.833412074304454</v>
      </c>
      <c r="C24" s="147">
        <f t="shared" si="1"/>
        <v>0.308</v>
      </c>
      <c r="D24" s="168">
        <f t="shared" si="2"/>
        <v>16332.714319613315</v>
      </c>
      <c r="E24" s="168">
        <f t="shared" si="3"/>
        <v>816.3265306122447</v>
      </c>
      <c r="F24" s="117">
        <f t="shared" si="23"/>
        <v>708.7877030645413</v>
      </c>
      <c r="G24" s="117">
        <f t="shared" si="4"/>
        <v>790.4935218048965</v>
      </c>
      <c r="H24" s="52">
        <f t="shared" si="5"/>
        <v>2.9479400923029315</v>
      </c>
      <c r="I24" s="51">
        <f t="shared" si="6"/>
        <v>0.7557513664139373</v>
      </c>
      <c r="J24" s="51">
        <f t="shared" si="7"/>
        <v>-0.0498627100973602</v>
      </c>
      <c r="K24" s="51">
        <f t="shared" si="8"/>
        <v>0.0014047109520983396</v>
      </c>
      <c r="L24" s="51">
        <f t="shared" si="9"/>
        <v>0.00021218983421800945</v>
      </c>
      <c r="M24" s="51">
        <f t="shared" si="24"/>
        <v>0.00042505092164807004</v>
      </c>
      <c r="N24" s="51">
        <f t="shared" si="25"/>
        <v>0.046193572220774935</v>
      </c>
      <c r="O24" s="51">
        <f t="shared" si="10"/>
        <v>4.562480566391858E-06</v>
      </c>
      <c r="P24" s="51">
        <f t="shared" si="11"/>
        <v>0</v>
      </c>
      <c r="Q24" s="51">
        <f t="shared" si="12"/>
        <v>1</v>
      </c>
      <c r="R24" s="61">
        <f t="shared" si="13"/>
        <v>0.4458340956509569</v>
      </c>
      <c r="S24" s="54">
        <f t="shared" si="14"/>
        <v>6</v>
      </c>
      <c r="T24" s="55">
        <f t="shared" si="15"/>
        <v>5.195935878903385</v>
      </c>
      <c r="U24" s="51">
        <f t="shared" si="16"/>
        <v>2.2557513664139375</v>
      </c>
      <c r="V24" s="51">
        <f t="shared" si="17"/>
        <v>4.440184512489448</v>
      </c>
      <c r="W24" s="56">
        <f t="shared" si="18"/>
        <v>0.8040641210966148</v>
      </c>
      <c r="X24" s="105">
        <f t="shared" si="19"/>
        <v>-14.201585462064894</v>
      </c>
      <c r="Y24" s="26">
        <f t="shared" si="28"/>
        <v>-0.11634673592635192</v>
      </c>
      <c r="Z24" s="24">
        <f t="shared" si="20"/>
        <v>1.0993211590790997</v>
      </c>
      <c r="AA24" s="24">
        <f t="shared" si="21"/>
        <v>1.0993211590790997</v>
      </c>
      <c r="AB24" s="184">
        <f t="shared" si="22"/>
        <v>0.4577439165477114</v>
      </c>
      <c r="AC24" s="155">
        <f t="shared" si="26"/>
        <v>0.55</v>
      </c>
      <c r="AD24" s="157">
        <f t="shared" si="29"/>
        <v>7.9</v>
      </c>
      <c r="AE24" s="156">
        <f t="shared" si="30"/>
        <v>0</v>
      </c>
    </row>
    <row r="25" spans="1:31" s="21" customFormat="1" ht="15" customHeight="1">
      <c r="A25" s="136">
        <f t="shared" si="27"/>
        <v>0.5000000000000001</v>
      </c>
      <c r="B25" s="103">
        <f t="shared" si="0"/>
        <v>-5.833412074304454</v>
      </c>
      <c r="C25" s="146">
        <f t="shared" si="1"/>
        <v>0.308</v>
      </c>
      <c r="D25" s="167">
        <f t="shared" si="2"/>
        <v>16006.06003322105</v>
      </c>
      <c r="E25" s="167">
        <f t="shared" si="3"/>
        <v>799.9999999999998</v>
      </c>
      <c r="F25" s="116">
        <f t="shared" si="23"/>
        <v>718.7987347188299</v>
      </c>
      <c r="G25" s="116">
        <f t="shared" si="4"/>
        <v>799.4820955052031</v>
      </c>
      <c r="H25" s="106">
        <f t="shared" si="5"/>
        <v>3.0505166988152514</v>
      </c>
      <c r="I25" s="103">
        <f t="shared" si="6"/>
        <v>0.7711748636876912</v>
      </c>
      <c r="J25" s="103">
        <f t="shared" si="7"/>
        <v>-0.05088031642587776</v>
      </c>
      <c r="K25" s="103">
        <f t="shared" si="8"/>
        <v>0.0014625562069964359</v>
      </c>
      <c r="L25" s="103">
        <f t="shared" si="9"/>
        <v>0.0002300263301416758</v>
      </c>
      <c r="M25" s="103">
        <f t="shared" si="24"/>
        <v>0.00042027207599649525</v>
      </c>
      <c r="N25" s="103">
        <f t="shared" si="25"/>
        <v>0.045668718053916944</v>
      </c>
      <c r="O25" s="103">
        <f t="shared" si="10"/>
        <v>4.889229498206138E-06</v>
      </c>
      <c r="P25" s="103">
        <f t="shared" si="11"/>
        <v>0</v>
      </c>
      <c r="Q25" s="103">
        <f t="shared" si="12"/>
        <v>1</v>
      </c>
      <c r="R25" s="107">
        <f t="shared" si="13"/>
        <v>0.4458340956509569</v>
      </c>
      <c r="S25" s="108">
        <f t="shared" si="14"/>
        <v>6</v>
      </c>
      <c r="T25" s="104">
        <f t="shared" si="15"/>
        <v>5.313429291767456</v>
      </c>
      <c r="U25" s="103">
        <f t="shared" si="16"/>
        <v>2.2711748636876914</v>
      </c>
      <c r="V25" s="103">
        <f t="shared" si="17"/>
        <v>4.542254428079764</v>
      </c>
      <c r="W25" s="109">
        <f t="shared" si="18"/>
        <v>0.6865707082325443</v>
      </c>
      <c r="X25" s="110">
        <f t="shared" si="19"/>
        <v>-14.217008959338648</v>
      </c>
      <c r="Y25" s="28">
        <f t="shared" si="28"/>
        <v>-0.1186469987336527</v>
      </c>
      <c r="Z25" s="19">
        <f t="shared" si="20"/>
        <v>1.0993211590790997</v>
      </c>
      <c r="AA25" s="19">
        <f t="shared" si="21"/>
        <v>1.0993211590790997</v>
      </c>
      <c r="AB25" s="183">
        <f t="shared" si="22"/>
        <v>0.4470590805178315</v>
      </c>
      <c r="AC25" s="155">
        <f t="shared" si="26"/>
        <v>0.55</v>
      </c>
      <c r="AD25" s="157">
        <f t="shared" si="29"/>
        <v>7.9</v>
      </c>
      <c r="AE25" s="156">
        <f t="shared" si="30"/>
        <v>0</v>
      </c>
    </row>
    <row r="26" spans="1:31" s="27" customFormat="1" ht="15" customHeight="1">
      <c r="A26" s="137">
        <f t="shared" si="27"/>
        <v>0.5100000000000001</v>
      </c>
      <c r="B26" s="51">
        <f t="shared" si="0"/>
        <v>-5.833412074304454</v>
      </c>
      <c r="C26" s="147">
        <f t="shared" si="1"/>
        <v>0.308</v>
      </c>
      <c r="D26" s="168">
        <f t="shared" si="2"/>
        <v>15692.215718844165</v>
      </c>
      <c r="E26" s="168">
        <f t="shared" si="3"/>
        <v>784.3137254901959</v>
      </c>
      <c r="F26" s="117">
        <f t="shared" si="23"/>
        <v>728.8703269486142</v>
      </c>
      <c r="G26" s="117">
        <f t="shared" si="4"/>
        <v>808.5492894723114</v>
      </c>
      <c r="H26" s="52">
        <f t="shared" si="5"/>
        <v>3.1553920052011444</v>
      </c>
      <c r="I26" s="51">
        <f t="shared" si="6"/>
        <v>0.786598360961445</v>
      </c>
      <c r="J26" s="51">
        <f t="shared" si="7"/>
        <v>-0.05189792275439531</v>
      </c>
      <c r="K26" s="51">
        <f t="shared" si="8"/>
        <v>0.0015215639422026662</v>
      </c>
      <c r="L26" s="51">
        <f t="shared" si="9"/>
        <v>0.0002489629546575443</v>
      </c>
      <c r="M26" s="51">
        <f t="shared" si="24"/>
        <v>0.00041555908140032596</v>
      </c>
      <c r="N26" s="51">
        <f t="shared" si="25"/>
        <v>0.04515122043924294</v>
      </c>
      <c r="O26" s="51">
        <f t="shared" si="10"/>
        <v>5.231163244467929E-06</v>
      </c>
      <c r="P26" s="51">
        <f t="shared" si="11"/>
        <v>0</v>
      </c>
      <c r="Q26" s="51">
        <f t="shared" si="12"/>
        <v>1</v>
      </c>
      <c r="R26" s="61">
        <f t="shared" si="13"/>
        <v>0.4458340956509569</v>
      </c>
      <c r="S26" s="54">
        <f t="shared" si="14"/>
        <v>6</v>
      </c>
      <c r="T26" s="55">
        <f t="shared" si="15"/>
        <v>5.4332298763706905</v>
      </c>
      <c r="U26" s="51">
        <f t="shared" si="16"/>
        <v>2.286598360961445</v>
      </c>
      <c r="V26" s="51">
        <f t="shared" si="17"/>
        <v>4.646631515409245</v>
      </c>
      <c r="W26" s="56">
        <f t="shared" si="18"/>
        <v>0.5667701236293095</v>
      </c>
      <c r="X26" s="105">
        <f t="shared" si="19"/>
        <v>-14.232432456612402</v>
      </c>
      <c r="Y26" s="26">
        <f t="shared" si="28"/>
        <v>-0.1209626708617475</v>
      </c>
      <c r="Z26" s="24">
        <f t="shared" si="20"/>
        <v>1.0993211590790997</v>
      </c>
      <c r="AA26" s="24">
        <f t="shared" si="21"/>
        <v>1.0993211590790997</v>
      </c>
      <c r="AB26" s="184">
        <f t="shared" si="22"/>
        <v>0.4363926124175237</v>
      </c>
      <c r="AC26" s="155">
        <f t="shared" si="26"/>
        <v>0.55</v>
      </c>
      <c r="AD26" s="157">
        <f t="shared" si="29"/>
        <v>7.9</v>
      </c>
      <c r="AE26" s="156">
        <f t="shared" si="30"/>
        <v>0</v>
      </c>
    </row>
    <row r="27" spans="1:31" s="27" customFormat="1" ht="15" customHeight="1">
      <c r="A27" s="137">
        <f t="shared" si="27"/>
        <v>0.5200000000000001</v>
      </c>
      <c r="B27" s="51">
        <f t="shared" si="0"/>
        <v>-5.833412074304454</v>
      </c>
      <c r="C27" s="147">
        <f t="shared" si="1"/>
        <v>0.308</v>
      </c>
      <c r="D27" s="168">
        <f t="shared" si="2"/>
        <v>15390.442339635623</v>
      </c>
      <c r="E27" s="168">
        <f t="shared" si="3"/>
        <v>769.230769230769</v>
      </c>
      <c r="F27" s="117">
        <f t="shared" si="23"/>
        <v>739.0000036765057</v>
      </c>
      <c r="G27" s="117">
        <f t="shared" si="4"/>
        <v>817.6924883071113</v>
      </c>
      <c r="H27" s="52">
        <f t="shared" si="5"/>
        <v>3.2625829199500593</v>
      </c>
      <c r="I27" s="51">
        <f t="shared" si="6"/>
        <v>0.8020218582351988</v>
      </c>
      <c r="J27" s="51">
        <f t="shared" si="7"/>
        <v>-0.05291552908291287</v>
      </c>
      <c r="K27" s="51">
        <f t="shared" si="8"/>
        <v>0.0015817337917398463</v>
      </c>
      <c r="L27" s="51">
        <f t="shared" si="9"/>
        <v>0.000269043873833961</v>
      </c>
      <c r="M27" s="51">
        <f t="shared" si="24"/>
        <v>0.0004109124209953659</v>
      </c>
      <c r="N27" s="51">
        <f t="shared" si="25"/>
        <v>0.04464112717908378</v>
      </c>
      <c r="O27" s="51">
        <f t="shared" si="10"/>
        <v>5.588601818859451E-06</v>
      </c>
      <c r="P27" s="51">
        <f t="shared" si="11"/>
        <v>0</v>
      </c>
      <c r="Q27" s="51">
        <f t="shared" si="12"/>
        <v>1</v>
      </c>
      <c r="R27" s="61">
        <f t="shared" si="13"/>
        <v>0.4458340956509569</v>
      </c>
      <c r="S27" s="54">
        <f t="shared" si="14"/>
        <v>6</v>
      </c>
      <c r="T27" s="55">
        <f t="shared" si="15"/>
        <v>5.555354633490951</v>
      </c>
      <c r="U27" s="51">
        <f t="shared" si="16"/>
        <v>2.302021858235199</v>
      </c>
      <c r="V27" s="51">
        <f t="shared" si="17"/>
        <v>4.7533327752557515</v>
      </c>
      <c r="W27" s="56">
        <f t="shared" si="18"/>
        <v>0.4446453665090493</v>
      </c>
      <c r="X27" s="105">
        <f t="shared" si="19"/>
        <v>-14.247855953886155</v>
      </c>
      <c r="Y27" s="26">
        <f t="shared" si="28"/>
        <v>-0.12329708558317254</v>
      </c>
      <c r="Z27" s="24">
        <f t="shared" si="20"/>
        <v>1.0993211590790997</v>
      </c>
      <c r="AA27" s="24">
        <f t="shared" si="21"/>
        <v>1.0993211590790997</v>
      </c>
      <c r="AB27" s="184">
        <f t="shared" si="22"/>
        <v>0.4257535701699074</v>
      </c>
      <c r="AC27" s="155">
        <f t="shared" si="26"/>
        <v>0.55</v>
      </c>
      <c r="AD27" s="157">
        <f t="shared" si="29"/>
        <v>7.9</v>
      </c>
      <c r="AE27" s="156">
        <f t="shared" si="30"/>
        <v>0</v>
      </c>
    </row>
    <row r="28" spans="1:31" s="27" customFormat="1" ht="15" customHeight="1">
      <c r="A28" s="137">
        <f t="shared" si="27"/>
        <v>0.5300000000000001</v>
      </c>
      <c r="B28" s="51">
        <f t="shared" si="0"/>
        <v>-5.833412074304454</v>
      </c>
      <c r="C28" s="147">
        <f t="shared" si="1"/>
        <v>0.308</v>
      </c>
      <c r="D28" s="168">
        <f t="shared" si="2"/>
        <v>15100.056635114197</v>
      </c>
      <c r="E28" s="168">
        <f t="shared" si="3"/>
        <v>754.7169811320753</v>
      </c>
      <c r="F28" s="117">
        <f t="shared" si="23"/>
        <v>749.1854088384783</v>
      </c>
      <c r="G28" s="117">
        <f t="shared" si="4"/>
        <v>826.9091708382958</v>
      </c>
      <c r="H28" s="52">
        <f t="shared" si="5"/>
        <v>3.3721098522301767</v>
      </c>
      <c r="I28" s="51">
        <f t="shared" si="6"/>
        <v>0.8174453555089526</v>
      </c>
      <c r="J28" s="51">
        <f t="shared" si="7"/>
        <v>-0.053933135411430425</v>
      </c>
      <c r="K28" s="51">
        <f t="shared" si="8"/>
        <v>0.0016430653824493766</v>
      </c>
      <c r="L28" s="51">
        <f t="shared" si="9"/>
        <v>0.00029031410726957133</v>
      </c>
      <c r="M28" s="51">
        <f t="shared" si="24"/>
        <v>0.00040633241454968166</v>
      </c>
      <c r="N28" s="51">
        <f t="shared" si="25"/>
        <v>0.044138468176123165</v>
      </c>
      <c r="O28" s="51">
        <f t="shared" si="10"/>
        <v>5.96186355666245E-06</v>
      </c>
      <c r="P28" s="51">
        <f t="shared" si="11"/>
        <v>0</v>
      </c>
      <c r="Q28" s="51">
        <f t="shared" si="12"/>
        <v>1</v>
      </c>
      <c r="R28" s="61">
        <f t="shared" si="13"/>
        <v>0.4458340956509569</v>
      </c>
      <c r="S28" s="54">
        <f t="shared" si="14"/>
        <v>6</v>
      </c>
      <c r="T28" s="55">
        <f t="shared" si="15"/>
        <v>5.679824047537036</v>
      </c>
      <c r="U28" s="51">
        <f t="shared" si="16"/>
        <v>2.3174453555089527</v>
      </c>
      <c r="V28" s="51">
        <f t="shared" si="17"/>
        <v>4.862378692028083</v>
      </c>
      <c r="W28" s="56">
        <f t="shared" si="18"/>
        <v>0.3201759524629644</v>
      </c>
      <c r="X28" s="105">
        <f t="shared" si="19"/>
        <v>-14.26327945115991</v>
      </c>
      <c r="Y28" s="26">
        <f t="shared" si="28"/>
        <v>-0.1256538825776614</v>
      </c>
      <c r="Z28" s="24">
        <f t="shared" si="20"/>
        <v>1.0993211590790997</v>
      </c>
      <c r="AA28" s="24">
        <f t="shared" si="21"/>
        <v>1.0993211590790997</v>
      </c>
      <c r="AB28" s="184">
        <f t="shared" si="22"/>
        <v>0.4151505381370018</v>
      </c>
      <c r="AC28" s="155">
        <f t="shared" si="26"/>
        <v>0.55</v>
      </c>
      <c r="AD28" s="157">
        <f t="shared" si="29"/>
        <v>7.9</v>
      </c>
      <c r="AE28" s="156">
        <f t="shared" si="30"/>
        <v>0</v>
      </c>
    </row>
    <row r="29" spans="1:31" s="27" customFormat="1" ht="15" customHeight="1">
      <c r="A29" s="137">
        <f t="shared" si="27"/>
        <v>0.5400000000000001</v>
      </c>
      <c r="B29" s="51">
        <f t="shared" si="0"/>
        <v>-5.833412074304454</v>
      </c>
      <c r="C29" s="147">
        <f t="shared" si="1"/>
        <v>0.308</v>
      </c>
      <c r="D29" s="168">
        <f t="shared" si="2"/>
        <v>14820.425956686156</v>
      </c>
      <c r="E29" s="168">
        <f t="shared" si="3"/>
        <v>740.7407407407405</v>
      </c>
      <c r="F29" s="117">
        <f t="shared" si="23"/>
        <v>759.424300147149</v>
      </c>
      <c r="G29" s="117">
        <f t="shared" si="4"/>
        <v>836.1969072257963</v>
      </c>
      <c r="H29" s="52">
        <f t="shared" si="5"/>
        <v>3.4839970223567778</v>
      </c>
      <c r="I29" s="51">
        <f t="shared" si="6"/>
        <v>0.8328688527827065</v>
      </c>
      <c r="J29" s="51">
        <f t="shared" si="7"/>
        <v>-0.05495074173994798</v>
      </c>
      <c r="K29" s="51">
        <f t="shared" si="8"/>
        <v>0.0017055583339951374</v>
      </c>
      <c r="L29" s="51">
        <f t="shared" si="9"/>
        <v>0.00031281952698540983</v>
      </c>
      <c r="M29" s="51">
        <f t="shared" si="24"/>
        <v>0.0004018192331214527</v>
      </c>
      <c r="N29" s="51">
        <f t="shared" si="25"/>
        <v>0.04364325706366065</v>
      </c>
      <c r="O29" s="51">
        <f t="shared" si="10"/>
        <v>6.351265186957389E-06</v>
      </c>
      <c r="P29" s="51">
        <f t="shared" si="11"/>
        <v>0</v>
      </c>
      <c r="Q29" s="51">
        <f t="shared" si="12"/>
        <v>1</v>
      </c>
      <c r="R29" s="61">
        <f t="shared" si="13"/>
        <v>0.4458340956509569</v>
      </c>
      <c r="S29" s="54">
        <f t="shared" si="14"/>
        <v>6</v>
      </c>
      <c r="T29" s="55">
        <f t="shared" si="15"/>
        <v>5.8066623986462735</v>
      </c>
      <c r="U29" s="51">
        <f t="shared" si="16"/>
        <v>2.3328688527827066</v>
      </c>
      <c r="V29" s="51">
        <f t="shared" si="17"/>
        <v>4.973793545863567</v>
      </c>
      <c r="W29" s="56">
        <f t="shared" si="18"/>
        <v>0.19333760135372646</v>
      </c>
      <c r="X29" s="105">
        <f t="shared" si="19"/>
        <v>-14.278702948433663</v>
      </c>
      <c r="Y29" s="26">
        <f t="shared" si="28"/>
        <v>-0.128037020749717</v>
      </c>
      <c r="Z29" s="24">
        <f t="shared" si="20"/>
        <v>1.0993211590790997</v>
      </c>
      <c r="AA29" s="24">
        <f t="shared" si="21"/>
        <v>1.0993211590790997</v>
      </c>
      <c r="AB29" s="184">
        <f t="shared" si="22"/>
        <v>0.40459162455013786</v>
      </c>
      <c r="AC29" s="155">
        <f t="shared" si="26"/>
        <v>0.55</v>
      </c>
      <c r="AD29" s="157">
        <f t="shared" si="29"/>
        <v>7.9</v>
      </c>
      <c r="AE29" s="156">
        <f t="shared" si="30"/>
        <v>0</v>
      </c>
    </row>
    <row r="30" spans="1:31" s="21" customFormat="1" ht="15" customHeight="1">
      <c r="A30" s="136">
        <f t="shared" si="27"/>
        <v>0.5500000000000002</v>
      </c>
      <c r="B30" s="103">
        <f t="shared" si="0"/>
        <v>-5.833412074304454</v>
      </c>
      <c r="C30" s="146">
        <f t="shared" si="1"/>
        <v>0.308</v>
      </c>
      <c r="D30" s="167">
        <f t="shared" si="2"/>
        <v>14550.963666564588</v>
      </c>
      <c r="E30" s="167">
        <f t="shared" si="3"/>
        <v>727.272727272727</v>
      </c>
      <c r="F30" s="116">
        <f t="shared" si="23"/>
        <v>769.7145431563594</v>
      </c>
      <c r="G30" s="116">
        <f t="shared" si="4"/>
        <v>845.5533560612263</v>
      </c>
      <c r="H30" s="106">
        <f t="shared" si="5"/>
        <v>3.5982727866219815</v>
      </c>
      <c r="I30" s="103">
        <f t="shared" si="6"/>
        <v>0.8482923500564603</v>
      </c>
      <c r="J30" s="103">
        <f t="shared" si="7"/>
        <v>-0.05596834806846553</v>
      </c>
      <c r="K30" s="103">
        <f t="shared" si="8"/>
        <v>0.001769212258867696</v>
      </c>
      <c r="L30" s="103">
        <f t="shared" si="9"/>
        <v>0.0003366068562942946</v>
      </c>
      <c r="M30" s="103">
        <f t="shared" si="24"/>
        <v>0.00039737291276941057</v>
      </c>
      <c r="N30" s="103">
        <f t="shared" si="25"/>
        <v>0.043155492728857145</v>
      </c>
      <c r="O30" s="103">
        <f t="shared" si="10"/>
        <v>6.757121919949427E-06</v>
      </c>
      <c r="P30" s="103">
        <f t="shared" si="11"/>
        <v>0</v>
      </c>
      <c r="Q30" s="103">
        <f t="shared" si="12"/>
        <v>1</v>
      </c>
      <c r="R30" s="107">
        <f t="shared" si="13"/>
        <v>0.4458340956509569</v>
      </c>
      <c r="S30" s="108">
        <f t="shared" si="14"/>
        <v>6</v>
      </c>
      <c r="T30" s="104">
        <f t="shared" si="15"/>
        <v>5.93589808903647</v>
      </c>
      <c r="U30" s="103">
        <f t="shared" si="16"/>
        <v>2.34829235005646</v>
      </c>
      <c r="V30" s="103">
        <f t="shared" si="17"/>
        <v>5.08760573898001</v>
      </c>
      <c r="W30" s="109">
        <f t="shared" si="18"/>
        <v>0.06410191096353035</v>
      </c>
      <c r="X30" s="110">
        <f t="shared" si="19"/>
        <v>-14.294126445707418</v>
      </c>
      <c r="Y30" s="28">
        <f t="shared" si="28"/>
        <v>-0.13045079411630534</v>
      </c>
      <c r="Z30" s="19">
        <f t="shared" si="20"/>
        <v>1.0993211590790997</v>
      </c>
      <c r="AA30" s="19">
        <f t="shared" si="21"/>
        <v>1.0993211590790997</v>
      </c>
      <c r="AB30" s="183">
        <f t="shared" si="22"/>
        <v>0.39408446197646646</v>
      </c>
      <c r="AC30" s="155">
        <f t="shared" si="26"/>
        <v>0.55</v>
      </c>
      <c r="AD30" s="157">
        <f t="shared" si="29"/>
        <v>7.9</v>
      </c>
      <c r="AE30" s="156">
        <f t="shared" si="30"/>
        <v>0.06410191096353035</v>
      </c>
    </row>
    <row r="31" spans="1:31" s="27" customFormat="1" ht="15" customHeight="1">
      <c r="A31" s="137">
        <f t="shared" si="27"/>
        <v>0.5600000000000002</v>
      </c>
      <c r="B31" s="51">
        <f t="shared" si="0"/>
        <v>-5.833412074304454</v>
      </c>
      <c r="C31" s="147">
        <f t="shared" si="1"/>
        <v>0.308</v>
      </c>
      <c r="D31" s="168">
        <f t="shared" si="2"/>
        <v>14291.12502966165</v>
      </c>
      <c r="E31" s="168">
        <f t="shared" si="3"/>
        <v>714.2857142857141</v>
      </c>
      <c r="F31" s="117">
        <f t="shared" si="23"/>
        <v>780.0541056194277</v>
      </c>
      <c r="G31" s="117">
        <f t="shared" si="4"/>
        <v>854.9762614796537</v>
      </c>
      <c r="H31" s="52">
        <f t="shared" si="5"/>
        <v>3.714969979748952</v>
      </c>
      <c r="I31" s="51">
        <f t="shared" si="6"/>
        <v>0.8637158473302141</v>
      </c>
      <c r="J31" s="51">
        <f t="shared" si="7"/>
        <v>-0.05698595439698309</v>
      </c>
      <c r="K31" s="51">
        <f t="shared" si="8"/>
        <v>0.0018340267623878242</v>
      </c>
      <c r="L31" s="51">
        <f t="shared" si="9"/>
        <v>0.00036172366867421696</v>
      </c>
      <c r="M31" s="51">
        <f t="shared" si="24"/>
        <v>0.0003929933673462535</v>
      </c>
      <c r="N31" s="51">
        <f t="shared" si="25"/>
        <v>0.042675160732559655</v>
      </c>
      <c r="O31" s="51">
        <f t="shared" si="10"/>
        <v>7.17974752714734E-06</v>
      </c>
      <c r="P31" s="51">
        <f t="shared" si="11"/>
        <v>0</v>
      </c>
      <c r="Q31" s="51">
        <f t="shared" si="12"/>
        <v>1</v>
      </c>
      <c r="R31" s="61">
        <f t="shared" si="13"/>
        <v>0.4458340956509569</v>
      </c>
      <c r="S31" s="54">
        <f t="shared" si="14"/>
        <v>6</v>
      </c>
      <c r="T31" s="55">
        <f t="shared" si="15"/>
        <v>6.067563986878884</v>
      </c>
      <c r="U31" s="51">
        <f t="shared" si="16"/>
        <v>2.363715847330214</v>
      </c>
      <c r="V31" s="51">
        <f t="shared" si="17"/>
        <v>5.20384813954867</v>
      </c>
      <c r="W31" s="56">
        <f t="shared" si="18"/>
        <v>-0.06756398687888421</v>
      </c>
      <c r="X31" s="105">
        <f t="shared" si="19"/>
        <v>-14.309549942981171</v>
      </c>
      <c r="Y31" s="26">
        <f t="shared" si="28"/>
        <v>-0.1328998511799413</v>
      </c>
      <c r="Z31" s="24">
        <f t="shared" si="20"/>
        <v>1.0993211590790997</v>
      </c>
      <c r="AA31" s="24">
        <f t="shared" si="21"/>
        <v>1.0993211590790997</v>
      </c>
      <c r="AB31" s="184">
        <f t="shared" si="22"/>
        <v>0.3836362105125355</v>
      </c>
      <c r="AC31" s="155">
        <f t="shared" si="26"/>
        <v>0.55</v>
      </c>
      <c r="AD31" s="157">
        <f t="shared" si="29"/>
        <v>7.9</v>
      </c>
      <c r="AE31" s="156">
        <f t="shared" si="30"/>
        <v>0</v>
      </c>
    </row>
    <row r="32" spans="1:31" s="27" customFormat="1" ht="15" customHeight="1">
      <c r="A32" s="137">
        <f t="shared" si="27"/>
        <v>0.5700000000000002</v>
      </c>
      <c r="B32" s="51">
        <f t="shared" si="0"/>
        <v>-5.833412074304454</v>
      </c>
      <c r="C32" s="147">
        <f t="shared" si="1"/>
        <v>0.308</v>
      </c>
      <c r="D32" s="168">
        <f t="shared" si="2"/>
        <v>14040.4035379132</v>
      </c>
      <c r="E32" s="168">
        <f t="shared" si="3"/>
        <v>701.7543859649121</v>
      </c>
      <c r="F32" s="117">
        <f t="shared" si="23"/>
        <v>790.4410521322603</v>
      </c>
      <c r="G32" s="117">
        <f t="shared" si="4"/>
        <v>864.4634502950108</v>
      </c>
      <c r="H32" s="52">
        <f t="shared" si="5"/>
        <v>3.834126278670623</v>
      </c>
      <c r="I32" s="51">
        <f t="shared" si="6"/>
        <v>0.8791393446039679</v>
      </c>
      <c r="J32" s="51">
        <f t="shared" si="7"/>
        <v>-0.05800356072550065</v>
      </c>
      <c r="K32" s="51">
        <f t="shared" si="8"/>
        <v>0.0019000014427109568</v>
      </c>
      <c r="L32" s="51">
        <f t="shared" si="9"/>
        <v>0.0003882183866213054</v>
      </c>
      <c r="M32" s="51">
        <f t="shared" si="24"/>
        <v>0.0003886804004094506</v>
      </c>
      <c r="N32" s="51">
        <f t="shared" si="25"/>
        <v>0.042202234629766536</v>
      </c>
      <c r="O32" s="51">
        <f t="shared" si="10"/>
        <v>7.6194544157554E-06</v>
      </c>
      <c r="P32" s="51">
        <f t="shared" si="11"/>
        <v>0</v>
      </c>
      <c r="Q32" s="51">
        <f t="shared" si="12"/>
        <v>1</v>
      </c>
      <c r="R32" s="61">
        <f t="shared" si="13"/>
        <v>0.4458340956509569</v>
      </c>
      <c r="S32" s="54">
        <f t="shared" si="14"/>
        <v>6</v>
      </c>
      <c r="T32" s="55">
        <f t="shared" si="15"/>
        <v>6.201697791396352</v>
      </c>
      <c r="U32" s="51">
        <f t="shared" si="16"/>
        <v>2.379139344603968</v>
      </c>
      <c r="V32" s="51">
        <f t="shared" si="17"/>
        <v>5.322558446792384</v>
      </c>
      <c r="W32" s="56">
        <f t="shared" si="18"/>
        <v>-0.20169779139635224</v>
      </c>
      <c r="X32" s="105">
        <f t="shared" si="19"/>
        <v>-14.324973440254924</v>
      </c>
      <c r="Y32" s="26">
        <f t="shared" si="28"/>
        <v>-0.13538921825282113</v>
      </c>
      <c r="Z32" s="24">
        <f t="shared" si="20"/>
        <v>1.0993211590790997</v>
      </c>
      <c r="AA32" s="24">
        <f t="shared" si="21"/>
        <v>1.0993211590790997</v>
      </c>
      <c r="AB32" s="184">
        <f t="shared" si="22"/>
        <v>0.37325356340155114</v>
      </c>
      <c r="AC32" s="155">
        <f t="shared" si="26"/>
        <v>0.55</v>
      </c>
      <c r="AD32" s="157">
        <f t="shared" si="29"/>
        <v>7.9</v>
      </c>
      <c r="AE32" s="156">
        <f t="shared" si="30"/>
        <v>0</v>
      </c>
    </row>
    <row r="33" spans="1:31" s="27" customFormat="1" ht="15" customHeight="1">
      <c r="A33" s="137">
        <f t="shared" si="27"/>
        <v>0.5800000000000002</v>
      </c>
      <c r="B33" s="51">
        <f t="shared" si="0"/>
        <v>-5.833412074304454</v>
      </c>
      <c r="C33" s="147">
        <f t="shared" si="1"/>
        <v>0.308</v>
      </c>
      <c r="D33" s="168">
        <f t="shared" si="2"/>
        <v>13798.327614845732</v>
      </c>
      <c r="E33" s="168">
        <f t="shared" si="3"/>
        <v>689.6551724137929</v>
      </c>
      <c r="F33" s="117">
        <f t="shared" si="23"/>
        <v>800.8735390516349</v>
      </c>
      <c r="G33" s="117">
        <f t="shared" si="4"/>
        <v>874.0128291696242</v>
      </c>
      <c r="H33" s="52">
        <f t="shared" si="5"/>
        <v>3.9557845918265833</v>
      </c>
      <c r="I33" s="51">
        <f t="shared" si="6"/>
        <v>0.8945628418777217</v>
      </c>
      <c r="J33" s="51">
        <f t="shared" si="7"/>
        <v>-0.0590211670540182</v>
      </c>
      <c r="K33" s="51">
        <f t="shared" si="8"/>
        <v>0.001967135890831274</v>
      </c>
      <c r="L33" s="51">
        <f t="shared" si="9"/>
        <v>0.00041614028049843943</v>
      </c>
      <c r="M33" s="51">
        <f t="shared" si="24"/>
        <v>0.0003844337162867786</v>
      </c>
      <c r="N33" s="51">
        <f t="shared" si="25"/>
        <v>0.04173667719505986</v>
      </c>
      <c r="O33" s="51">
        <f t="shared" si="10"/>
        <v>8.076553705743672E-06</v>
      </c>
      <c r="P33" s="51">
        <f t="shared" si="11"/>
        <v>0</v>
      </c>
      <c r="Q33" s="51">
        <f t="shared" si="12"/>
        <v>1</v>
      </c>
      <c r="R33" s="61">
        <f t="shared" si="13"/>
        <v>0.4458340956509569</v>
      </c>
      <c r="S33" s="54">
        <f t="shared" si="14"/>
        <v>6</v>
      </c>
      <c r="T33" s="55">
        <f t="shared" si="15"/>
        <v>6.3383424233845265</v>
      </c>
      <c r="U33" s="51">
        <f t="shared" si="16"/>
        <v>2.394562841877722</v>
      </c>
      <c r="V33" s="51">
        <f t="shared" si="17"/>
        <v>5.443779581506805</v>
      </c>
      <c r="W33" s="56">
        <f t="shared" si="18"/>
        <v>-0.33834242338452647</v>
      </c>
      <c r="X33" s="105">
        <f t="shared" si="19"/>
        <v>-14.340396937528679</v>
      </c>
      <c r="Y33" s="26">
        <f t="shared" si="28"/>
        <v>-0.13792432726170967</v>
      </c>
      <c r="Z33" s="24">
        <f t="shared" si="20"/>
        <v>1.0993211590790997</v>
      </c>
      <c r="AA33" s="24">
        <f t="shared" si="21"/>
        <v>1.0993211590790997</v>
      </c>
      <c r="AB33" s="184">
        <f t="shared" si="22"/>
        <v>0.36294275478032273</v>
      </c>
      <c r="AC33" s="155">
        <f t="shared" si="26"/>
        <v>0.55</v>
      </c>
      <c r="AD33" s="157">
        <f t="shared" si="29"/>
        <v>7.9</v>
      </c>
      <c r="AE33" s="156">
        <f t="shared" si="30"/>
        <v>0</v>
      </c>
    </row>
    <row r="34" spans="1:31" s="27" customFormat="1" ht="15" customHeight="1">
      <c r="A34" s="137">
        <f t="shared" si="27"/>
        <v>0.5900000000000002</v>
      </c>
      <c r="B34" s="51">
        <f t="shared" si="0"/>
        <v>-5.833412074304454</v>
      </c>
      <c r="C34" s="147">
        <f t="shared" si="1"/>
        <v>0.308</v>
      </c>
      <c r="D34" s="168">
        <f t="shared" si="2"/>
        <v>13564.457655272074</v>
      </c>
      <c r="E34" s="168">
        <f t="shared" si="3"/>
        <v>677.966101694915</v>
      </c>
      <c r="F34" s="117">
        <f t="shared" si="23"/>
        <v>811.3498096783738</v>
      </c>
      <c r="G34" s="117">
        <f t="shared" si="4"/>
        <v>883.6223818267243</v>
      </c>
      <c r="H34" s="52">
        <f t="shared" si="5"/>
        <v>4.079993478737107</v>
      </c>
      <c r="I34" s="51">
        <f t="shared" si="6"/>
        <v>0.9099863391514756</v>
      </c>
      <c r="J34" s="51">
        <f t="shared" si="7"/>
        <v>-0.06003877338253576</v>
      </c>
      <c r="K34" s="51">
        <f t="shared" si="8"/>
        <v>0.0020354296905857835</v>
      </c>
      <c r="L34" s="51">
        <f t="shared" si="9"/>
        <v>0.0004455394673830425</v>
      </c>
      <c r="M34" s="51">
        <f t="shared" si="24"/>
        <v>0.0003802529303359006</v>
      </c>
      <c r="N34" s="51">
        <f t="shared" si="25"/>
        <v>0.041278441557552746</v>
      </c>
      <c r="O34" s="51">
        <f t="shared" si="10"/>
        <v>8.551355297099772E-06</v>
      </c>
      <c r="P34" s="51">
        <f t="shared" si="11"/>
        <v>0</v>
      </c>
      <c r="Q34" s="51">
        <f t="shared" si="12"/>
        <v>1</v>
      </c>
      <c r="R34" s="61">
        <f t="shared" si="13"/>
        <v>0.4458340956509569</v>
      </c>
      <c r="S34" s="54">
        <f t="shared" si="14"/>
        <v>6</v>
      </c>
      <c r="T34" s="55">
        <f t="shared" si="15"/>
        <v>6.477546445919772</v>
      </c>
      <c r="U34" s="51">
        <f t="shared" si="16"/>
        <v>2.4099863391514758</v>
      </c>
      <c r="V34" s="51">
        <f t="shared" si="17"/>
        <v>5.567560106768296</v>
      </c>
      <c r="W34" s="56">
        <f t="shared" si="18"/>
        <v>-0.4775464459197716</v>
      </c>
      <c r="X34" s="105">
        <f t="shared" si="19"/>
        <v>-14.355820434802434</v>
      </c>
      <c r="Y34" s="26">
        <f t="shared" si="28"/>
        <v>-0.14051104864346353</v>
      </c>
      <c r="Z34" s="24">
        <f t="shared" si="20"/>
        <v>1.0993211590790997</v>
      </c>
      <c r="AA34" s="24">
        <f t="shared" si="21"/>
        <v>1.0993211590790997</v>
      </c>
      <c r="AB34" s="184">
        <f t="shared" si="22"/>
        <v>0.35270956927421176</v>
      </c>
      <c r="AC34" s="155">
        <f t="shared" si="26"/>
        <v>0.55</v>
      </c>
      <c r="AD34" s="157">
        <f t="shared" si="29"/>
        <v>7.9</v>
      </c>
      <c r="AE34" s="156">
        <f t="shared" si="30"/>
        <v>0</v>
      </c>
    </row>
    <row r="35" spans="1:31" s="84" customFormat="1" ht="15" customHeight="1">
      <c r="A35" s="138">
        <f t="shared" si="27"/>
        <v>0.6000000000000002</v>
      </c>
      <c r="B35" s="77">
        <f t="shared" si="0"/>
        <v>-5.833412074304454</v>
      </c>
      <c r="C35" s="148">
        <f t="shared" si="1"/>
        <v>0.308</v>
      </c>
      <c r="D35" s="169">
        <f t="shared" si="2"/>
        <v>13338.383361017539</v>
      </c>
      <c r="E35" s="169">
        <f t="shared" si="3"/>
        <v>666.6666666666664</v>
      </c>
      <c r="F35" s="162">
        <f t="shared" si="23"/>
        <v>821.868189694724</v>
      </c>
      <c r="G35" s="163">
        <f t="shared" si="4"/>
        <v>893.2901663133223</v>
      </c>
      <c r="H35" s="78">
        <f t="shared" si="5"/>
        <v>4.20680760526741</v>
      </c>
      <c r="I35" s="77">
        <f t="shared" si="6"/>
        <v>0.9254098364252294</v>
      </c>
      <c r="J35" s="77">
        <f t="shared" si="7"/>
        <v>-0.061056379711053314</v>
      </c>
      <c r="K35" s="77">
        <f t="shared" si="8"/>
        <v>0.0021048824186587177</v>
      </c>
      <c r="L35" s="77">
        <f t="shared" si="9"/>
        <v>0.00047646690990312186</v>
      </c>
      <c r="M35" s="77">
        <f t="shared" si="24"/>
        <v>0.0003761375784384799</v>
      </c>
      <c r="N35" s="77">
        <f t="shared" si="25"/>
        <v>0.040827472250025636</v>
      </c>
      <c r="O35" s="77">
        <f t="shared" si="10"/>
        <v>9.044167927282909E-06</v>
      </c>
      <c r="P35" s="77">
        <f t="shared" si="11"/>
        <v>0</v>
      </c>
      <c r="Q35" s="77">
        <f t="shared" si="12"/>
        <v>1</v>
      </c>
      <c r="R35" s="79">
        <f t="shared" si="13"/>
        <v>0.4458340956509569</v>
      </c>
      <c r="S35" s="80">
        <f t="shared" si="14"/>
        <v>6</v>
      </c>
      <c r="T35" s="81">
        <f t="shared" si="15"/>
        <v>6.6193645206714535</v>
      </c>
      <c r="U35" s="77">
        <f t="shared" si="16"/>
        <v>2.4254098364252297</v>
      </c>
      <c r="V35" s="77">
        <f t="shared" si="17"/>
        <v>5.693954684246224</v>
      </c>
      <c r="W35" s="82">
        <f t="shared" si="18"/>
        <v>-0.6193645206714535</v>
      </c>
      <c r="X35" s="111">
        <f t="shared" si="19"/>
        <v>-14.371243932076187</v>
      </c>
      <c r="Y35" s="83"/>
      <c r="Z35" s="77">
        <f t="shared" si="20"/>
        <v>1.0993211590790997</v>
      </c>
      <c r="AA35" s="77">
        <f t="shared" si="21"/>
        <v>1.0993211590790997</v>
      </c>
      <c r="AB35" s="185">
        <f t="shared" si="22"/>
        <v>0.34255935317301406</v>
      </c>
      <c r="AC35" s="164">
        <f t="shared" si="26"/>
        <v>0.55</v>
      </c>
      <c r="AD35" s="158">
        <f>ROUNDUP(E9,0)-0.1</f>
        <v>7.9</v>
      </c>
      <c r="AE35" s="171">
        <f t="shared" si="30"/>
        <v>0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7"/>
      <c r="S36" s="6"/>
      <c r="T36" s="13"/>
      <c r="V36" s="13"/>
      <c r="W36" s="13"/>
      <c r="X36" s="14"/>
      <c r="AE36" s="172">
        <f>SUM(AE15:AE35)</f>
        <v>0.06410191096353035</v>
      </c>
    </row>
    <row r="37" spans="1:28" s="27" customFormat="1" ht="15" customHeight="1">
      <c r="A37" s="85" t="s">
        <v>69</v>
      </c>
      <c r="B37" s="23"/>
      <c r="C37" s="23"/>
      <c r="D37" s="22"/>
      <c r="E37" s="23"/>
      <c r="F37" s="23"/>
      <c r="G37" s="29"/>
      <c r="X37" s="32"/>
      <c r="Y37" s="32"/>
      <c r="AB37" s="189"/>
    </row>
    <row r="38" spans="1:28" s="27" customFormat="1" ht="15" customHeight="1">
      <c r="A38" s="30" t="s">
        <v>128</v>
      </c>
      <c r="B38" s="23"/>
      <c r="C38" s="23"/>
      <c r="D38" s="22"/>
      <c r="E38" s="23"/>
      <c r="F38" s="23"/>
      <c r="G38" s="29"/>
      <c r="K38" s="24"/>
      <c r="L38" s="23"/>
      <c r="M38" s="24"/>
      <c r="N38" s="24"/>
      <c r="O38" s="24"/>
      <c r="P38" s="24"/>
      <c r="Q38" s="24"/>
      <c r="R38" s="62"/>
      <c r="S38" s="25"/>
      <c r="T38" s="24"/>
      <c r="U38" s="31"/>
      <c r="V38" s="24"/>
      <c r="X38" s="32"/>
      <c r="Y38" s="32"/>
      <c r="AB38" s="189"/>
    </row>
    <row r="39" spans="1:28" s="27" customFormat="1" ht="15" customHeight="1">
      <c r="A39" s="24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23"/>
      <c r="M39" s="24"/>
      <c r="N39" s="24"/>
      <c r="O39" s="24"/>
      <c r="P39" s="24"/>
      <c r="Q39" s="24"/>
      <c r="R39" s="62"/>
      <c r="S39" s="25"/>
      <c r="T39" s="24"/>
      <c r="U39" s="31"/>
      <c r="V39" s="24"/>
      <c r="X39" s="32"/>
      <c r="Y39" s="32"/>
      <c r="AB39" s="189"/>
    </row>
    <row r="40" spans="1:28" s="27" customFormat="1" ht="15" customHeight="1">
      <c r="A40" s="30"/>
      <c r="B40" s="23"/>
      <c r="C40" s="23"/>
      <c r="D40" s="22"/>
      <c r="E40" s="23"/>
      <c r="F40" s="23"/>
      <c r="G40" s="29"/>
      <c r="H40" s="24"/>
      <c r="I40" s="24"/>
      <c r="J40" s="24"/>
      <c r="K40" s="24"/>
      <c r="L40" s="23"/>
      <c r="M40" s="24"/>
      <c r="N40" s="24"/>
      <c r="O40" s="24"/>
      <c r="P40" s="24"/>
      <c r="Q40" s="24"/>
      <c r="R40" s="62"/>
      <c r="S40" s="25"/>
      <c r="T40" s="24"/>
      <c r="U40" s="31"/>
      <c r="V40" s="24"/>
      <c r="X40" s="32"/>
      <c r="Y40" s="32"/>
      <c r="AB40" s="189"/>
    </row>
    <row r="41" spans="1:28" s="27" customFormat="1" ht="15" customHeight="1">
      <c r="A41" s="25"/>
      <c r="B41" s="23"/>
      <c r="C41" s="23"/>
      <c r="D41" s="22"/>
      <c r="E41" s="23"/>
      <c r="F41" s="23"/>
      <c r="G41" s="29"/>
      <c r="H41" s="24"/>
      <c r="I41" s="24"/>
      <c r="J41" s="24"/>
      <c r="K41" s="24"/>
      <c r="L41" s="23"/>
      <c r="M41" s="24"/>
      <c r="N41" s="24"/>
      <c r="O41" s="24"/>
      <c r="P41" s="24"/>
      <c r="Q41" s="24"/>
      <c r="R41" s="62"/>
      <c r="S41" s="25"/>
      <c r="T41" s="24"/>
      <c r="U41" s="31"/>
      <c r="V41" s="24"/>
      <c r="X41" s="32"/>
      <c r="Y41" s="32"/>
      <c r="AB41" s="189"/>
    </row>
    <row r="42" spans="1:28" s="27" customFormat="1" ht="15" customHeight="1">
      <c r="A42" s="25"/>
      <c r="B42" s="23"/>
      <c r="C42" s="23"/>
      <c r="D42" s="22"/>
      <c r="E42" s="23"/>
      <c r="F42" s="23"/>
      <c r="G42" s="29"/>
      <c r="H42" s="24"/>
      <c r="I42" s="24"/>
      <c r="J42" s="24"/>
      <c r="K42" s="24"/>
      <c r="L42" s="23"/>
      <c r="M42" s="24"/>
      <c r="N42" s="24"/>
      <c r="O42" s="24"/>
      <c r="P42" s="24"/>
      <c r="Q42" s="24"/>
      <c r="R42" s="62"/>
      <c r="S42" s="25"/>
      <c r="T42" s="24"/>
      <c r="U42" s="31"/>
      <c r="V42" s="24"/>
      <c r="X42" s="32"/>
      <c r="Y42" s="32"/>
      <c r="AB42" s="189"/>
    </row>
    <row r="43" spans="1:28" s="27" customFormat="1" ht="15" customHeight="1">
      <c r="A43" s="29"/>
      <c r="D43" s="22"/>
      <c r="E43" s="23"/>
      <c r="F43" s="23"/>
      <c r="G43" s="29"/>
      <c r="H43" s="24"/>
      <c r="I43" s="24"/>
      <c r="J43" s="24"/>
      <c r="K43" s="24"/>
      <c r="L43" s="23"/>
      <c r="M43" s="24"/>
      <c r="N43" s="24"/>
      <c r="O43" s="24"/>
      <c r="P43" s="24"/>
      <c r="Q43" s="24"/>
      <c r="R43" s="62"/>
      <c r="S43" s="25"/>
      <c r="T43" s="24"/>
      <c r="U43" s="31"/>
      <c r="V43" s="24"/>
      <c r="X43" s="32"/>
      <c r="Y43" s="32"/>
      <c r="AB43" s="189"/>
    </row>
    <row r="44" spans="1:28" s="27" customFormat="1" ht="15" customHeight="1">
      <c r="A44" s="29"/>
      <c r="B44" s="23"/>
      <c r="D44" s="22"/>
      <c r="E44" s="23"/>
      <c r="F44" s="23"/>
      <c r="G44" s="29"/>
      <c r="H44" s="24"/>
      <c r="I44" s="24"/>
      <c r="J44" s="24"/>
      <c r="K44" s="24"/>
      <c r="L44" s="23"/>
      <c r="M44" s="24"/>
      <c r="N44" s="24"/>
      <c r="O44" s="24"/>
      <c r="P44" s="24"/>
      <c r="Q44" s="24"/>
      <c r="R44" s="62"/>
      <c r="S44" s="25"/>
      <c r="T44" s="24"/>
      <c r="U44" s="31"/>
      <c r="V44" s="24"/>
      <c r="X44" s="32"/>
      <c r="Y44" s="32"/>
      <c r="AB44" s="189"/>
    </row>
    <row r="45" spans="1:28" s="27" customFormat="1" ht="15" customHeight="1">
      <c r="A45" s="29"/>
      <c r="B45" s="23"/>
      <c r="D45" s="22"/>
      <c r="E45" s="23"/>
      <c r="F45" s="23"/>
      <c r="G45" s="29"/>
      <c r="H45" s="24"/>
      <c r="I45" s="24"/>
      <c r="J45" s="24"/>
      <c r="K45" s="24"/>
      <c r="L45" s="23"/>
      <c r="M45" s="24"/>
      <c r="N45" s="24"/>
      <c r="O45" s="24"/>
      <c r="P45" s="24"/>
      <c r="Q45" s="24"/>
      <c r="R45" s="62"/>
      <c r="S45" s="25"/>
      <c r="T45" s="24"/>
      <c r="U45" s="31"/>
      <c r="V45" s="24"/>
      <c r="X45" s="32"/>
      <c r="Y45" s="32"/>
      <c r="AB45" s="189"/>
    </row>
    <row r="46" spans="1:22" ht="15" customHeight="1">
      <c r="A46" s="29"/>
      <c r="B46" s="23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7"/>
      <c r="S46" s="6"/>
      <c r="T46" s="4"/>
      <c r="V46" s="4"/>
    </row>
    <row r="47" spans="1:22" ht="15" customHeight="1">
      <c r="A47" s="2"/>
      <c r="B47" s="23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7"/>
      <c r="S47" s="6"/>
      <c r="T47" s="4"/>
      <c r="V47" s="4"/>
    </row>
    <row r="48" spans="1:22" ht="15" customHeight="1">
      <c r="A48" s="2"/>
      <c r="B48" s="23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3"/>
      <c r="S48" s="6"/>
      <c r="T48" s="4"/>
      <c r="V48" s="4"/>
    </row>
    <row r="49" spans="1:22" ht="15" customHeight="1">
      <c r="A49" s="25"/>
      <c r="B49" s="23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7"/>
      <c r="S49" s="6"/>
      <c r="T49" s="4"/>
      <c r="V49" s="4"/>
    </row>
    <row r="50" spans="1:16" ht="15" customHeight="1">
      <c r="A50" s="15"/>
      <c r="B50" s="16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5"/>
      <c r="B51" s="16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O1:P1"/>
  </mergeCells>
  <printOptions horizontalCentered="1"/>
  <pageMargins left="0.5" right="0.5" top="0.5" bottom="0.5" header="0.3" footer="0.3"/>
  <pageSetup fitToHeight="1" fitToWidth="1" horizontalDpi="600" verticalDpi="600" orientation="landscape" scale="67" r:id="rId2"/>
  <headerFooter alignWithMargins="0">
    <oddHeader xml:space="preserve">&amp;CBy Agilent Technologies&amp;R </oddHeader>
    <oddFooter>&amp;L&amp;F tab &amp;A page &amp;P of &amp;N&amp;RPrinted &amp;T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showGridLines="0" showOutlineSymbols="0" zoomScale="70" zoomScaleNormal="70" workbookViewId="0" topLeftCell="A1">
      <selection activeCell="N1" sqref="N1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8" customWidth="1"/>
    <col min="19" max="19" width="6.00390625" style="5" customWidth="1"/>
    <col min="20" max="20" width="6.57421875" style="5" customWidth="1"/>
    <col min="21" max="21" width="7.28125" style="7" customWidth="1"/>
    <col min="22" max="22" width="7.421875" style="5" customWidth="1"/>
    <col min="23" max="23" width="7.7109375" style="5" customWidth="1"/>
    <col min="24" max="24" width="11.140625" style="10" customWidth="1"/>
    <col min="25" max="25" width="8.8515625" style="10" customWidth="1"/>
    <col min="26" max="26" width="8.140625" style="5" customWidth="1"/>
    <col min="27" max="27" width="7.57421875" style="5" customWidth="1"/>
    <col min="28" max="28" width="10.00390625" style="188" customWidth="1"/>
    <col min="29" max="32" width="10.00390625" style="5" customWidth="1"/>
    <col min="33" max="16384" width="11.140625" style="5" customWidth="1"/>
  </cols>
  <sheetData>
    <row r="1" spans="1:32" s="145" customFormat="1" ht="15.75">
      <c r="A1" s="140" t="s">
        <v>106</v>
      </c>
      <c r="B1" s="122"/>
      <c r="C1" s="122"/>
      <c r="D1" s="122"/>
      <c r="E1" s="127"/>
      <c r="F1" s="127"/>
      <c r="G1" s="127"/>
      <c r="H1" s="127"/>
      <c r="I1" s="127"/>
      <c r="J1" s="127"/>
      <c r="K1" s="141" t="s">
        <v>76</v>
      </c>
      <c r="L1" s="122" t="s">
        <v>59</v>
      </c>
      <c r="M1" s="127"/>
      <c r="N1" s="150" t="s">
        <v>60</v>
      </c>
      <c r="O1" s="200">
        <v>36587</v>
      </c>
      <c r="P1" s="201"/>
      <c r="Q1" s="142" t="s">
        <v>1</v>
      </c>
      <c r="R1" s="143" t="s">
        <v>127</v>
      </c>
      <c r="S1" s="54"/>
      <c r="T1" s="51"/>
      <c r="U1" s="144"/>
      <c r="V1" s="51"/>
      <c r="W1" s="53"/>
      <c r="X1" s="54"/>
      <c r="Y1" s="54"/>
      <c r="Z1" s="53"/>
      <c r="AA1" s="53"/>
      <c r="AB1" s="186"/>
      <c r="AC1" s="53"/>
      <c r="AD1" s="53"/>
      <c r="AE1" s="53"/>
      <c r="AF1" s="53"/>
    </row>
    <row r="2" spans="1:32" ht="15.75">
      <c r="A2" s="65" t="s">
        <v>2</v>
      </c>
      <c r="B2" s="131" t="s">
        <v>3</v>
      </c>
      <c r="C2" s="76"/>
      <c r="D2" s="68"/>
      <c r="E2" s="76"/>
      <c r="F2" s="76"/>
      <c r="G2" s="65"/>
      <c r="H2" s="64"/>
      <c r="I2" s="68" t="s">
        <v>107</v>
      </c>
      <c r="J2" s="149">
        <v>5</v>
      </c>
      <c r="K2" s="64" t="s">
        <v>108</v>
      </c>
      <c r="L2" s="64"/>
      <c r="M2" s="76"/>
      <c r="N2" s="64"/>
      <c r="O2" s="65" t="s">
        <v>114</v>
      </c>
      <c r="P2" s="161">
        <f>1000000/$P$6</f>
        <v>735.0000000000001</v>
      </c>
      <c r="Q2" s="64" t="s">
        <v>101</v>
      </c>
      <c r="R2" s="86"/>
      <c r="S2" s="69"/>
      <c r="T2" s="70"/>
      <c r="U2" s="87"/>
      <c r="V2" s="70"/>
      <c r="W2" s="76"/>
      <c r="X2" s="69"/>
      <c r="Y2" s="6"/>
      <c r="Z2" s="1"/>
      <c r="AA2" s="1"/>
      <c r="AB2" s="187"/>
      <c r="AC2" s="1"/>
      <c r="AD2" s="1"/>
      <c r="AE2" s="1"/>
      <c r="AF2" s="1"/>
    </row>
    <row r="3" spans="1:32" ht="15" customHeight="1">
      <c r="A3" s="76"/>
      <c r="B3" s="76"/>
      <c r="C3" s="76"/>
      <c r="D3" s="68" t="s">
        <v>5</v>
      </c>
      <c r="E3" s="170">
        <v>1000000</v>
      </c>
      <c r="F3" s="64"/>
      <c r="G3" s="64"/>
      <c r="H3" s="76"/>
      <c r="I3" s="65" t="s">
        <v>111</v>
      </c>
      <c r="J3" s="130">
        <v>3.5</v>
      </c>
      <c r="K3" s="76" t="s">
        <v>108</v>
      </c>
      <c r="L3" s="64"/>
      <c r="M3" s="76"/>
      <c r="N3" s="64"/>
      <c r="O3" s="65" t="s">
        <v>4</v>
      </c>
      <c r="P3" s="51">
        <f>IF($B$4&gt;1000,$E$6/1.5,$E$6/3.5)</f>
        <v>0.3333333333333333</v>
      </c>
      <c r="Q3" s="64"/>
      <c r="R3" s="86"/>
      <c r="S3" s="89"/>
      <c r="T3" s="90"/>
      <c r="U3" s="87"/>
      <c r="V3" s="70"/>
      <c r="W3" s="76"/>
      <c r="X3" s="69"/>
      <c r="Y3" s="6"/>
      <c r="Z3" s="1"/>
      <c r="AA3" s="1"/>
      <c r="AB3" s="187"/>
      <c r="AC3" s="1"/>
      <c r="AD3" s="1"/>
      <c r="AE3" s="1"/>
      <c r="AF3" s="1"/>
    </row>
    <row r="4" spans="1:32" ht="15" customHeight="1">
      <c r="A4" s="65" t="s">
        <v>55</v>
      </c>
      <c r="B4" s="91">
        <v>1270</v>
      </c>
      <c r="C4" s="76"/>
      <c r="D4" s="68" t="s">
        <v>9</v>
      </c>
      <c r="E4" s="88">
        <v>0.093</v>
      </c>
      <c r="F4" s="64"/>
      <c r="G4" s="64"/>
      <c r="H4" s="76"/>
      <c r="I4" s="65" t="s">
        <v>112</v>
      </c>
      <c r="J4" s="177">
        <f>10^(INT(LOG10(J3/9)))</f>
        <v>0.1</v>
      </c>
      <c r="K4" s="64" t="s">
        <v>108</v>
      </c>
      <c r="L4" s="64"/>
      <c r="M4" s="64"/>
      <c r="N4" s="64"/>
      <c r="O4" s="65" t="s">
        <v>6</v>
      </c>
      <c r="P4" s="161">
        <f>B7*1.518</f>
        <v>394.68</v>
      </c>
      <c r="Q4" s="76" t="s">
        <v>101</v>
      </c>
      <c r="R4" s="92" t="s">
        <v>7</v>
      </c>
      <c r="S4" s="90"/>
      <c r="T4" s="90"/>
      <c r="U4" s="87"/>
      <c r="V4" s="70"/>
      <c r="W4" s="76"/>
      <c r="X4" s="69"/>
      <c r="Y4" s="6"/>
      <c r="Z4" s="1"/>
      <c r="AA4" s="1"/>
      <c r="AB4" s="187"/>
      <c r="AC4" s="1"/>
      <c r="AD4" s="1"/>
      <c r="AE4" s="1"/>
      <c r="AF4" s="1"/>
    </row>
    <row r="5" spans="1:32" ht="15" customHeight="1">
      <c r="A5" s="65" t="s">
        <v>8</v>
      </c>
      <c r="B5" s="93">
        <v>4</v>
      </c>
      <c r="C5" s="76"/>
      <c r="D5" s="68" t="s">
        <v>56</v>
      </c>
      <c r="E5" s="88">
        <v>1324</v>
      </c>
      <c r="F5" s="64"/>
      <c r="G5" s="64"/>
      <c r="H5" s="76"/>
      <c r="I5" s="65" t="s">
        <v>12</v>
      </c>
      <c r="J5" s="94">
        <v>480</v>
      </c>
      <c r="K5" s="64" t="s">
        <v>105</v>
      </c>
      <c r="L5" s="76"/>
      <c r="M5" s="70"/>
      <c r="N5" s="64"/>
      <c r="O5" s="65" t="s">
        <v>10</v>
      </c>
      <c r="P5" s="103">
        <v>0.7</v>
      </c>
      <c r="Q5" s="64"/>
      <c r="R5" s="92" t="s">
        <v>11</v>
      </c>
      <c r="S5" s="90"/>
      <c r="T5" s="86"/>
      <c r="U5" s="87"/>
      <c r="V5" s="70"/>
      <c r="W5" s="76"/>
      <c r="X5" s="69"/>
      <c r="Y5" s="6"/>
      <c r="Z5" s="1"/>
      <c r="AA5" s="1"/>
      <c r="AB5" s="187"/>
      <c r="AC5" s="1"/>
      <c r="AD5" s="1"/>
      <c r="AE5" s="1"/>
      <c r="AF5" s="1"/>
    </row>
    <row r="6" spans="1:32" ht="15" customHeight="1">
      <c r="A6" s="65" t="s">
        <v>74</v>
      </c>
      <c r="B6" s="88">
        <v>9</v>
      </c>
      <c r="C6" s="76" t="s">
        <v>63</v>
      </c>
      <c r="D6" s="68" t="s">
        <v>97</v>
      </c>
      <c r="E6" s="88">
        <v>0.5</v>
      </c>
      <c r="F6" s="64" t="str">
        <f>"dB/km at "&amp;IF(B4&lt;1000,850,1300)&amp;" nm"</f>
        <v>dB/km at 1300 nm</v>
      </c>
      <c r="G6" s="64"/>
      <c r="H6" s="76"/>
      <c r="I6" s="65" t="s">
        <v>15</v>
      </c>
      <c r="J6" s="93">
        <v>7.037</v>
      </c>
      <c r="K6" s="64"/>
      <c r="L6" s="64"/>
      <c r="M6" s="70"/>
      <c r="N6" s="64"/>
      <c r="O6" s="68" t="s">
        <v>13</v>
      </c>
      <c r="P6" s="95">
        <f>(P7)</f>
        <v>1360.5442176870747</v>
      </c>
      <c r="Q6" s="69"/>
      <c r="R6" s="90"/>
      <c r="S6" s="86"/>
      <c r="T6" s="86"/>
      <c r="U6" s="87"/>
      <c r="V6" s="70"/>
      <c r="W6" s="76"/>
      <c r="X6" s="69"/>
      <c r="AA6" s="1"/>
      <c r="AB6" s="187"/>
      <c r="AC6" s="1"/>
      <c r="AD6" s="1"/>
      <c r="AE6" s="1"/>
      <c r="AF6" s="1"/>
    </row>
    <row r="7" spans="1:32" ht="15" customHeight="1">
      <c r="A7" s="65" t="s">
        <v>14</v>
      </c>
      <c r="B7" s="88">
        <v>260</v>
      </c>
      <c r="C7" s="76" t="s">
        <v>101</v>
      </c>
      <c r="D7" s="65" t="s">
        <v>98</v>
      </c>
      <c r="E7" s="176">
        <v>1250</v>
      </c>
      <c r="F7" s="76" t="s">
        <v>103</v>
      </c>
      <c r="G7" s="70"/>
      <c r="H7" s="70"/>
      <c r="I7" s="68" t="s">
        <v>102</v>
      </c>
      <c r="J7" s="174">
        <f>2.5*10^5/$E$7</f>
        <v>200</v>
      </c>
      <c r="K7" s="70" t="s">
        <v>101</v>
      </c>
      <c r="L7" s="64"/>
      <c r="M7" s="70"/>
      <c r="N7" s="64"/>
      <c r="O7" s="68" t="s">
        <v>16</v>
      </c>
      <c r="P7" s="96">
        <f>1/((1/$E$7)-$J$8*10^-6)</f>
        <v>1360.5442176870747</v>
      </c>
      <c r="Q7" s="69"/>
      <c r="R7" s="90"/>
      <c r="S7" s="98" t="s">
        <v>33</v>
      </c>
      <c r="T7" s="128">
        <f>AE36</f>
        <v>0.07563785733688988</v>
      </c>
      <c r="U7" s="99" t="str">
        <f>"dB at target "&amp;J2&amp;" km"</f>
        <v>dB at target 5 km</v>
      </c>
      <c r="V7" s="70"/>
      <c r="W7" s="76"/>
      <c r="X7" s="132"/>
      <c r="AA7" s="1"/>
      <c r="AB7" s="187"/>
      <c r="AC7" s="1"/>
      <c r="AD7" s="1"/>
      <c r="AE7" s="1"/>
      <c r="AF7" s="1"/>
    </row>
    <row r="8" spans="1:32" ht="15" customHeight="1">
      <c r="A8" s="65" t="s">
        <v>86</v>
      </c>
      <c r="B8" s="88">
        <v>-120</v>
      </c>
      <c r="C8" s="114" t="s">
        <v>85</v>
      </c>
      <c r="D8" s="68" t="s">
        <v>99</v>
      </c>
      <c r="E8" s="170">
        <v>1000</v>
      </c>
      <c r="F8" s="76" t="s">
        <v>104</v>
      </c>
      <c r="G8" s="70"/>
      <c r="H8" s="64"/>
      <c r="I8" s="68" t="s">
        <v>19</v>
      </c>
      <c r="J8" s="88">
        <v>65</v>
      </c>
      <c r="K8" s="64"/>
      <c r="L8" s="64"/>
      <c r="M8" s="64"/>
      <c r="N8" s="64"/>
      <c r="O8" s="65" t="s">
        <v>17</v>
      </c>
      <c r="P8" s="66">
        <f>(10^-6)*$J$7*$P$7</f>
        <v>0.27210884353741494</v>
      </c>
      <c r="Q8" s="69"/>
      <c r="R8" s="90"/>
      <c r="S8" s="68" t="s">
        <v>117</v>
      </c>
      <c r="T8" s="53">
        <f>$P$3*((1/(0.00094*$B$4)^4)+1.05)</f>
        <v>0.5141165757917939</v>
      </c>
      <c r="U8" s="64" t="str">
        <f>"dB/km at "&amp;B4&amp;" nm"</f>
        <v>dB/km at 1270 nm</v>
      </c>
      <c r="V8" s="70"/>
      <c r="W8" s="76"/>
      <c r="X8" s="69"/>
      <c r="Y8" s="6"/>
      <c r="Z8" s="1"/>
      <c r="AA8" s="1"/>
      <c r="AB8" s="187"/>
      <c r="AC8" s="1"/>
      <c r="AD8" s="1"/>
      <c r="AE8" s="1"/>
      <c r="AF8" s="1"/>
    </row>
    <row r="9" spans="1:32" ht="15" customHeight="1">
      <c r="A9" s="65" t="s">
        <v>18</v>
      </c>
      <c r="B9" s="88">
        <v>0.8</v>
      </c>
      <c r="C9" s="76"/>
      <c r="D9" s="68" t="s">
        <v>67</v>
      </c>
      <c r="E9" s="88">
        <v>8</v>
      </c>
      <c r="F9" s="76"/>
      <c r="G9" s="76"/>
      <c r="H9" s="64"/>
      <c r="I9" s="68" t="s">
        <v>22</v>
      </c>
      <c r="J9" s="139">
        <v>-11</v>
      </c>
      <c r="K9" s="70"/>
      <c r="L9" s="64"/>
      <c r="M9" s="70"/>
      <c r="N9" s="64"/>
      <c r="O9" s="65" t="s">
        <v>20</v>
      </c>
      <c r="P9" s="97">
        <f>(P8)</f>
        <v>0.27210884353741494</v>
      </c>
      <c r="Q9" s="69"/>
      <c r="R9" s="90"/>
      <c r="S9" s="98" t="s">
        <v>73</v>
      </c>
      <c r="T9" s="160">
        <f>350000/$E$8</f>
        <v>350</v>
      </c>
      <c r="U9" s="99" t="s">
        <v>101</v>
      </c>
      <c r="V9" s="70"/>
      <c r="W9" s="33"/>
      <c r="X9" s="43"/>
      <c r="Y9" s="69"/>
      <c r="Z9" s="76"/>
      <c r="AA9" s="76"/>
      <c r="AB9" s="179"/>
      <c r="AC9" s="1"/>
      <c r="AD9" s="1"/>
      <c r="AE9" s="1"/>
      <c r="AF9" s="1"/>
    </row>
    <row r="10" spans="1:32" ht="15" customHeight="1">
      <c r="A10" s="65" t="s">
        <v>21</v>
      </c>
      <c r="B10" s="88">
        <v>0</v>
      </c>
      <c r="C10" s="76"/>
      <c r="D10" s="68" t="s">
        <v>68</v>
      </c>
      <c r="E10" s="88">
        <v>2</v>
      </c>
      <c r="F10" s="76"/>
      <c r="G10" s="65"/>
      <c r="H10" s="64"/>
      <c r="I10" s="65" t="s">
        <v>26</v>
      </c>
      <c r="J10" s="129">
        <v>9</v>
      </c>
      <c r="K10" s="64"/>
      <c r="L10" s="64"/>
      <c r="M10" s="70"/>
      <c r="N10" s="64"/>
      <c r="O10" s="65" t="s">
        <v>23</v>
      </c>
      <c r="P10" s="51">
        <f>T35-S35</f>
        <v>2.0437722259743936</v>
      </c>
      <c r="Q10" s="70" t="s">
        <v>24</v>
      </c>
      <c r="R10" s="90"/>
      <c r="S10" s="98" t="s">
        <v>100</v>
      </c>
      <c r="T10" s="128">
        <f>(1-1.425*EXP(-1.28*($P$2/$T$9)^2))*((2*SIN(3.1416*$P$9))/(3.1416*$P$9*(1-$P$9^2))-1)</f>
        <v>0.9017360857497416</v>
      </c>
      <c r="U10" s="99" t="s">
        <v>77</v>
      </c>
      <c r="V10" s="112"/>
      <c r="W10" s="76"/>
      <c r="X10" s="115" t="s">
        <v>25</v>
      </c>
      <c r="Y10" s="69"/>
      <c r="Z10" s="64"/>
      <c r="AA10" s="76"/>
      <c r="AB10" s="179"/>
      <c r="AC10" s="1"/>
      <c r="AD10" s="1"/>
      <c r="AE10" s="1"/>
      <c r="AF10" s="1"/>
    </row>
    <row r="11" spans="1:32" ht="15" customHeight="1">
      <c r="A11" s="33"/>
      <c r="B11" s="33"/>
      <c r="C11" s="33"/>
      <c r="D11" s="34"/>
      <c r="E11" s="34"/>
      <c r="F11" s="34"/>
      <c r="G11" s="34"/>
      <c r="H11" s="34"/>
      <c r="I11" s="35" t="s">
        <v>75</v>
      </c>
      <c r="J11" s="36">
        <v>0</v>
      </c>
      <c r="K11" s="37" t="s">
        <v>66</v>
      </c>
      <c r="L11" s="38"/>
      <c r="M11" s="38"/>
      <c r="N11" s="34"/>
      <c r="O11" s="39" t="s">
        <v>62</v>
      </c>
      <c r="P11" s="40">
        <f>10*LOG10(1/SQRT(1-($J$6*J11)^2))</f>
        <v>0</v>
      </c>
      <c r="Q11" s="37" t="s">
        <v>63</v>
      </c>
      <c r="R11" s="59"/>
      <c r="S11" s="39" t="s">
        <v>61</v>
      </c>
      <c r="T11" s="41">
        <f>10*LOG10(1/SQRT(1-($J$6*$J$11/$T$10)^2))</f>
        <v>0</v>
      </c>
      <c r="U11" s="42" t="s">
        <v>63</v>
      </c>
      <c r="V11" s="113"/>
      <c r="W11" s="76"/>
      <c r="X11" s="100" t="s">
        <v>27</v>
      </c>
      <c r="Y11" s="6" t="s">
        <v>28</v>
      </c>
      <c r="Z11" s="12" t="s">
        <v>34</v>
      </c>
      <c r="AA11" s="12" t="s">
        <v>29</v>
      </c>
      <c r="AB11" s="180" t="s">
        <v>78</v>
      </c>
      <c r="AC11" s="1"/>
      <c r="AD11" s="1"/>
      <c r="AE11" s="1"/>
      <c r="AF11" s="1"/>
    </row>
    <row r="12" spans="1:32" ht="15" customHeight="1">
      <c r="A12" s="133" t="s">
        <v>88</v>
      </c>
      <c r="B12" s="69" t="s">
        <v>57</v>
      </c>
      <c r="C12" s="69" t="s">
        <v>36</v>
      </c>
      <c r="D12" s="75" t="s">
        <v>80</v>
      </c>
      <c r="E12" s="75" t="s">
        <v>81</v>
      </c>
      <c r="F12" s="76" t="s">
        <v>82</v>
      </c>
      <c r="G12" s="76" t="s">
        <v>83</v>
      </c>
      <c r="H12" s="67" t="s">
        <v>37</v>
      </c>
      <c r="I12" s="68" t="s">
        <v>38</v>
      </c>
      <c r="J12" s="69" t="s">
        <v>39</v>
      </c>
      <c r="K12" s="70" t="s">
        <v>40</v>
      </c>
      <c r="L12" s="68" t="s">
        <v>41</v>
      </c>
      <c r="M12" s="68" t="s">
        <v>42</v>
      </c>
      <c r="N12" s="68" t="s">
        <v>43</v>
      </c>
      <c r="O12" s="71" t="s">
        <v>79</v>
      </c>
      <c r="P12" s="68" t="s">
        <v>44</v>
      </c>
      <c r="Q12" s="68" t="s">
        <v>45</v>
      </c>
      <c r="R12" s="72" t="s">
        <v>46</v>
      </c>
      <c r="S12" s="69" t="s">
        <v>47</v>
      </c>
      <c r="T12" s="73" t="s">
        <v>48</v>
      </c>
      <c r="U12" s="71" t="s">
        <v>49</v>
      </c>
      <c r="V12" s="70" t="s">
        <v>50</v>
      </c>
      <c r="W12" s="74" t="s">
        <v>33</v>
      </c>
      <c r="X12" s="101" t="s">
        <v>32</v>
      </c>
      <c r="Y12" s="6" t="s">
        <v>33</v>
      </c>
      <c r="Z12" s="10" t="s">
        <v>89</v>
      </c>
      <c r="AA12" s="6" t="s">
        <v>35</v>
      </c>
      <c r="AB12" s="180" t="s">
        <v>65</v>
      </c>
      <c r="AC12" s="1"/>
      <c r="AD12" s="1"/>
      <c r="AE12" s="173" t="s">
        <v>118</v>
      </c>
      <c r="AF12" s="1"/>
    </row>
    <row r="13" spans="1:32" s="34" customFormat="1" ht="15" customHeight="1">
      <c r="A13" s="134" t="s">
        <v>87</v>
      </c>
      <c r="B13" s="44" t="s">
        <v>58</v>
      </c>
      <c r="C13" s="44" t="s">
        <v>58</v>
      </c>
      <c r="D13" s="45" t="s">
        <v>84</v>
      </c>
      <c r="E13" s="45" t="s">
        <v>84</v>
      </c>
      <c r="F13" s="33" t="s">
        <v>113</v>
      </c>
      <c r="G13" s="33" t="s">
        <v>113</v>
      </c>
      <c r="H13" s="46" t="s">
        <v>30</v>
      </c>
      <c r="I13" s="47" t="s">
        <v>30</v>
      </c>
      <c r="J13" s="33"/>
      <c r="K13" s="48"/>
      <c r="L13" s="47" t="s">
        <v>30</v>
      </c>
      <c r="M13" s="47"/>
      <c r="N13" s="47" t="s">
        <v>30</v>
      </c>
      <c r="O13" s="47" t="s">
        <v>30</v>
      </c>
      <c r="P13" s="47" t="s">
        <v>30</v>
      </c>
      <c r="Q13" s="47" t="s">
        <v>30</v>
      </c>
      <c r="R13" s="60" t="s">
        <v>30</v>
      </c>
      <c r="S13" s="44" t="s">
        <v>30</v>
      </c>
      <c r="T13" s="48" t="s">
        <v>30</v>
      </c>
      <c r="U13" s="49" t="s">
        <v>30</v>
      </c>
      <c r="V13" s="49" t="s">
        <v>31</v>
      </c>
      <c r="W13" s="50" t="s">
        <v>30</v>
      </c>
      <c r="X13" s="102" t="s">
        <v>51</v>
      </c>
      <c r="Y13" s="44" t="s">
        <v>52</v>
      </c>
      <c r="Z13" s="44" t="s">
        <v>30</v>
      </c>
      <c r="AA13" s="44" t="s">
        <v>53</v>
      </c>
      <c r="AB13" s="181" t="s">
        <v>64</v>
      </c>
      <c r="AC13" s="151" t="s">
        <v>110</v>
      </c>
      <c r="AD13" s="152" t="s">
        <v>109</v>
      </c>
      <c r="AE13" s="152" t="s">
        <v>119</v>
      </c>
      <c r="AF13" s="33"/>
    </row>
    <row r="14" spans="1:32" s="127" customFormat="1" ht="15" customHeight="1">
      <c r="A14" s="135">
        <v>0.002</v>
      </c>
      <c r="B14" s="119">
        <f aca="true" t="shared" si="0" ref="B14:B35">0.25*$E$4*$B$4*(1-($E$5/$B$4)^4)</f>
        <v>-5.35147669302665</v>
      </c>
      <c r="C14" s="142">
        <f aca="true" t="shared" si="1" ref="C14:C35">0.7*$E$4*$B$5</f>
        <v>0.26039999999999996</v>
      </c>
      <c r="D14" s="120">
        <f aca="true" t="shared" si="2" ref="D14:D35">(0.187/(A14*$B$5))*(10^6/SQRT(B14^2+C14^2))</f>
        <v>4362791.315436352</v>
      </c>
      <c r="E14" s="120">
        <f aca="true" t="shared" si="3" ref="E14:E35">$E$3/A14</f>
        <v>500000000</v>
      </c>
      <c r="F14" s="165">
        <f>SQRT(($J$5/D14)^2+($J$5/E14)^2+$P$4^2)</f>
        <v>394.68000000001535</v>
      </c>
      <c r="G14" s="165">
        <f aca="true" t="shared" si="4" ref="G14:G35">SQRT(F14^2+(350000/$E$8)^2)</f>
        <v>527.5152153255981</v>
      </c>
      <c r="H14" s="121">
        <f aca="true" t="shared" si="5" ref="H14:H35">-10*LOG10(1-1.425*EXP(-1.28*($P$2/G14)^2))</f>
        <v>0.54899333682044</v>
      </c>
      <c r="I14" s="119">
        <f aca="true" t="shared" si="6" ref="I14:I35">A14*$P$3*((1/(0.00094*$B$4)^4)+1.05)</f>
        <v>0.0010282331515835878</v>
      </c>
      <c r="J14" s="122">
        <f aca="true" t="shared" si="7" ref="J14:J35">(10^-6)*3.14*$P$6*B14*A14*$B$5</f>
        <v>-0.00018289672725010808</v>
      </c>
      <c r="K14" s="119">
        <f aca="true" t="shared" si="8" ref="K14:K35">($B$9/SQRT(2))*(1-EXP(-1*J14^2))</f>
        <v>1.892286321366979E-08</v>
      </c>
      <c r="L14" s="119">
        <f aca="true" t="shared" si="9" ref="L14:L35">10*LOG10(1/SQRT(1-($J$6*K14)^2))</f>
        <v>3.8573098662131313E-14</v>
      </c>
      <c r="M14" s="119"/>
      <c r="N14" s="119"/>
      <c r="O14" s="119">
        <f aca="true" t="shared" si="10" ref="O14:O35">10*LOG10(1/SQRT(1-($J$6*$J$6*((($J$11/AB14)^2)+M14+(K14*K14)))))-$T$11-L14-N14</f>
        <v>0</v>
      </c>
      <c r="P14" s="119">
        <f aca="true" t="shared" si="11" ref="P14:P35">Z14-AA14</f>
        <v>0</v>
      </c>
      <c r="Q14" s="119">
        <f aca="true" t="shared" si="12" ref="Q14:Q35">$B$10</f>
        <v>0</v>
      </c>
      <c r="R14" s="123">
        <f aca="true" t="shared" si="13" ref="R14:R35">-10*LOG10((2*SIN(3.1416*$P$9))/(3.1416*$P$9*(1-$P$9^2))-1)</f>
        <v>0.4272678533619223</v>
      </c>
      <c r="S14" s="124">
        <f aca="true" t="shared" si="14" ref="S14:S35">$E$9-$E$10</f>
        <v>6</v>
      </c>
      <c r="T14" s="178">
        <f aca="true" t="shared" si="15" ref="T14:T35">H14+I14+L14+N14+O14+P14+Q14+R14</f>
        <v>0.9772894233339845</v>
      </c>
      <c r="U14" s="119">
        <f aca="true" t="shared" si="16" ref="U14:U35">$E$10+I14</f>
        <v>2.0010282331515836</v>
      </c>
      <c r="V14" s="119">
        <f aca="true" t="shared" si="17" ref="V14:V35">T14-I14</f>
        <v>0.9762611901824009</v>
      </c>
      <c r="W14" s="125">
        <f aca="true" t="shared" si="18" ref="W14:W35">S14-T14</f>
        <v>5.022710576666015</v>
      </c>
      <c r="X14" s="126">
        <f aca="true" t="shared" si="19" ref="X14:X35">$J$9-U14-R14-P14</f>
        <v>-13.428296086513505</v>
      </c>
      <c r="Y14" s="124"/>
      <c r="Z14" s="119">
        <f aca="true" t="shared" si="20" ref="Z14:Z35">10*LOG10((1+10^(-($B$6/10)))/(1-10^(-($B$6/10))))</f>
        <v>1.0993211590790997</v>
      </c>
      <c r="AA14" s="119">
        <f aca="true" t="shared" si="21" ref="AA14:AA35">10*LOG10((1+10^(-($J$10/10)))/(1-10^(-($J$10/10))))</f>
        <v>1.0993211590790997</v>
      </c>
      <c r="AB14" s="182">
        <f aca="true" t="shared" si="22" ref="AB14:AB35">10^(-(H14+R14)/10)</f>
        <v>0.7986819709251841</v>
      </c>
      <c r="AC14" s="153"/>
      <c r="AD14" s="154"/>
      <c r="AE14" s="122"/>
      <c r="AF14" s="122"/>
    </row>
    <row r="15" spans="1:32" s="21" customFormat="1" ht="15" customHeight="1">
      <c r="A15" s="136">
        <f>$J$3</f>
        <v>3.5</v>
      </c>
      <c r="B15" s="103">
        <f t="shared" si="0"/>
        <v>-5.35147669302665</v>
      </c>
      <c r="C15" s="146">
        <f t="shared" si="1"/>
        <v>0.26039999999999996</v>
      </c>
      <c r="D15" s="167">
        <f t="shared" si="2"/>
        <v>2493.0236088207726</v>
      </c>
      <c r="E15" s="167">
        <f t="shared" si="3"/>
        <v>285714.28571428574</v>
      </c>
      <c r="F15" s="116">
        <f aca="true" t="shared" si="23" ref="F15:F35">SQRT((1000*$J$5/D15)^2+(1000*$J$5/E15)^2+$P$4^2)</f>
        <v>439.14204008007977</v>
      </c>
      <c r="G15" s="116">
        <f t="shared" si="4"/>
        <v>561.5565255303284</v>
      </c>
      <c r="H15" s="159">
        <f t="shared" si="5"/>
        <v>0.7522285979227359</v>
      </c>
      <c r="I15" s="103">
        <f t="shared" si="6"/>
        <v>1.7994080152712786</v>
      </c>
      <c r="J15" s="103">
        <f t="shared" si="7"/>
        <v>-0.32006927268768914</v>
      </c>
      <c r="K15" s="103">
        <f t="shared" si="8"/>
        <v>0.05508170099621122</v>
      </c>
      <c r="L15" s="103">
        <f t="shared" si="9"/>
        <v>0.35352230479344887</v>
      </c>
      <c r="M15" s="103">
        <f aca="true" t="shared" si="24" ref="M15:M35">$P$5*10^9*($J$5/G15)*10^($B$8/10)</f>
        <v>0.0005983369166312955</v>
      </c>
      <c r="N15" s="103">
        <f aca="true" t="shared" si="25" ref="N15:N35">10*LOG10(1/SQRT(1-($J$6^2)*M15))</f>
        <v>0.06531155172973663</v>
      </c>
      <c r="O15" s="103">
        <f t="shared" si="10"/>
        <v>0.011754568834626</v>
      </c>
      <c r="P15" s="103">
        <f t="shared" si="11"/>
        <v>0</v>
      </c>
      <c r="Q15" s="103">
        <f t="shared" si="12"/>
        <v>0</v>
      </c>
      <c r="R15" s="107">
        <f t="shared" si="13"/>
        <v>0.4272678533619223</v>
      </c>
      <c r="S15" s="108">
        <f t="shared" si="14"/>
        <v>6</v>
      </c>
      <c r="T15" s="104">
        <f t="shared" si="15"/>
        <v>3.4094928919137484</v>
      </c>
      <c r="U15" s="103">
        <f t="shared" si="16"/>
        <v>3.7994080152712786</v>
      </c>
      <c r="V15" s="103">
        <f t="shared" si="17"/>
        <v>1.6100848766424698</v>
      </c>
      <c r="W15" s="109">
        <f t="shared" si="18"/>
        <v>2.5905071080862516</v>
      </c>
      <c r="X15" s="110">
        <f t="shared" si="19"/>
        <v>-15.226675868633201</v>
      </c>
      <c r="Y15" s="20"/>
      <c r="Z15" s="19">
        <f t="shared" si="20"/>
        <v>1.0993211590790997</v>
      </c>
      <c r="AA15" s="19">
        <f t="shared" si="21"/>
        <v>1.0993211590790997</v>
      </c>
      <c r="AB15" s="183">
        <f t="shared" si="22"/>
        <v>0.7621673754479988</v>
      </c>
      <c r="AC15" s="155">
        <f aca="true" t="shared" si="26" ref="AC15:AC35">$J$2</f>
        <v>5</v>
      </c>
      <c r="AD15" s="156">
        <v>0</v>
      </c>
      <c r="AE15" s="156">
        <f>IF(A15=$J$2,W15,0)</f>
        <v>0</v>
      </c>
      <c r="AF15" s="18"/>
    </row>
    <row r="16" spans="1:32" s="27" customFormat="1" ht="15" customHeight="1">
      <c r="A16" s="137">
        <f aca="true" t="shared" si="27" ref="A16:A35">A15+$J$4</f>
        <v>3.6</v>
      </c>
      <c r="B16" s="51">
        <f t="shared" si="0"/>
        <v>-5.35147669302665</v>
      </c>
      <c r="C16" s="147">
        <f t="shared" si="1"/>
        <v>0.26039999999999996</v>
      </c>
      <c r="D16" s="168">
        <f t="shared" si="2"/>
        <v>2423.7729530201955</v>
      </c>
      <c r="E16" s="168">
        <f t="shared" si="3"/>
        <v>277777.77777777775</v>
      </c>
      <c r="F16" s="117">
        <f t="shared" si="23"/>
        <v>441.5817897564645</v>
      </c>
      <c r="G16" s="117">
        <f t="shared" si="4"/>
        <v>563.4664826274252</v>
      </c>
      <c r="H16" s="52">
        <f t="shared" si="5"/>
        <v>0.7645253887614922</v>
      </c>
      <c r="I16" s="51">
        <f t="shared" si="6"/>
        <v>1.8508196728504582</v>
      </c>
      <c r="J16" s="51">
        <f t="shared" si="7"/>
        <v>-0.32921410905019455</v>
      </c>
      <c r="K16" s="51">
        <f t="shared" si="8"/>
        <v>0.05810447382997772</v>
      </c>
      <c r="L16" s="51">
        <f t="shared" si="9"/>
        <v>0.3972542329078719</v>
      </c>
      <c r="M16" s="51">
        <f t="shared" si="24"/>
        <v>0.0005963087607859891</v>
      </c>
      <c r="N16" s="51">
        <f t="shared" si="25"/>
        <v>0.06508681680031812</v>
      </c>
      <c r="O16" s="51">
        <f t="shared" si="10"/>
        <v>0.013304324169384277</v>
      </c>
      <c r="P16" s="51">
        <f t="shared" si="11"/>
        <v>0</v>
      </c>
      <c r="Q16" s="51">
        <f t="shared" si="12"/>
        <v>0</v>
      </c>
      <c r="R16" s="61">
        <f t="shared" si="13"/>
        <v>0.4272678533619223</v>
      </c>
      <c r="S16" s="54">
        <f t="shared" si="14"/>
        <v>6</v>
      </c>
      <c r="T16" s="55">
        <f t="shared" si="15"/>
        <v>3.518258288851447</v>
      </c>
      <c r="U16" s="51">
        <f t="shared" si="16"/>
        <v>3.8508196728504585</v>
      </c>
      <c r="V16" s="51">
        <f t="shared" si="17"/>
        <v>1.6674386160009889</v>
      </c>
      <c r="W16" s="56">
        <f t="shared" si="18"/>
        <v>2.481741711148553</v>
      </c>
      <c r="X16" s="105">
        <f t="shared" si="19"/>
        <v>-15.278087526212381</v>
      </c>
      <c r="Y16" s="26">
        <f aca="true" t="shared" si="28" ref="Y16:Y34">(W17-W15)/2</f>
        <v>-0.11124632362150377</v>
      </c>
      <c r="Z16" s="24">
        <f t="shared" si="20"/>
        <v>1.0993211590790997</v>
      </c>
      <c r="AA16" s="24">
        <f t="shared" si="21"/>
        <v>1.0993211590790997</v>
      </c>
      <c r="AB16" s="184">
        <f t="shared" si="22"/>
        <v>0.7600123959878533</v>
      </c>
      <c r="AC16" s="155">
        <f t="shared" si="26"/>
        <v>5</v>
      </c>
      <c r="AD16" s="157">
        <f aca="true" t="shared" si="29" ref="AD16:AD34">AD17</f>
        <v>7.9</v>
      </c>
      <c r="AE16" s="156">
        <f aca="true" t="shared" si="30" ref="AE16:AE35">IF(A16=$J$2,W16,0)</f>
        <v>0</v>
      </c>
      <c r="AF16" s="23"/>
    </row>
    <row r="17" spans="1:32" s="27" customFormat="1" ht="15" customHeight="1">
      <c r="A17" s="137">
        <f t="shared" si="27"/>
        <v>3.7</v>
      </c>
      <c r="B17" s="51">
        <f t="shared" si="0"/>
        <v>-5.35147669302665</v>
      </c>
      <c r="C17" s="147">
        <f t="shared" si="1"/>
        <v>0.26039999999999996</v>
      </c>
      <c r="D17" s="168">
        <f t="shared" si="2"/>
        <v>2358.2655759115414</v>
      </c>
      <c r="E17" s="168">
        <f t="shared" si="3"/>
        <v>270270.27027027024</v>
      </c>
      <c r="F17" s="117">
        <f t="shared" si="23"/>
        <v>444.0762893587557</v>
      </c>
      <c r="G17" s="117">
        <f t="shared" si="4"/>
        <v>565.423514518667</v>
      </c>
      <c r="H17" s="52">
        <f t="shared" si="5"/>
        <v>0.7772204835900867</v>
      </c>
      <c r="I17" s="51">
        <f t="shared" si="6"/>
        <v>1.9022313304296377</v>
      </c>
      <c r="J17" s="51">
        <f t="shared" si="7"/>
        <v>-0.33835894541269995</v>
      </c>
      <c r="K17" s="51">
        <f t="shared" si="8"/>
        <v>0.061193738206554465</v>
      </c>
      <c r="L17" s="51">
        <f t="shared" si="9"/>
        <v>0.4453682696189621</v>
      </c>
      <c r="M17" s="51">
        <f t="shared" si="24"/>
        <v>0.0005942448295346005</v>
      </c>
      <c r="N17" s="51">
        <f t="shared" si="25"/>
        <v>0.06485814156199689</v>
      </c>
      <c r="O17" s="51">
        <f t="shared" si="10"/>
        <v>0.015039460594150553</v>
      </c>
      <c r="P17" s="51">
        <f t="shared" si="11"/>
        <v>0</v>
      </c>
      <c r="Q17" s="51">
        <f t="shared" si="12"/>
        <v>0</v>
      </c>
      <c r="R17" s="61">
        <f t="shared" si="13"/>
        <v>0.4272678533619223</v>
      </c>
      <c r="S17" s="54">
        <f t="shared" si="14"/>
        <v>6</v>
      </c>
      <c r="T17" s="55">
        <f t="shared" si="15"/>
        <v>3.631985539156756</v>
      </c>
      <c r="U17" s="51">
        <f t="shared" si="16"/>
        <v>3.902231330429638</v>
      </c>
      <c r="V17" s="51">
        <f t="shared" si="17"/>
        <v>1.7297542087271183</v>
      </c>
      <c r="W17" s="56">
        <f t="shared" si="18"/>
        <v>2.368014460843244</v>
      </c>
      <c r="X17" s="105">
        <f t="shared" si="19"/>
        <v>-15.32949918379156</v>
      </c>
      <c r="Y17" s="26">
        <f t="shared" si="28"/>
        <v>-0.11643211523030006</v>
      </c>
      <c r="Z17" s="24">
        <f t="shared" si="20"/>
        <v>1.0993211590790997</v>
      </c>
      <c r="AA17" s="24">
        <f t="shared" si="21"/>
        <v>1.0993211590790997</v>
      </c>
      <c r="AB17" s="184">
        <f t="shared" si="22"/>
        <v>0.7577940069340172</v>
      </c>
      <c r="AC17" s="155">
        <f t="shared" si="26"/>
        <v>5</v>
      </c>
      <c r="AD17" s="157">
        <f t="shared" si="29"/>
        <v>7.9</v>
      </c>
      <c r="AE17" s="156">
        <f t="shared" si="30"/>
        <v>0</v>
      </c>
      <c r="AF17" s="23"/>
    </row>
    <row r="18" spans="1:31" s="27" customFormat="1" ht="15" customHeight="1">
      <c r="A18" s="137">
        <f t="shared" si="27"/>
        <v>3.8000000000000003</v>
      </c>
      <c r="B18" s="51">
        <f t="shared" si="0"/>
        <v>-5.35147669302665</v>
      </c>
      <c r="C18" s="147">
        <f t="shared" si="1"/>
        <v>0.26039999999999996</v>
      </c>
      <c r="D18" s="168">
        <f t="shared" si="2"/>
        <v>2296.2059554928164</v>
      </c>
      <c r="E18" s="168">
        <f t="shared" si="3"/>
        <v>263157.8947368421</v>
      </c>
      <c r="F18" s="117">
        <f t="shared" si="23"/>
        <v>446.62462151571</v>
      </c>
      <c r="G18" s="117">
        <f t="shared" si="4"/>
        <v>567.4271341274148</v>
      </c>
      <c r="H18" s="52">
        <f t="shared" si="5"/>
        <v>0.7903171021799326</v>
      </c>
      <c r="I18" s="51">
        <f t="shared" si="6"/>
        <v>1.953642988008817</v>
      </c>
      <c r="J18" s="51">
        <f t="shared" si="7"/>
        <v>-0.34750378177520536</v>
      </c>
      <c r="K18" s="51">
        <f t="shared" si="8"/>
        <v>0.06434805927631915</v>
      </c>
      <c r="L18" s="51">
        <f t="shared" si="9"/>
        <v>0.4982831789926657</v>
      </c>
      <c r="M18" s="51">
        <f t="shared" si="24"/>
        <v>0.0005921465150176478</v>
      </c>
      <c r="N18" s="51">
        <f t="shared" si="25"/>
        <v>0.06462568148086327</v>
      </c>
      <c r="O18" s="51">
        <f t="shared" si="10"/>
        <v>0.01698571528784594</v>
      </c>
      <c r="P18" s="51">
        <f t="shared" si="11"/>
        <v>0</v>
      </c>
      <c r="Q18" s="51">
        <f t="shared" si="12"/>
        <v>0</v>
      </c>
      <c r="R18" s="61">
        <f t="shared" si="13"/>
        <v>0.4272678533619223</v>
      </c>
      <c r="S18" s="54">
        <f t="shared" si="14"/>
        <v>6</v>
      </c>
      <c r="T18" s="55">
        <f t="shared" si="15"/>
        <v>3.751122519312047</v>
      </c>
      <c r="U18" s="51">
        <f t="shared" si="16"/>
        <v>3.9536429880088173</v>
      </c>
      <c r="V18" s="51">
        <f t="shared" si="17"/>
        <v>1.7974795313032301</v>
      </c>
      <c r="W18" s="56">
        <f t="shared" si="18"/>
        <v>2.248877480687953</v>
      </c>
      <c r="X18" s="105">
        <f t="shared" si="19"/>
        <v>-15.380910841370738</v>
      </c>
      <c r="Y18" s="26">
        <f t="shared" si="28"/>
        <v>-0.1220967451260706</v>
      </c>
      <c r="Z18" s="24">
        <f t="shared" si="20"/>
        <v>1.0993211590790997</v>
      </c>
      <c r="AA18" s="24">
        <f t="shared" si="21"/>
        <v>1.0993211590790997</v>
      </c>
      <c r="AB18" s="184">
        <f t="shared" si="22"/>
        <v>0.7555122395473479</v>
      </c>
      <c r="AC18" s="155">
        <f t="shared" si="26"/>
        <v>5</v>
      </c>
      <c r="AD18" s="157">
        <f t="shared" si="29"/>
        <v>7.9</v>
      </c>
      <c r="AE18" s="156">
        <f t="shared" si="30"/>
        <v>0</v>
      </c>
    </row>
    <row r="19" spans="1:31" s="27" customFormat="1" ht="15" customHeight="1">
      <c r="A19" s="137">
        <f t="shared" si="27"/>
        <v>3.9000000000000004</v>
      </c>
      <c r="B19" s="51">
        <f t="shared" si="0"/>
        <v>-5.35147669302665</v>
      </c>
      <c r="C19" s="147">
        <f t="shared" si="1"/>
        <v>0.26039999999999996</v>
      </c>
      <c r="D19" s="168">
        <f t="shared" si="2"/>
        <v>2237.32887971095</v>
      </c>
      <c r="E19" s="168">
        <f t="shared" si="3"/>
        <v>256410.25641025638</v>
      </c>
      <c r="F19" s="117">
        <f t="shared" si="23"/>
        <v>449.2258700973843</v>
      </c>
      <c r="G19" s="117">
        <f t="shared" si="4"/>
        <v>569.4768497180127</v>
      </c>
      <c r="H19" s="52">
        <f t="shared" si="5"/>
        <v>0.8038184239179518</v>
      </c>
      <c r="I19" s="51">
        <f t="shared" si="6"/>
        <v>2.0050546455879967</v>
      </c>
      <c r="J19" s="51">
        <f t="shared" si="7"/>
        <v>-0.3566486181377108</v>
      </c>
      <c r="K19" s="51">
        <f t="shared" si="8"/>
        <v>0.06756597850198136</v>
      </c>
      <c r="L19" s="51">
        <f t="shared" si="9"/>
        <v>0.5564745172042775</v>
      </c>
      <c r="M19" s="51">
        <f t="shared" si="24"/>
        <v>0.0005900152045976528</v>
      </c>
      <c r="N19" s="51">
        <f t="shared" si="25"/>
        <v>0.0643895914478031</v>
      </c>
      <c r="O19" s="51">
        <f t="shared" si="10"/>
        <v>0.019173997888945915</v>
      </c>
      <c r="P19" s="51">
        <f t="shared" si="11"/>
        <v>0</v>
      </c>
      <c r="Q19" s="51">
        <f t="shared" si="12"/>
        <v>0</v>
      </c>
      <c r="R19" s="61">
        <f t="shared" si="13"/>
        <v>0.4272678533619223</v>
      </c>
      <c r="S19" s="54">
        <f t="shared" si="14"/>
        <v>6</v>
      </c>
      <c r="T19" s="55">
        <f t="shared" si="15"/>
        <v>3.876179029408897</v>
      </c>
      <c r="U19" s="51">
        <f t="shared" si="16"/>
        <v>4.005054645587997</v>
      </c>
      <c r="V19" s="51">
        <f t="shared" si="17"/>
        <v>1.8711243838209004</v>
      </c>
      <c r="W19" s="56">
        <f t="shared" si="18"/>
        <v>2.123820970591103</v>
      </c>
      <c r="X19" s="105">
        <f t="shared" si="19"/>
        <v>-15.432322498949919</v>
      </c>
      <c r="Y19" s="26">
        <f t="shared" si="28"/>
        <v>-0.1283088360385891</v>
      </c>
      <c r="Z19" s="24">
        <f t="shared" si="20"/>
        <v>1.0993211590790997</v>
      </c>
      <c r="AA19" s="24">
        <f t="shared" si="21"/>
        <v>1.0993211590790997</v>
      </c>
      <c r="AB19" s="184">
        <f t="shared" si="22"/>
        <v>0.7531671545482288</v>
      </c>
      <c r="AC19" s="155">
        <f t="shared" si="26"/>
        <v>5</v>
      </c>
      <c r="AD19" s="157">
        <f t="shared" si="29"/>
        <v>7.9</v>
      </c>
      <c r="AE19" s="156">
        <f t="shared" si="30"/>
        <v>0</v>
      </c>
    </row>
    <row r="20" spans="1:31" s="21" customFormat="1" ht="15" customHeight="1">
      <c r="A20" s="136">
        <f t="shared" si="27"/>
        <v>4</v>
      </c>
      <c r="B20" s="103">
        <f t="shared" si="0"/>
        <v>-5.35147669302665</v>
      </c>
      <c r="C20" s="146">
        <f t="shared" si="1"/>
        <v>0.26039999999999996</v>
      </c>
      <c r="D20" s="167">
        <f t="shared" si="2"/>
        <v>2181.395657718176</v>
      </c>
      <c r="E20" s="167">
        <f t="shared" si="3"/>
        <v>250000</v>
      </c>
      <c r="F20" s="116">
        <f t="shared" si="23"/>
        <v>451.8791212622505</v>
      </c>
      <c r="G20" s="116">
        <f t="shared" si="4"/>
        <v>571.5721653761174</v>
      </c>
      <c r="H20" s="106">
        <f t="shared" si="5"/>
        <v>0.8177275813565105</v>
      </c>
      <c r="I20" s="103">
        <f t="shared" si="6"/>
        <v>2.0564663031671757</v>
      </c>
      <c r="J20" s="103">
        <f t="shared" si="7"/>
        <v>-0.36579345450021616</v>
      </c>
      <c r="K20" s="103">
        <f t="shared" si="8"/>
        <v>0.07084601477930215</v>
      </c>
      <c r="L20" s="103">
        <f t="shared" si="9"/>
        <v>0.6204866323644158</v>
      </c>
      <c r="M20" s="103">
        <f t="shared" si="24"/>
        <v>0.0005878522789487107</v>
      </c>
      <c r="N20" s="103">
        <f t="shared" si="25"/>
        <v>0.06415002556457111</v>
      </c>
      <c r="O20" s="103">
        <f t="shared" si="10"/>
        <v>0.02164179557462992</v>
      </c>
      <c r="P20" s="103">
        <f t="shared" si="11"/>
        <v>0</v>
      </c>
      <c r="Q20" s="103">
        <f t="shared" si="12"/>
        <v>0</v>
      </c>
      <c r="R20" s="107">
        <f t="shared" si="13"/>
        <v>0.4272678533619223</v>
      </c>
      <c r="S20" s="108">
        <f t="shared" si="14"/>
        <v>6</v>
      </c>
      <c r="T20" s="104">
        <f t="shared" si="15"/>
        <v>4.007740191389225</v>
      </c>
      <c r="U20" s="103">
        <f t="shared" si="16"/>
        <v>4.056466303167175</v>
      </c>
      <c r="V20" s="103">
        <f t="shared" si="17"/>
        <v>1.9512738882220497</v>
      </c>
      <c r="W20" s="109">
        <f t="shared" si="18"/>
        <v>1.9922598086107746</v>
      </c>
      <c r="X20" s="110">
        <f t="shared" si="19"/>
        <v>-15.483734156529097</v>
      </c>
      <c r="Y20" s="28">
        <f t="shared" si="28"/>
        <v>-0.13515229267881468</v>
      </c>
      <c r="Z20" s="19">
        <f t="shared" si="20"/>
        <v>1.0993211590790997</v>
      </c>
      <c r="AA20" s="19">
        <f t="shared" si="21"/>
        <v>1.0993211590790997</v>
      </c>
      <c r="AB20" s="183">
        <f t="shared" si="22"/>
        <v>0.7507588433134107</v>
      </c>
      <c r="AC20" s="155">
        <f t="shared" si="26"/>
        <v>5</v>
      </c>
      <c r="AD20" s="157">
        <f t="shared" si="29"/>
        <v>7.9</v>
      </c>
      <c r="AE20" s="156">
        <f t="shared" si="30"/>
        <v>0</v>
      </c>
    </row>
    <row r="21" spans="1:31" s="27" customFormat="1" ht="15" customHeight="1">
      <c r="A21" s="137">
        <f t="shared" si="27"/>
        <v>4.1</v>
      </c>
      <c r="B21" s="51">
        <f t="shared" si="0"/>
        <v>-5.35147669302665</v>
      </c>
      <c r="C21" s="147">
        <f t="shared" si="1"/>
        <v>0.26039999999999996</v>
      </c>
      <c r="D21" s="168">
        <f t="shared" si="2"/>
        <v>2128.1908855787087</v>
      </c>
      <c r="E21" s="168">
        <f t="shared" si="3"/>
        <v>243902.43902439027</v>
      </c>
      <c r="F21" s="117">
        <f t="shared" si="23"/>
        <v>454.5834644463284</v>
      </c>
      <c r="G21" s="117">
        <f t="shared" si="4"/>
        <v>573.7125814796345</v>
      </c>
      <c r="H21" s="52">
        <f t="shared" si="5"/>
        <v>0.832047654029519</v>
      </c>
      <c r="I21" s="51">
        <f t="shared" si="6"/>
        <v>2.107877960746355</v>
      </c>
      <c r="J21" s="51">
        <f t="shared" si="7"/>
        <v>-0.3749382908627215</v>
      </c>
      <c r="K21" s="51">
        <f t="shared" si="8"/>
        <v>0.07418666556952315</v>
      </c>
      <c r="L21" s="51">
        <f t="shared" si="9"/>
        <v>0.6909479525802227</v>
      </c>
      <c r="M21" s="51">
        <f t="shared" si="24"/>
        <v>0.0005856591102350215</v>
      </c>
      <c r="N21" s="51">
        <f t="shared" si="25"/>
        <v>0.0639071369399748</v>
      </c>
      <c r="O21" s="51">
        <f t="shared" si="10"/>
        <v>0.02443505710853261</v>
      </c>
      <c r="P21" s="51">
        <f t="shared" si="11"/>
        <v>0</v>
      </c>
      <c r="Q21" s="51">
        <f t="shared" si="12"/>
        <v>0</v>
      </c>
      <c r="R21" s="61">
        <f t="shared" si="13"/>
        <v>0.4272678533619223</v>
      </c>
      <c r="S21" s="54">
        <f t="shared" si="14"/>
        <v>6</v>
      </c>
      <c r="T21" s="55">
        <f t="shared" si="15"/>
        <v>4.1464836147665265</v>
      </c>
      <c r="U21" s="51">
        <f t="shared" si="16"/>
        <v>4.107877960746356</v>
      </c>
      <c r="V21" s="51">
        <f t="shared" si="17"/>
        <v>2.0386056540201714</v>
      </c>
      <c r="W21" s="56">
        <f t="shared" si="18"/>
        <v>1.8535163852334735</v>
      </c>
      <c r="X21" s="105">
        <f t="shared" si="19"/>
        <v>-15.535145814108278</v>
      </c>
      <c r="Y21" s="26">
        <f t="shared" si="28"/>
        <v>-0.14273073954797733</v>
      </c>
      <c r="Z21" s="24">
        <f t="shared" si="20"/>
        <v>1.0993211590790997</v>
      </c>
      <c r="AA21" s="24">
        <f t="shared" si="21"/>
        <v>1.0993211590790997</v>
      </c>
      <c r="AB21" s="184">
        <f t="shared" si="22"/>
        <v>0.7482874289845552</v>
      </c>
      <c r="AC21" s="155">
        <f t="shared" si="26"/>
        <v>5</v>
      </c>
      <c r="AD21" s="157">
        <f t="shared" si="29"/>
        <v>7.9</v>
      </c>
      <c r="AE21" s="156">
        <f t="shared" si="30"/>
        <v>0</v>
      </c>
    </row>
    <row r="22" spans="1:31" s="27" customFormat="1" ht="15" customHeight="1">
      <c r="A22" s="137">
        <f t="shared" si="27"/>
        <v>4.199999999999999</v>
      </c>
      <c r="B22" s="51">
        <f t="shared" si="0"/>
        <v>-5.35147669302665</v>
      </c>
      <c r="C22" s="147">
        <f t="shared" si="1"/>
        <v>0.26039999999999996</v>
      </c>
      <c r="D22" s="168">
        <f t="shared" si="2"/>
        <v>2077.5196740173105</v>
      </c>
      <c r="E22" s="168">
        <f t="shared" si="3"/>
        <v>238095.23809523814</v>
      </c>
      <c r="F22" s="117">
        <f t="shared" si="23"/>
        <v>457.33799329445606</v>
      </c>
      <c r="G22" s="117">
        <f t="shared" si="4"/>
        <v>575.8975951595908</v>
      </c>
      <c r="H22" s="52">
        <f t="shared" si="5"/>
        <v>0.8467816625525133</v>
      </c>
      <c r="I22" s="51">
        <f t="shared" si="6"/>
        <v>2.159289618325534</v>
      </c>
      <c r="J22" s="51">
        <f t="shared" si="7"/>
        <v>-0.3840831272252269</v>
      </c>
      <c r="K22" s="51">
        <f t="shared" si="8"/>
        <v>0.07758640804229783</v>
      </c>
      <c r="L22" s="51">
        <f t="shared" si="9"/>
        <v>0.7685907007042465</v>
      </c>
      <c r="M22" s="51">
        <f t="shared" si="24"/>
        <v>0.0005834370603803074</v>
      </c>
      <c r="N22" s="51">
        <f t="shared" si="25"/>
        <v>0.06366107749638723</v>
      </c>
      <c r="O22" s="51">
        <f t="shared" si="10"/>
        <v>0.02761075804457684</v>
      </c>
      <c r="P22" s="51">
        <f t="shared" si="11"/>
        <v>0</v>
      </c>
      <c r="Q22" s="51">
        <f t="shared" si="12"/>
        <v>0</v>
      </c>
      <c r="R22" s="61">
        <f t="shared" si="13"/>
        <v>0.4272678533619223</v>
      </c>
      <c r="S22" s="54">
        <f t="shared" si="14"/>
        <v>6</v>
      </c>
      <c r="T22" s="55">
        <f t="shared" si="15"/>
        <v>4.29320167048518</v>
      </c>
      <c r="U22" s="51">
        <f t="shared" si="16"/>
        <v>4.159289618325534</v>
      </c>
      <c r="V22" s="51">
        <f t="shared" si="17"/>
        <v>2.133912052159646</v>
      </c>
      <c r="W22" s="56">
        <f t="shared" si="18"/>
        <v>1.70679832951482</v>
      </c>
      <c r="X22" s="105">
        <f t="shared" si="19"/>
        <v>-15.586557471687456</v>
      </c>
      <c r="Y22" s="26">
        <f t="shared" si="28"/>
        <v>-0.1511735962188374</v>
      </c>
      <c r="Z22" s="24">
        <f t="shared" si="20"/>
        <v>1.0993211590790997</v>
      </c>
      <c r="AA22" s="24">
        <f t="shared" si="21"/>
        <v>1.0993211590790997</v>
      </c>
      <c r="AB22" s="184">
        <f t="shared" si="22"/>
        <v>0.7457530674842671</v>
      </c>
      <c r="AC22" s="155">
        <f t="shared" si="26"/>
        <v>5</v>
      </c>
      <c r="AD22" s="157">
        <f t="shared" si="29"/>
        <v>7.9</v>
      </c>
      <c r="AE22" s="156">
        <f t="shared" si="30"/>
        <v>0</v>
      </c>
    </row>
    <row r="23" spans="1:31" s="27" customFormat="1" ht="15" customHeight="1">
      <c r="A23" s="137">
        <f t="shared" si="27"/>
        <v>4.299999999999999</v>
      </c>
      <c r="B23" s="51">
        <f t="shared" si="0"/>
        <v>-5.35147669302665</v>
      </c>
      <c r="C23" s="147">
        <f t="shared" si="1"/>
        <v>0.26039999999999996</v>
      </c>
      <c r="D23" s="168">
        <f t="shared" si="2"/>
        <v>2029.2052629936527</v>
      </c>
      <c r="E23" s="168">
        <f t="shared" si="3"/>
        <v>232558.13953488378</v>
      </c>
      <c r="F23" s="117">
        <f t="shared" si="23"/>
        <v>460.1418065340992</v>
      </c>
      <c r="G23" s="117">
        <f t="shared" si="4"/>
        <v>578.1267007503324</v>
      </c>
      <c r="H23" s="52">
        <f t="shared" si="5"/>
        <v>0.8619325630230132</v>
      </c>
      <c r="I23" s="51">
        <f t="shared" si="6"/>
        <v>2.2107012759047135</v>
      </c>
      <c r="J23" s="51">
        <f t="shared" si="7"/>
        <v>-0.39322796358773227</v>
      </c>
      <c r="K23" s="51">
        <f t="shared" si="8"/>
        <v>0.08104370022791209</v>
      </c>
      <c r="L23" s="51">
        <f t="shared" si="9"/>
        <v>0.8542766639886052</v>
      </c>
      <c r="M23" s="51">
        <f t="shared" si="24"/>
        <v>0.0005811874794295371</v>
      </c>
      <c r="N23" s="51">
        <f t="shared" si="25"/>
        <v>0.06341199778675023</v>
      </c>
      <c r="O23" s="51">
        <f t="shared" si="10"/>
        <v>0.031240453139197197</v>
      </c>
      <c r="P23" s="51">
        <f t="shared" si="11"/>
        <v>0</v>
      </c>
      <c r="Q23" s="51">
        <f t="shared" si="12"/>
        <v>0</v>
      </c>
      <c r="R23" s="61">
        <f t="shared" si="13"/>
        <v>0.4272678533619223</v>
      </c>
      <c r="S23" s="54">
        <f t="shared" si="14"/>
        <v>6</v>
      </c>
      <c r="T23" s="55">
        <f t="shared" si="15"/>
        <v>4.448830807204201</v>
      </c>
      <c r="U23" s="51">
        <f t="shared" si="16"/>
        <v>4.2107012759047135</v>
      </c>
      <c r="V23" s="51">
        <f t="shared" si="17"/>
        <v>2.2381295312994878</v>
      </c>
      <c r="W23" s="56">
        <f t="shared" si="18"/>
        <v>1.5511691927957987</v>
      </c>
      <c r="X23" s="105">
        <f t="shared" si="19"/>
        <v>-15.637969129266637</v>
      </c>
      <c r="Y23" s="26">
        <f t="shared" si="28"/>
        <v>-0.16064454401709938</v>
      </c>
      <c r="Z23" s="24">
        <f t="shared" si="20"/>
        <v>1.0993211590790997</v>
      </c>
      <c r="AA23" s="24">
        <f t="shared" si="21"/>
        <v>1.0993211590790997</v>
      </c>
      <c r="AB23" s="184">
        <f t="shared" si="22"/>
        <v>0.7431559484358987</v>
      </c>
      <c r="AC23" s="155">
        <f t="shared" si="26"/>
        <v>5</v>
      </c>
      <c r="AD23" s="157">
        <f t="shared" si="29"/>
        <v>7.9</v>
      </c>
      <c r="AE23" s="156">
        <f t="shared" si="30"/>
        <v>0</v>
      </c>
    </row>
    <row r="24" spans="1:31" s="27" customFormat="1" ht="15" customHeight="1">
      <c r="A24" s="137">
        <f t="shared" si="27"/>
        <v>4.399999999999999</v>
      </c>
      <c r="B24" s="51">
        <f t="shared" si="0"/>
        <v>-5.35147669302665</v>
      </c>
      <c r="C24" s="147">
        <f t="shared" si="1"/>
        <v>0.26039999999999996</v>
      </c>
      <c r="D24" s="168">
        <f t="shared" si="2"/>
        <v>1983.086961561979</v>
      </c>
      <c r="E24" s="168">
        <f t="shared" si="3"/>
        <v>227272.72727272735</v>
      </c>
      <c r="F24" s="117">
        <f t="shared" si="23"/>
        <v>462.99400879235986</v>
      </c>
      <c r="G24" s="117">
        <f t="shared" si="4"/>
        <v>580.3993902285044</v>
      </c>
      <c r="H24" s="52">
        <f t="shared" si="5"/>
        <v>0.8775032417359646</v>
      </c>
      <c r="I24" s="51">
        <f t="shared" si="6"/>
        <v>2.2621129334838925</v>
      </c>
      <c r="J24" s="51">
        <f t="shared" si="7"/>
        <v>-0.40237279995023767</v>
      </c>
      <c r="K24" s="51">
        <f t="shared" si="8"/>
        <v>0.0845569821775804</v>
      </c>
      <c r="L24" s="51">
        <f t="shared" si="9"/>
        <v>0.9490313930917699</v>
      </c>
      <c r="M24" s="51">
        <f t="shared" si="24"/>
        <v>0.0005789117040038862</v>
      </c>
      <c r="N24" s="51">
        <f t="shared" si="25"/>
        <v>0.06316004682214725</v>
      </c>
      <c r="O24" s="51">
        <f t="shared" si="10"/>
        <v>0.03541529002368306</v>
      </c>
      <c r="P24" s="51">
        <f t="shared" si="11"/>
        <v>0</v>
      </c>
      <c r="Q24" s="51">
        <f t="shared" si="12"/>
        <v>0</v>
      </c>
      <c r="R24" s="61">
        <f t="shared" si="13"/>
        <v>0.4272678533619223</v>
      </c>
      <c r="S24" s="54">
        <f t="shared" si="14"/>
        <v>6</v>
      </c>
      <c r="T24" s="55">
        <f t="shared" si="15"/>
        <v>4.614490758519379</v>
      </c>
      <c r="U24" s="51">
        <f t="shared" si="16"/>
        <v>4.262112933483893</v>
      </c>
      <c r="V24" s="51">
        <f t="shared" si="17"/>
        <v>2.3523778250354863</v>
      </c>
      <c r="W24" s="56">
        <f t="shared" si="18"/>
        <v>1.3855092414806212</v>
      </c>
      <c r="X24" s="105">
        <f t="shared" si="19"/>
        <v>-15.689380786845815</v>
      </c>
      <c r="Y24" s="26">
        <f t="shared" si="28"/>
        <v>-0.17135356312358851</v>
      </c>
      <c r="Z24" s="24">
        <f t="shared" si="20"/>
        <v>1.0993211590790997</v>
      </c>
      <c r="AA24" s="24">
        <f t="shared" si="21"/>
        <v>1.0993211590790997</v>
      </c>
      <c r="AB24" s="184">
        <f t="shared" si="22"/>
        <v>0.7404962959839023</v>
      </c>
      <c r="AC24" s="155">
        <f t="shared" si="26"/>
        <v>5</v>
      </c>
      <c r="AD24" s="157">
        <f t="shared" si="29"/>
        <v>7.9</v>
      </c>
      <c r="AE24" s="156">
        <f t="shared" si="30"/>
        <v>0</v>
      </c>
    </row>
    <row r="25" spans="1:31" s="21" customFormat="1" ht="15" customHeight="1">
      <c r="A25" s="136">
        <f t="shared" si="27"/>
        <v>4.499999999999998</v>
      </c>
      <c r="B25" s="103">
        <f t="shared" si="0"/>
        <v>-5.35147669302665</v>
      </c>
      <c r="C25" s="146">
        <f t="shared" si="1"/>
        <v>0.26039999999999996</v>
      </c>
      <c r="D25" s="167">
        <f t="shared" si="2"/>
        <v>1939.0183624161573</v>
      </c>
      <c r="E25" s="167">
        <f t="shared" si="3"/>
        <v>222222.2222222223</v>
      </c>
      <c r="F25" s="116">
        <f t="shared" si="23"/>
        <v>465.8937113570714</v>
      </c>
      <c r="G25" s="116">
        <f t="shared" si="4"/>
        <v>582.7151536403238</v>
      </c>
      <c r="H25" s="106">
        <f t="shared" si="5"/>
        <v>0.8934965102275073</v>
      </c>
      <c r="I25" s="103">
        <f t="shared" si="6"/>
        <v>2.313524591063072</v>
      </c>
      <c r="J25" s="103">
        <f t="shared" si="7"/>
        <v>-0.411517636312743</v>
      </c>
      <c r="K25" s="103">
        <f t="shared" si="8"/>
        <v>0.08812467713060025</v>
      </c>
      <c r="L25" s="103">
        <f t="shared" si="9"/>
        <v>1.0540903693168162</v>
      </c>
      <c r="M25" s="103">
        <f t="shared" si="24"/>
        <v>0.0005766110558494129</v>
      </c>
      <c r="N25" s="103">
        <f t="shared" si="25"/>
        <v>0.06290537191000299</v>
      </c>
      <c r="O25" s="103">
        <f t="shared" si="10"/>
        <v>0.04025323757205791</v>
      </c>
      <c r="P25" s="103">
        <f t="shared" si="11"/>
        <v>0</v>
      </c>
      <c r="Q25" s="103">
        <f t="shared" si="12"/>
        <v>0</v>
      </c>
      <c r="R25" s="107">
        <f t="shared" si="13"/>
        <v>0.4272678533619223</v>
      </c>
      <c r="S25" s="108">
        <f t="shared" si="14"/>
        <v>6</v>
      </c>
      <c r="T25" s="104">
        <f t="shared" si="15"/>
        <v>4.791537933451378</v>
      </c>
      <c r="U25" s="103">
        <f t="shared" si="16"/>
        <v>4.3135245910630715</v>
      </c>
      <c r="V25" s="103">
        <f t="shared" si="17"/>
        <v>2.4780133423883064</v>
      </c>
      <c r="W25" s="109">
        <f t="shared" si="18"/>
        <v>1.2084620665486216</v>
      </c>
      <c r="X25" s="110">
        <f t="shared" si="19"/>
        <v>-15.740792444424994</v>
      </c>
      <c r="Y25" s="28">
        <f t="shared" si="28"/>
        <v>-0.18357443483406888</v>
      </c>
      <c r="Z25" s="19">
        <f t="shared" si="20"/>
        <v>1.0993211590790997</v>
      </c>
      <c r="AA25" s="19">
        <f t="shared" si="21"/>
        <v>1.0993211590790997</v>
      </c>
      <c r="AB25" s="183">
        <f t="shared" si="22"/>
        <v>0.7377743695120133</v>
      </c>
      <c r="AC25" s="155">
        <f t="shared" si="26"/>
        <v>5</v>
      </c>
      <c r="AD25" s="157">
        <f t="shared" si="29"/>
        <v>7.9</v>
      </c>
      <c r="AE25" s="156">
        <f t="shared" si="30"/>
        <v>0</v>
      </c>
    </row>
    <row r="26" spans="1:31" s="27" customFormat="1" ht="15" customHeight="1">
      <c r="A26" s="137">
        <f t="shared" si="27"/>
        <v>4.599999999999998</v>
      </c>
      <c r="B26" s="51">
        <f t="shared" si="0"/>
        <v>-5.35147669302665</v>
      </c>
      <c r="C26" s="147">
        <f t="shared" si="1"/>
        <v>0.26039999999999996</v>
      </c>
      <c r="D26" s="168">
        <f t="shared" si="2"/>
        <v>1896.865789320154</v>
      </c>
      <c r="E26" s="168">
        <f t="shared" si="3"/>
        <v>217391.3043478262</v>
      </c>
      <c r="F26" s="117">
        <f t="shared" si="23"/>
        <v>468.84003288307565</v>
      </c>
      <c r="G26" s="117">
        <f t="shared" si="4"/>
        <v>585.0734795167215</v>
      </c>
      <c r="H26" s="52">
        <f t="shared" si="5"/>
        <v>0.9099151006587215</v>
      </c>
      <c r="I26" s="51">
        <f t="shared" si="6"/>
        <v>2.364936248642251</v>
      </c>
      <c r="J26" s="51">
        <f t="shared" si="7"/>
        <v>-0.42066247267524837</v>
      </c>
      <c r="K26" s="51">
        <f t="shared" si="8"/>
        <v>0.09174519268715044</v>
      </c>
      <c r="L26" s="51">
        <f t="shared" si="9"/>
        <v>1.1709625452621713</v>
      </c>
      <c r="M26" s="51">
        <f t="shared" si="24"/>
        <v>0.0005742868404794907</v>
      </c>
      <c r="N26" s="51">
        <f t="shared" si="25"/>
        <v>0.0626481185029163</v>
      </c>
      <c r="O26" s="51">
        <f t="shared" si="10"/>
        <v>0.04590976175953487</v>
      </c>
      <c r="P26" s="51">
        <f t="shared" si="11"/>
        <v>0</v>
      </c>
      <c r="Q26" s="51">
        <f t="shared" si="12"/>
        <v>0</v>
      </c>
      <c r="R26" s="61">
        <f t="shared" si="13"/>
        <v>0.4272678533619223</v>
      </c>
      <c r="S26" s="54">
        <f t="shared" si="14"/>
        <v>6</v>
      </c>
      <c r="T26" s="55">
        <f t="shared" si="15"/>
        <v>4.981639628187517</v>
      </c>
      <c r="U26" s="51">
        <f t="shared" si="16"/>
        <v>4.364936248642251</v>
      </c>
      <c r="V26" s="51">
        <f t="shared" si="17"/>
        <v>2.6167033795452657</v>
      </c>
      <c r="W26" s="56">
        <f t="shared" si="18"/>
        <v>1.0183603718124834</v>
      </c>
      <c r="X26" s="105">
        <f t="shared" si="19"/>
        <v>-15.792204102004174</v>
      </c>
      <c r="Y26" s="26">
        <f t="shared" si="28"/>
        <v>-0.19767084947300617</v>
      </c>
      <c r="Z26" s="24">
        <f t="shared" si="20"/>
        <v>1.0993211590790997</v>
      </c>
      <c r="AA26" s="24">
        <f t="shared" si="21"/>
        <v>1.0993211590790997</v>
      </c>
      <c r="AB26" s="184">
        <f t="shared" si="22"/>
        <v>0.7349904642570685</v>
      </c>
      <c r="AC26" s="155">
        <f t="shared" si="26"/>
        <v>5</v>
      </c>
      <c r="AD26" s="157">
        <f t="shared" si="29"/>
        <v>7.9</v>
      </c>
      <c r="AE26" s="156">
        <f t="shared" si="30"/>
        <v>0</v>
      </c>
    </row>
    <row r="27" spans="1:31" s="27" customFormat="1" ht="15" customHeight="1">
      <c r="A27" s="137">
        <f t="shared" si="27"/>
        <v>4.6999999999999975</v>
      </c>
      <c r="B27" s="51">
        <f t="shared" si="0"/>
        <v>-5.35147669302665</v>
      </c>
      <c r="C27" s="147">
        <f t="shared" si="1"/>
        <v>0.26039999999999996</v>
      </c>
      <c r="D27" s="168">
        <f t="shared" si="2"/>
        <v>1856.5069427388744</v>
      </c>
      <c r="E27" s="168">
        <f t="shared" si="3"/>
        <v>212765.95744680864</v>
      </c>
      <c r="F27" s="117">
        <f t="shared" si="23"/>
        <v>471.8321000449542</v>
      </c>
      <c r="G27" s="117">
        <f t="shared" si="4"/>
        <v>587.4738552759873</v>
      </c>
      <c r="H27" s="52">
        <f t="shared" si="5"/>
        <v>0.9267616615493603</v>
      </c>
      <c r="I27" s="51">
        <f t="shared" si="6"/>
        <v>2.4163479062214304</v>
      </c>
      <c r="J27" s="51">
        <f t="shared" si="7"/>
        <v>-0.42980730903775377</v>
      </c>
      <c r="K27" s="51">
        <f t="shared" si="8"/>
        <v>0.09541692198551897</v>
      </c>
      <c r="L27" s="51">
        <f t="shared" si="9"/>
        <v>1.3015197472558673</v>
      </c>
      <c r="M27" s="51">
        <f t="shared" si="24"/>
        <v>0.0005719403459106308</v>
      </c>
      <c r="N27" s="51">
        <f t="shared" si="25"/>
        <v>0.06238843005804996</v>
      </c>
      <c r="O27" s="51">
        <f t="shared" si="10"/>
        <v>0.05259403395076155</v>
      </c>
      <c r="P27" s="51">
        <f t="shared" si="11"/>
        <v>0</v>
      </c>
      <c r="Q27" s="51">
        <f t="shared" si="12"/>
        <v>0</v>
      </c>
      <c r="R27" s="61">
        <f t="shared" si="13"/>
        <v>0.4272678533619223</v>
      </c>
      <c r="S27" s="54">
        <f t="shared" si="14"/>
        <v>6</v>
      </c>
      <c r="T27" s="55">
        <f t="shared" si="15"/>
        <v>5.186879632397391</v>
      </c>
      <c r="U27" s="51">
        <f t="shared" si="16"/>
        <v>4.41634790622143</v>
      </c>
      <c r="V27" s="51">
        <f t="shared" si="17"/>
        <v>2.7705317261759603</v>
      </c>
      <c r="W27" s="56">
        <f t="shared" si="18"/>
        <v>0.8131203676026093</v>
      </c>
      <c r="X27" s="105">
        <f t="shared" si="19"/>
        <v>-15.843615759583352</v>
      </c>
      <c r="Y27" s="26">
        <f t="shared" si="28"/>
        <v>-0.2141365126931034</v>
      </c>
      <c r="Z27" s="24">
        <f t="shared" si="20"/>
        <v>1.0993211590790997</v>
      </c>
      <c r="AA27" s="24">
        <f t="shared" si="21"/>
        <v>1.0993211590790997</v>
      </c>
      <c r="AB27" s="184">
        <f t="shared" si="22"/>
        <v>0.7321449118167922</v>
      </c>
      <c r="AC27" s="155">
        <f t="shared" si="26"/>
        <v>5</v>
      </c>
      <c r="AD27" s="157">
        <f t="shared" si="29"/>
        <v>7.9</v>
      </c>
      <c r="AE27" s="156">
        <f t="shared" si="30"/>
        <v>0</v>
      </c>
    </row>
    <row r="28" spans="1:31" s="27" customFormat="1" ht="15" customHeight="1">
      <c r="A28" s="137">
        <f t="shared" si="27"/>
        <v>4.799999999999997</v>
      </c>
      <c r="B28" s="51">
        <f t="shared" si="0"/>
        <v>-5.35147669302665</v>
      </c>
      <c r="C28" s="147">
        <f t="shared" si="1"/>
        <v>0.26039999999999996</v>
      </c>
      <c r="D28" s="168">
        <f t="shared" si="2"/>
        <v>1817.8297147651479</v>
      </c>
      <c r="E28" s="168">
        <f t="shared" si="3"/>
        <v>208333.33333333346</v>
      </c>
      <c r="F28" s="117">
        <f t="shared" si="23"/>
        <v>474.8690481376427</v>
      </c>
      <c r="G28" s="117">
        <f t="shared" si="4"/>
        <v>589.9157676136067</v>
      </c>
      <c r="H28" s="52">
        <f t="shared" si="5"/>
        <v>0.9440387538699645</v>
      </c>
      <c r="I28" s="51">
        <f t="shared" si="6"/>
        <v>2.4677595638006093</v>
      </c>
      <c r="J28" s="51">
        <f t="shared" si="7"/>
        <v>-0.4389521454002591</v>
      </c>
      <c r="K28" s="51">
        <f t="shared" si="8"/>
        <v>0.09913824488255177</v>
      </c>
      <c r="L28" s="51">
        <f t="shared" si="9"/>
        <v>1.4481257005075623</v>
      </c>
      <c r="M28" s="51">
        <f t="shared" si="24"/>
        <v>0.0005695728414909552</v>
      </c>
      <c r="N28" s="51">
        <f t="shared" si="25"/>
        <v>0.06212644790701484</v>
      </c>
      <c r="O28" s="51">
        <f t="shared" si="10"/>
        <v>0.060594334126650704</v>
      </c>
      <c r="P28" s="51">
        <f t="shared" si="11"/>
        <v>0</v>
      </c>
      <c r="Q28" s="51">
        <f t="shared" si="12"/>
        <v>0</v>
      </c>
      <c r="R28" s="61">
        <f t="shared" si="13"/>
        <v>0.4272678533619223</v>
      </c>
      <c r="S28" s="54">
        <f t="shared" si="14"/>
        <v>6</v>
      </c>
      <c r="T28" s="55">
        <f t="shared" si="15"/>
        <v>5.409912653573723</v>
      </c>
      <c r="U28" s="51">
        <f t="shared" si="16"/>
        <v>4.467759563800609</v>
      </c>
      <c r="V28" s="51">
        <f t="shared" si="17"/>
        <v>2.942153089773114</v>
      </c>
      <c r="W28" s="56">
        <f t="shared" si="18"/>
        <v>0.5900873464262766</v>
      </c>
      <c r="X28" s="105">
        <f t="shared" si="19"/>
        <v>-15.895027417162531</v>
      </c>
      <c r="Y28" s="26">
        <f t="shared" si="28"/>
        <v>-0.23365889713632315</v>
      </c>
      <c r="Z28" s="24">
        <f t="shared" si="20"/>
        <v>1.0993211590790997</v>
      </c>
      <c r="AA28" s="24">
        <f t="shared" si="21"/>
        <v>1.0993211590790997</v>
      </c>
      <c r="AB28" s="184">
        <f t="shared" si="22"/>
        <v>0.7292380805504036</v>
      </c>
      <c r="AC28" s="155">
        <f t="shared" si="26"/>
        <v>5</v>
      </c>
      <c r="AD28" s="157">
        <f t="shared" si="29"/>
        <v>7.9</v>
      </c>
      <c r="AE28" s="156">
        <f t="shared" si="30"/>
        <v>0</v>
      </c>
    </row>
    <row r="29" spans="1:31" s="27" customFormat="1" ht="15" customHeight="1">
      <c r="A29" s="137">
        <f t="shared" si="27"/>
        <v>4.899999999999997</v>
      </c>
      <c r="B29" s="51">
        <f t="shared" si="0"/>
        <v>-5.35147669302665</v>
      </c>
      <c r="C29" s="147">
        <f t="shared" si="1"/>
        <v>0.26039999999999996</v>
      </c>
      <c r="D29" s="168">
        <f t="shared" si="2"/>
        <v>1780.7311491576959</v>
      </c>
      <c r="E29" s="168">
        <f t="shared" si="3"/>
        <v>204081.63265306136</v>
      </c>
      <c r="F29" s="117">
        <f t="shared" si="23"/>
        <v>477.9500216264886</v>
      </c>
      <c r="G29" s="117">
        <f t="shared" si="4"/>
        <v>592.3987028790331</v>
      </c>
      <c r="H29" s="52">
        <f t="shared" si="5"/>
        <v>0.9617488474990805</v>
      </c>
      <c r="I29" s="51">
        <f t="shared" si="6"/>
        <v>2.5191712213797888</v>
      </c>
      <c r="J29" s="51">
        <f t="shared" si="7"/>
        <v>-0.4480969817627645</v>
      </c>
      <c r="K29" s="51">
        <f t="shared" si="8"/>
        <v>0.10290752913611727</v>
      </c>
      <c r="L29" s="51">
        <f t="shared" si="9"/>
        <v>1.6138278207380328</v>
      </c>
      <c r="M29" s="51">
        <f t="shared" si="24"/>
        <v>0.0005671855768202293</v>
      </c>
      <c r="N29" s="51">
        <f t="shared" si="25"/>
        <v>0.06186231113609847</v>
      </c>
      <c r="O29" s="51">
        <f t="shared" si="10"/>
        <v>0.07031937255511461</v>
      </c>
      <c r="P29" s="51">
        <f t="shared" si="11"/>
        <v>0</v>
      </c>
      <c r="Q29" s="51">
        <f t="shared" si="12"/>
        <v>0</v>
      </c>
      <c r="R29" s="61">
        <f t="shared" si="13"/>
        <v>0.4272678533619223</v>
      </c>
      <c r="S29" s="54">
        <f t="shared" si="14"/>
        <v>6</v>
      </c>
      <c r="T29" s="55">
        <f t="shared" si="15"/>
        <v>5.654197426670037</v>
      </c>
      <c r="U29" s="51">
        <f t="shared" si="16"/>
        <v>4.519171221379789</v>
      </c>
      <c r="V29" s="51">
        <f t="shared" si="17"/>
        <v>3.1350262052902482</v>
      </c>
      <c r="W29" s="56">
        <f t="shared" si="18"/>
        <v>0.345802573329963</v>
      </c>
      <c r="X29" s="105">
        <f t="shared" si="19"/>
        <v>-15.946439074741711</v>
      </c>
      <c r="Y29" s="26">
        <f t="shared" si="28"/>
        <v>-0.25722474454469335</v>
      </c>
      <c r="Z29" s="24">
        <f t="shared" si="20"/>
        <v>1.0993211590790997</v>
      </c>
      <c r="AA29" s="24">
        <f t="shared" si="21"/>
        <v>1.0993211590790997</v>
      </c>
      <c r="AB29" s="184">
        <f t="shared" si="22"/>
        <v>0.7262703758714287</v>
      </c>
      <c r="AC29" s="155">
        <f t="shared" si="26"/>
        <v>5</v>
      </c>
      <c r="AD29" s="157">
        <f t="shared" si="29"/>
        <v>7.9</v>
      </c>
      <c r="AE29" s="156">
        <f t="shared" si="30"/>
        <v>0</v>
      </c>
    </row>
    <row r="30" spans="1:31" s="21" customFormat="1" ht="15" customHeight="1">
      <c r="A30" s="136">
        <f t="shared" si="27"/>
        <v>4.9999999999999964</v>
      </c>
      <c r="B30" s="103">
        <f t="shared" si="0"/>
        <v>-5.35147669302665</v>
      </c>
      <c r="C30" s="146">
        <f t="shared" si="1"/>
        <v>0.26039999999999996</v>
      </c>
      <c r="D30" s="167">
        <f t="shared" si="2"/>
        <v>1745.1165261745418</v>
      </c>
      <c r="E30" s="167">
        <f t="shared" si="3"/>
        <v>200000.00000000015</v>
      </c>
      <c r="F30" s="116">
        <f t="shared" si="23"/>
        <v>481.07417464842354</v>
      </c>
      <c r="G30" s="116">
        <f t="shared" si="4"/>
        <v>594.9221474391939</v>
      </c>
      <c r="H30" s="106">
        <f t="shared" si="5"/>
        <v>0.9798943180507346</v>
      </c>
      <c r="I30" s="103">
        <f t="shared" si="6"/>
        <v>2.5705828789589678</v>
      </c>
      <c r="J30" s="103">
        <f t="shared" si="7"/>
        <v>-0.45724181812526987</v>
      </c>
      <c r="K30" s="103">
        <f t="shared" si="8"/>
        <v>0.10672313158838927</v>
      </c>
      <c r="L30" s="103">
        <f t="shared" si="9"/>
        <v>1.8026524068405307</v>
      </c>
      <c r="M30" s="103">
        <f t="shared" si="24"/>
        <v>0.0005647797807600398</v>
      </c>
      <c r="N30" s="103">
        <f t="shared" si="25"/>
        <v>0.06159615647668392</v>
      </c>
      <c r="O30" s="103">
        <f t="shared" si="10"/>
        <v>0.0823685289742716</v>
      </c>
      <c r="P30" s="103">
        <f t="shared" si="11"/>
        <v>0</v>
      </c>
      <c r="Q30" s="103">
        <f t="shared" si="12"/>
        <v>0</v>
      </c>
      <c r="R30" s="107">
        <f t="shared" si="13"/>
        <v>0.4272678533619223</v>
      </c>
      <c r="S30" s="108">
        <f t="shared" si="14"/>
        <v>6</v>
      </c>
      <c r="T30" s="104">
        <f t="shared" si="15"/>
        <v>5.92436214266311</v>
      </c>
      <c r="U30" s="103">
        <f t="shared" si="16"/>
        <v>4.570582878958968</v>
      </c>
      <c r="V30" s="103">
        <f t="shared" si="17"/>
        <v>3.3537792637041424</v>
      </c>
      <c r="W30" s="109">
        <f t="shared" si="18"/>
        <v>0.07563785733688988</v>
      </c>
      <c r="X30" s="110">
        <f t="shared" si="19"/>
        <v>-15.99785073232089</v>
      </c>
      <c r="Y30" s="28">
        <f t="shared" si="28"/>
        <v>-0.2863032933966059</v>
      </c>
      <c r="Z30" s="19">
        <f t="shared" si="20"/>
        <v>1.0993211590790997</v>
      </c>
      <c r="AA30" s="19">
        <f t="shared" si="21"/>
        <v>1.0993211590790997</v>
      </c>
      <c r="AB30" s="183">
        <f t="shared" si="22"/>
        <v>0.7232422404326144</v>
      </c>
      <c r="AC30" s="155">
        <f t="shared" si="26"/>
        <v>5</v>
      </c>
      <c r="AD30" s="157">
        <f t="shared" si="29"/>
        <v>7.9</v>
      </c>
      <c r="AE30" s="156">
        <f t="shared" si="30"/>
        <v>0.07563785733688988</v>
      </c>
    </row>
    <row r="31" spans="1:31" s="27" customFormat="1" ht="15" customHeight="1">
      <c r="A31" s="137">
        <f t="shared" si="27"/>
        <v>5.099999999999996</v>
      </c>
      <c r="B31" s="51">
        <f t="shared" si="0"/>
        <v>-5.35147669302665</v>
      </c>
      <c r="C31" s="147">
        <f t="shared" si="1"/>
        <v>0.26039999999999996</v>
      </c>
      <c r="D31" s="168">
        <f t="shared" si="2"/>
        <v>1710.8985550730806</v>
      </c>
      <c r="E31" s="168">
        <f t="shared" si="3"/>
        <v>196078.43137254918</v>
      </c>
      <c r="F31" s="117">
        <f t="shared" si="23"/>
        <v>484.2406714660117</v>
      </c>
      <c r="G31" s="117">
        <f t="shared" si="4"/>
        <v>597.4855880285766</v>
      </c>
      <c r="H31" s="52">
        <f t="shared" si="5"/>
        <v>0.9984774440756262</v>
      </c>
      <c r="I31" s="51">
        <f t="shared" si="6"/>
        <v>2.621994536538147</v>
      </c>
      <c r="J31" s="51">
        <f t="shared" si="7"/>
        <v>-0.4663866544877753</v>
      </c>
      <c r="K31" s="51">
        <f t="shared" si="8"/>
        <v>0.11058339934876023</v>
      </c>
      <c r="L31" s="51">
        <f t="shared" si="9"/>
        <v>2.020078315043089</v>
      </c>
      <c r="M31" s="51">
        <f t="shared" si="24"/>
        <v>0.0005623566605324207</v>
      </c>
      <c r="N31" s="51">
        <f t="shared" si="25"/>
        <v>0.061328118205647805</v>
      </c>
      <c r="O31" s="51">
        <f t="shared" si="10"/>
        <v>0.09765774623881658</v>
      </c>
      <c r="P31" s="51">
        <f t="shared" si="11"/>
        <v>0</v>
      </c>
      <c r="Q31" s="51">
        <f t="shared" si="12"/>
        <v>0</v>
      </c>
      <c r="R31" s="61">
        <f t="shared" si="13"/>
        <v>0.4272678533619223</v>
      </c>
      <c r="S31" s="54">
        <f t="shared" si="14"/>
        <v>6</v>
      </c>
      <c r="T31" s="55">
        <f t="shared" si="15"/>
        <v>6.226804013463249</v>
      </c>
      <c r="U31" s="51">
        <f t="shared" si="16"/>
        <v>4.621994536538147</v>
      </c>
      <c r="V31" s="51">
        <f t="shared" si="17"/>
        <v>3.6048094769251016</v>
      </c>
      <c r="W31" s="56">
        <f t="shared" si="18"/>
        <v>-0.22680401346324874</v>
      </c>
      <c r="X31" s="105">
        <f t="shared" si="19"/>
        <v>-16.04926238990007</v>
      </c>
      <c r="Y31" s="26">
        <f t="shared" si="28"/>
        <v>-0.32318384313167137</v>
      </c>
      <c r="Z31" s="24">
        <f t="shared" si="20"/>
        <v>1.0993211590790997</v>
      </c>
      <c r="AA31" s="24">
        <f t="shared" si="21"/>
        <v>1.0993211590790997</v>
      </c>
      <c r="AB31" s="184">
        <f t="shared" si="22"/>
        <v>0.7201541542033578</v>
      </c>
      <c r="AC31" s="155">
        <f t="shared" si="26"/>
        <v>5</v>
      </c>
      <c r="AD31" s="157">
        <f t="shared" si="29"/>
        <v>7.9</v>
      </c>
      <c r="AE31" s="156">
        <f t="shared" si="30"/>
        <v>0</v>
      </c>
    </row>
    <row r="32" spans="1:31" s="27" customFormat="1" ht="15" customHeight="1">
      <c r="A32" s="137">
        <f t="shared" si="27"/>
        <v>5.199999999999996</v>
      </c>
      <c r="B32" s="51">
        <f t="shared" si="0"/>
        <v>-5.35147669302665</v>
      </c>
      <c r="C32" s="147">
        <f t="shared" si="1"/>
        <v>0.26039999999999996</v>
      </c>
      <c r="D32" s="168">
        <f t="shared" si="2"/>
        <v>1677.9966597832135</v>
      </c>
      <c r="E32" s="168">
        <f t="shared" si="3"/>
        <v>192307.69230769246</v>
      </c>
      <c r="F32" s="117">
        <f t="shared" si="23"/>
        <v>487.4486868762052</v>
      </c>
      <c r="G32" s="117">
        <f t="shared" si="4"/>
        <v>600.0885120857895</v>
      </c>
      <c r="H32" s="52">
        <f t="shared" si="5"/>
        <v>1.0175004046380132</v>
      </c>
      <c r="I32" s="51">
        <f t="shared" si="6"/>
        <v>2.673406194117326</v>
      </c>
      <c r="J32" s="51">
        <f t="shared" si="7"/>
        <v>-0.4755314908502806</v>
      </c>
      <c r="K32" s="51">
        <f t="shared" si="8"/>
        <v>0.11448667097520418</v>
      </c>
      <c r="L32" s="51">
        <f t="shared" si="9"/>
        <v>2.27383666808667</v>
      </c>
      <c r="M32" s="51">
        <f t="shared" si="24"/>
        <v>0.0005599174009049601</v>
      </c>
      <c r="N32" s="51">
        <f t="shared" si="25"/>
        <v>0.06105832805551334</v>
      </c>
      <c r="O32" s="51">
        <f t="shared" si="10"/>
        <v>0.11766038066700682</v>
      </c>
      <c r="P32" s="51">
        <f t="shared" si="11"/>
        <v>0</v>
      </c>
      <c r="Q32" s="51">
        <f t="shared" si="12"/>
        <v>0</v>
      </c>
      <c r="R32" s="61">
        <f t="shared" si="13"/>
        <v>0.4272678533619223</v>
      </c>
      <c r="S32" s="54">
        <f t="shared" si="14"/>
        <v>6</v>
      </c>
      <c r="T32" s="55">
        <f t="shared" si="15"/>
        <v>6.570729828926453</v>
      </c>
      <c r="U32" s="51">
        <f t="shared" si="16"/>
        <v>4.673406194117327</v>
      </c>
      <c r="V32" s="51">
        <f t="shared" si="17"/>
        <v>3.8973236348091267</v>
      </c>
      <c r="W32" s="56">
        <f t="shared" si="18"/>
        <v>-0.5707298289264529</v>
      </c>
      <c r="X32" s="105">
        <f t="shared" si="19"/>
        <v>-16.10067404747925</v>
      </c>
      <c r="Y32" s="26">
        <f t="shared" si="28"/>
        <v>-0.3716454904093611</v>
      </c>
      <c r="Z32" s="24">
        <f t="shared" si="20"/>
        <v>1.0993211590790997</v>
      </c>
      <c r="AA32" s="24">
        <f t="shared" si="21"/>
        <v>1.0993211590790997</v>
      </c>
      <c r="AB32" s="184">
        <f t="shared" si="22"/>
        <v>0.717006634440552</v>
      </c>
      <c r="AC32" s="155">
        <f t="shared" si="26"/>
        <v>5</v>
      </c>
      <c r="AD32" s="157">
        <f t="shared" si="29"/>
        <v>7.9</v>
      </c>
      <c r="AE32" s="156">
        <f t="shared" si="30"/>
        <v>0</v>
      </c>
    </row>
    <row r="33" spans="1:31" s="27" customFormat="1" ht="15" customHeight="1">
      <c r="A33" s="137">
        <f t="shared" si="27"/>
        <v>5.299999999999995</v>
      </c>
      <c r="B33" s="51">
        <f t="shared" si="0"/>
        <v>-5.35147669302665</v>
      </c>
      <c r="C33" s="147">
        <f t="shared" si="1"/>
        <v>0.26039999999999996</v>
      </c>
      <c r="D33" s="168">
        <f t="shared" si="2"/>
        <v>1646.3363454476814</v>
      </c>
      <c r="E33" s="168">
        <f t="shared" si="3"/>
        <v>188679.24528301903</v>
      </c>
      <c r="F33" s="117">
        <f t="shared" si="23"/>
        <v>490.6974065756925</v>
      </c>
      <c r="G33" s="117">
        <f t="shared" si="4"/>
        <v>602.7304080765383</v>
      </c>
      <c r="H33" s="52">
        <f t="shared" si="5"/>
        <v>1.0369652772686555</v>
      </c>
      <c r="I33" s="51">
        <f t="shared" si="6"/>
        <v>2.7248178516965056</v>
      </c>
      <c r="J33" s="51">
        <f t="shared" si="7"/>
        <v>-0.484676327212786</v>
      </c>
      <c r="K33" s="51">
        <f t="shared" si="8"/>
        <v>0.11843127765292297</v>
      </c>
      <c r="L33" s="51">
        <f t="shared" si="9"/>
        <v>2.575349554290907</v>
      </c>
      <c r="M33" s="51">
        <f t="shared" si="24"/>
        <v>0.0005574631634601928</v>
      </c>
      <c r="N33" s="51">
        <f t="shared" si="25"/>
        <v>0.060786915134115285</v>
      </c>
      <c r="O33" s="51">
        <f t="shared" si="10"/>
        <v>0.14490754252986549</v>
      </c>
      <c r="P33" s="51">
        <f t="shared" si="11"/>
        <v>0</v>
      </c>
      <c r="Q33" s="51">
        <f t="shared" si="12"/>
        <v>0</v>
      </c>
      <c r="R33" s="61">
        <f t="shared" si="13"/>
        <v>0.4272678533619223</v>
      </c>
      <c r="S33" s="54">
        <f t="shared" si="14"/>
        <v>6</v>
      </c>
      <c r="T33" s="55">
        <f t="shared" si="15"/>
        <v>6.970094994281971</v>
      </c>
      <c r="U33" s="51">
        <f t="shared" si="16"/>
        <v>4.724817851696505</v>
      </c>
      <c r="V33" s="51">
        <f t="shared" si="17"/>
        <v>4.245277142585465</v>
      </c>
      <c r="W33" s="56">
        <f t="shared" si="18"/>
        <v>-0.970094994281971</v>
      </c>
      <c r="X33" s="105">
        <f t="shared" si="19"/>
        <v>-16.15208570505843</v>
      </c>
      <c r="Y33" s="26">
        <f t="shared" si="28"/>
        <v>-0.43842024932482415</v>
      </c>
      <c r="Z33" s="24">
        <f t="shared" si="20"/>
        <v>1.0993211590790997</v>
      </c>
      <c r="AA33" s="24">
        <f t="shared" si="21"/>
        <v>1.0993211590790997</v>
      </c>
      <c r="AB33" s="184">
        <f t="shared" si="22"/>
        <v>0.7138002355542387</v>
      </c>
      <c r="AC33" s="155">
        <f t="shared" si="26"/>
        <v>5</v>
      </c>
      <c r="AD33" s="157">
        <f t="shared" si="29"/>
        <v>7.9</v>
      </c>
      <c r="AE33" s="156">
        <f t="shared" si="30"/>
        <v>0</v>
      </c>
    </row>
    <row r="34" spans="1:31" s="27" customFormat="1" ht="15" customHeight="1">
      <c r="A34" s="137">
        <f t="shared" si="27"/>
        <v>5.399999999999995</v>
      </c>
      <c r="B34" s="51">
        <f t="shared" si="0"/>
        <v>-5.35147669302665</v>
      </c>
      <c r="C34" s="147">
        <f t="shared" si="1"/>
        <v>0.26039999999999996</v>
      </c>
      <c r="D34" s="168">
        <f t="shared" si="2"/>
        <v>1615.8486353467986</v>
      </c>
      <c r="E34" s="168">
        <f t="shared" si="3"/>
        <v>185185.18518518534</v>
      </c>
      <c r="F34" s="117">
        <f t="shared" si="23"/>
        <v>493.98602748476117</v>
      </c>
      <c r="G34" s="117">
        <f t="shared" si="4"/>
        <v>605.4107658030002</v>
      </c>
      <c r="H34" s="52">
        <f t="shared" si="5"/>
        <v>1.056874036292745</v>
      </c>
      <c r="I34" s="51">
        <f t="shared" si="6"/>
        <v>2.7762295092756846</v>
      </c>
      <c r="J34" s="51">
        <f t="shared" si="7"/>
        <v>-0.4938211635752914</v>
      </c>
      <c r="K34" s="51">
        <f t="shared" si="8"/>
        <v>0.12241554436912058</v>
      </c>
      <c r="L34" s="51">
        <f t="shared" si="9"/>
        <v>2.9425390998933403</v>
      </c>
      <c r="M34" s="51">
        <f t="shared" si="24"/>
        <v>0.0005549950859468758</v>
      </c>
      <c r="N34" s="51">
        <f t="shared" si="25"/>
        <v>0.06051400585347012</v>
      </c>
      <c r="O34" s="51">
        <f t="shared" si="10"/>
        <v>0.18414582289893922</v>
      </c>
      <c r="P34" s="51">
        <f t="shared" si="11"/>
        <v>0</v>
      </c>
      <c r="Q34" s="51">
        <f t="shared" si="12"/>
        <v>0</v>
      </c>
      <c r="R34" s="61">
        <f t="shared" si="13"/>
        <v>0.4272678533619223</v>
      </c>
      <c r="S34" s="54">
        <f t="shared" si="14"/>
        <v>6</v>
      </c>
      <c r="T34" s="55">
        <f t="shared" si="15"/>
        <v>7.447570327576101</v>
      </c>
      <c r="U34" s="51">
        <f t="shared" si="16"/>
        <v>4.776229509275685</v>
      </c>
      <c r="V34" s="51">
        <f t="shared" si="17"/>
        <v>4.671340818300417</v>
      </c>
      <c r="W34" s="56">
        <f t="shared" si="18"/>
        <v>-1.4475703275761012</v>
      </c>
      <c r="X34" s="105">
        <f t="shared" si="19"/>
        <v>-16.203497362637606</v>
      </c>
      <c r="Y34" s="26">
        <f t="shared" si="28"/>
        <v>-0.5368386158462113</v>
      </c>
      <c r="Z34" s="24">
        <f t="shared" si="20"/>
        <v>1.0993211590790997</v>
      </c>
      <c r="AA34" s="24">
        <f t="shared" si="21"/>
        <v>1.0993211590790997</v>
      </c>
      <c r="AB34" s="184">
        <f t="shared" si="22"/>
        <v>0.710535548869912</v>
      </c>
      <c r="AC34" s="155">
        <f t="shared" si="26"/>
        <v>5</v>
      </c>
      <c r="AD34" s="157">
        <f t="shared" si="29"/>
        <v>7.9</v>
      </c>
      <c r="AE34" s="156">
        <f t="shared" si="30"/>
        <v>0</v>
      </c>
    </row>
    <row r="35" spans="1:31" s="84" customFormat="1" ht="15" customHeight="1">
      <c r="A35" s="138">
        <f t="shared" si="27"/>
        <v>5.499999999999995</v>
      </c>
      <c r="B35" s="77">
        <f t="shared" si="0"/>
        <v>-5.35147669302665</v>
      </c>
      <c r="C35" s="148">
        <f t="shared" si="1"/>
        <v>0.26039999999999996</v>
      </c>
      <c r="D35" s="169">
        <f t="shared" si="2"/>
        <v>1586.469569249584</v>
      </c>
      <c r="E35" s="169">
        <f t="shared" si="3"/>
        <v>181818.181818182</v>
      </c>
      <c r="F35" s="118">
        <f t="shared" si="23"/>
        <v>497.3137580316182</v>
      </c>
      <c r="G35" s="118">
        <f t="shared" si="4"/>
        <v>608.1290766996188</v>
      </c>
      <c r="H35" s="78">
        <f t="shared" si="5"/>
        <v>1.0772285515302913</v>
      </c>
      <c r="I35" s="77">
        <f t="shared" si="6"/>
        <v>2.827641166854864</v>
      </c>
      <c r="J35" s="77">
        <f t="shared" si="7"/>
        <v>-0.5029659999377968</v>
      </c>
      <c r="K35" s="77">
        <f t="shared" si="8"/>
        <v>0.12643779108276465</v>
      </c>
      <c r="L35" s="77">
        <f t="shared" si="9"/>
        <v>3.4059505171004085</v>
      </c>
      <c r="M35" s="77">
        <f t="shared" si="24"/>
        <v>0.0005525142817105666</v>
      </c>
      <c r="N35" s="77">
        <f t="shared" si="25"/>
        <v>0.06023972386758943</v>
      </c>
      <c r="O35" s="77">
        <f t="shared" si="10"/>
        <v>0.24544441325931757</v>
      </c>
      <c r="P35" s="77">
        <f t="shared" si="11"/>
        <v>0</v>
      </c>
      <c r="Q35" s="77">
        <f t="shared" si="12"/>
        <v>0</v>
      </c>
      <c r="R35" s="79">
        <f t="shared" si="13"/>
        <v>0.4272678533619223</v>
      </c>
      <c r="S35" s="80">
        <f t="shared" si="14"/>
        <v>6</v>
      </c>
      <c r="T35" s="81">
        <f t="shared" si="15"/>
        <v>8.043772225974394</v>
      </c>
      <c r="U35" s="77">
        <f t="shared" si="16"/>
        <v>4.827641166854864</v>
      </c>
      <c r="V35" s="77">
        <f t="shared" si="17"/>
        <v>5.21613105911953</v>
      </c>
      <c r="W35" s="82">
        <f t="shared" si="18"/>
        <v>-2.0437722259743936</v>
      </c>
      <c r="X35" s="111">
        <f t="shared" si="19"/>
        <v>-16.254909020216786</v>
      </c>
      <c r="Y35" s="83"/>
      <c r="Z35" s="77">
        <f t="shared" si="20"/>
        <v>1.0993211590790997</v>
      </c>
      <c r="AA35" s="77">
        <f t="shared" si="21"/>
        <v>1.0993211590790997</v>
      </c>
      <c r="AB35" s="185">
        <f t="shared" si="22"/>
        <v>0.7072132022897651</v>
      </c>
      <c r="AC35" s="164">
        <f t="shared" si="26"/>
        <v>5</v>
      </c>
      <c r="AD35" s="158">
        <f>ROUNDUP(E9,0)-0.1</f>
        <v>7.9</v>
      </c>
      <c r="AE35" s="171">
        <f t="shared" si="30"/>
        <v>0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7"/>
      <c r="S36" s="6"/>
      <c r="T36" s="13"/>
      <c r="V36" s="13"/>
      <c r="W36" s="13"/>
      <c r="X36" s="14"/>
      <c r="AE36" s="172">
        <f>SUM(AE15:AE35)</f>
        <v>0.07563785733688988</v>
      </c>
    </row>
    <row r="37" spans="1:28" s="27" customFormat="1" ht="15" customHeight="1">
      <c r="A37" s="85" t="s">
        <v>69</v>
      </c>
      <c r="B37" s="23"/>
      <c r="C37" s="23"/>
      <c r="D37" s="22"/>
      <c r="E37" s="23"/>
      <c r="F37" s="23"/>
      <c r="G37" s="29"/>
      <c r="X37" s="32"/>
      <c r="Y37" s="32"/>
      <c r="AB37" s="189"/>
    </row>
    <row r="38" spans="1:28" s="27" customFormat="1" ht="15" customHeight="1">
      <c r="A38" s="30" t="s">
        <v>128</v>
      </c>
      <c r="B38" s="23"/>
      <c r="C38" s="23"/>
      <c r="D38" s="22"/>
      <c r="E38" s="23"/>
      <c r="F38" s="23"/>
      <c r="G38" s="29"/>
      <c r="K38" s="24"/>
      <c r="L38" s="23"/>
      <c r="M38" s="24"/>
      <c r="N38" s="24"/>
      <c r="O38" s="24"/>
      <c r="P38" s="24"/>
      <c r="Q38" s="24"/>
      <c r="R38" s="62"/>
      <c r="S38" s="25"/>
      <c r="T38" s="24"/>
      <c r="U38" s="31"/>
      <c r="V38" s="24"/>
      <c r="X38" s="32"/>
      <c r="Y38" s="32"/>
      <c r="AB38" s="189"/>
    </row>
    <row r="39" spans="1:28" s="27" customFormat="1" ht="15" customHeight="1">
      <c r="A39" s="24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23"/>
      <c r="M39" s="24"/>
      <c r="N39" s="24"/>
      <c r="O39" s="24"/>
      <c r="P39" s="24"/>
      <c r="Q39" s="24"/>
      <c r="R39" s="62"/>
      <c r="S39" s="25"/>
      <c r="T39" s="24"/>
      <c r="U39" s="31"/>
      <c r="V39" s="24"/>
      <c r="X39" s="32"/>
      <c r="Y39" s="32"/>
      <c r="AB39" s="189"/>
    </row>
    <row r="40" spans="1:28" s="27" customFormat="1" ht="15" customHeight="1">
      <c r="A40" s="30"/>
      <c r="B40" s="23"/>
      <c r="C40" s="23"/>
      <c r="D40" s="22"/>
      <c r="E40" s="23"/>
      <c r="F40" s="23"/>
      <c r="G40" s="29"/>
      <c r="H40" s="24"/>
      <c r="I40" s="24"/>
      <c r="J40" s="24"/>
      <c r="K40" s="24"/>
      <c r="L40" s="23"/>
      <c r="M40" s="24"/>
      <c r="N40" s="24"/>
      <c r="O40" s="24"/>
      <c r="P40" s="24"/>
      <c r="Q40" s="24"/>
      <c r="R40" s="62"/>
      <c r="S40" s="25"/>
      <c r="T40" s="24"/>
      <c r="U40" s="31"/>
      <c r="V40" s="24"/>
      <c r="X40" s="32"/>
      <c r="Y40" s="32"/>
      <c r="AB40" s="189"/>
    </row>
    <row r="41" spans="1:28" s="27" customFormat="1" ht="15" customHeight="1">
      <c r="A41" s="25"/>
      <c r="B41" s="23"/>
      <c r="C41" s="23"/>
      <c r="D41" s="22"/>
      <c r="E41" s="23"/>
      <c r="F41" s="23"/>
      <c r="G41" s="29"/>
      <c r="H41" s="24"/>
      <c r="I41" s="24"/>
      <c r="J41" s="24"/>
      <c r="K41" s="24"/>
      <c r="L41" s="23"/>
      <c r="M41" s="24"/>
      <c r="N41" s="24"/>
      <c r="O41" s="24"/>
      <c r="P41" s="24"/>
      <c r="Q41" s="24"/>
      <c r="R41" s="62"/>
      <c r="S41" s="25"/>
      <c r="T41" s="24"/>
      <c r="U41" s="31"/>
      <c r="V41" s="24"/>
      <c r="X41" s="32"/>
      <c r="Y41" s="32"/>
      <c r="AB41" s="189"/>
    </row>
    <row r="42" spans="1:28" s="27" customFormat="1" ht="15" customHeight="1">
      <c r="A42" s="25"/>
      <c r="B42" s="23"/>
      <c r="C42" s="23"/>
      <c r="D42" s="22"/>
      <c r="E42" s="23"/>
      <c r="F42" s="23"/>
      <c r="G42" s="29"/>
      <c r="H42" s="24"/>
      <c r="I42" s="24"/>
      <c r="J42" s="24"/>
      <c r="K42" s="24"/>
      <c r="L42" s="23"/>
      <c r="M42" s="24"/>
      <c r="N42" s="24"/>
      <c r="O42" s="24"/>
      <c r="P42" s="24"/>
      <c r="Q42" s="24"/>
      <c r="R42" s="62"/>
      <c r="S42" s="25"/>
      <c r="T42" s="24"/>
      <c r="U42" s="31"/>
      <c r="V42" s="24"/>
      <c r="X42" s="32"/>
      <c r="Y42" s="32"/>
      <c r="AB42" s="189"/>
    </row>
    <row r="43" spans="1:28" s="27" customFormat="1" ht="15" customHeight="1">
      <c r="A43" s="29"/>
      <c r="D43" s="22"/>
      <c r="E43" s="23"/>
      <c r="F43" s="23"/>
      <c r="G43" s="29"/>
      <c r="H43" s="24"/>
      <c r="I43" s="24"/>
      <c r="J43" s="24"/>
      <c r="K43" s="24"/>
      <c r="L43" s="23"/>
      <c r="M43" s="24"/>
      <c r="N43" s="24"/>
      <c r="O43" s="24"/>
      <c r="P43" s="24"/>
      <c r="Q43" s="24"/>
      <c r="R43" s="62"/>
      <c r="S43" s="25"/>
      <c r="T43" s="24"/>
      <c r="U43" s="31"/>
      <c r="V43" s="24"/>
      <c r="X43" s="32"/>
      <c r="Y43" s="32"/>
      <c r="AB43" s="189"/>
    </row>
    <row r="44" spans="1:28" s="27" customFormat="1" ht="15" customHeight="1">
      <c r="A44" s="29"/>
      <c r="B44" s="23"/>
      <c r="D44" s="22"/>
      <c r="E44" s="23"/>
      <c r="F44" s="23"/>
      <c r="G44" s="29"/>
      <c r="H44" s="24"/>
      <c r="I44" s="24"/>
      <c r="J44" s="24"/>
      <c r="K44" s="24"/>
      <c r="L44" s="23"/>
      <c r="M44" s="24"/>
      <c r="N44" s="24"/>
      <c r="O44" s="24"/>
      <c r="P44" s="24"/>
      <c r="Q44" s="24"/>
      <c r="R44" s="62"/>
      <c r="S44" s="25"/>
      <c r="T44" s="24"/>
      <c r="U44" s="31"/>
      <c r="V44" s="24"/>
      <c r="X44" s="32"/>
      <c r="Y44" s="32"/>
      <c r="AB44" s="189"/>
    </row>
    <row r="45" spans="1:28" s="27" customFormat="1" ht="15" customHeight="1">
      <c r="A45" s="29"/>
      <c r="B45" s="23"/>
      <c r="D45" s="22"/>
      <c r="E45" s="23"/>
      <c r="F45" s="23"/>
      <c r="G45" s="29"/>
      <c r="H45" s="24"/>
      <c r="I45" s="24"/>
      <c r="J45" s="24"/>
      <c r="K45" s="24"/>
      <c r="L45" s="23"/>
      <c r="M45" s="24"/>
      <c r="N45" s="24"/>
      <c r="O45" s="24"/>
      <c r="P45" s="24"/>
      <c r="Q45" s="24"/>
      <c r="R45" s="62"/>
      <c r="S45" s="25"/>
      <c r="T45" s="24"/>
      <c r="U45" s="31"/>
      <c r="V45" s="24"/>
      <c r="X45" s="32"/>
      <c r="Y45" s="32"/>
      <c r="AB45" s="189"/>
    </row>
    <row r="46" spans="1:22" ht="15" customHeight="1">
      <c r="A46" s="29"/>
      <c r="B46" s="23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7"/>
      <c r="S46" s="6"/>
      <c r="T46" s="4"/>
      <c r="V46" s="4"/>
    </row>
    <row r="47" spans="1:22" ht="15" customHeight="1">
      <c r="A47" s="2"/>
      <c r="B47" s="23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7"/>
      <c r="S47" s="6"/>
      <c r="T47" s="4"/>
      <c r="V47" s="4"/>
    </row>
    <row r="48" spans="1:22" ht="15" customHeight="1">
      <c r="A48" s="2"/>
      <c r="B48" s="23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3"/>
      <c r="S48" s="6"/>
      <c r="T48" s="4"/>
      <c r="V48" s="4"/>
    </row>
    <row r="49" spans="1:22" ht="15" customHeight="1">
      <c r="A49" s="25"/>
      <c r="B49" s="23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7"/>
      <c r="S49" s="6"/>
      <c r="T49" s="4"/>
      <c r="V49" s="4"/>
    </row>
    <row r="50" spans="1:16" ht="15" customHeight="1">
      <c r="A50" s="15"/>
      <c r="B50" s="16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5"/>
      <c r="B51" s="16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O1:P1"/>
  </mergeCells>
  <printOptions horizontalCentered="1"/>
  <pageMargins left="0.5" right="0.5" top="0.5" bottom="0.5" header="0.3" footer="0.3"/>
  <pageSetup fitToHeight="1" fitToWidth="1" horizontalDpi="600" verticalDpi="600" orientation="landscape" scale="67" r:id="rId2"/>
  <headerFooter alignWithMargins="0">
    <oddHeader xml:space="preserve">&amp;CBy Agilent Technologies&amp;R </oddHeader>
    <oddFooter>&amp;L&amp;F tab &amp;A page &amp;P of &amp;N&amp;RPrinted &amp;T 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showGridLines="0" showOutlineSymbols="0" zoomScale="70" zoomScaleNormal="70" workbookViewId="0" topLeftCell="A1">
      <selection activeCell="L1" sqref="L1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8" customWidth="1"/>
    <col min="19" max="19" width="6.00390625" style="5" customWidth="1"/>
    <col min="20" max="20" width="6.57421875" style="5" customWidth="1"/>
    <col min="21" max="21" width="7.28125" style="7" customWidth="1"/>
    <col min="22" max="22" width="7.421875" style="5" customWidth="1"/>
    <col min="23" max="23" width="7.7109375" style="5" customWidth="1"/>
    <col min="24" max="24" width="11.140625" style="10" customWidth="1"/>
    <col min="25" max="25" width="8.8515625" style="10" customWidth="1"/>
    <col min="26" max="26" width="8.140625" style="5" customWidth="1"/>
    <col min="27" max="27" width="7.57421875" style="5" customWidth="1"/>
    <col min="28" max="32" width="10.00390625" style="5" customWidth="1"/>
    <col min="33" max="16384" width="11.140625" style="5" customWidth="1"/>
  </cols>
  <sheetData>
    <row r="1" spans="1:32" s="145" customFormat="1" ht="15.75">
      <c r="A1" s="140" t="s">
        <v>106</v>
      </c>
      <c r="B1" s="122"/>
      <c r="C1" s="122"/>
      <c r="D1" s="122"/>
      <c r="E1" s="127"/>
      <c r="F1" s="127"/>
      <c r="G1" s="127"/>
      <c r="H1" s="127"/>
      <c r="I1" s="127"/>
      <c r="J1" s="127"/>
      <c r="K1" s="141" t="s">
        <v>76</v>
      </c>
      <c r="L1" s="122" t="s">
        <v>116</v>
      </c>
      <c r="M1" s="127"/>
      <c r="N1" s="150" t="s">
        <v>60</v>
      </c>
      <c r="O1" s="200">
        <v>36587</v>
      </c>
      <c r="P1" s="201"/>
      <c r="Q1" s="142" t="s">
        <v>1</v>
      </c>
      <c r="R1" s="143" t="s">
        <v>127</v>
      </c>
      <c r="S1" s="54"/>
      <c r="T1" s="51"/>
      <c r="U1" s="144"/>
      <c r="V1" s="51"/>
      <c r="W1" s="53"/>
      <c r="X1" s="54"/>
      <c r="Y1" s="54"/>
      <c r="Z1" s="53"/>
      <c r="AA1" s="53"/>
      <c r="AB1" s="53"/>
      <c r="AC1" s="53"/>
      <c r="AD1" s="53"/>
      <c r="AE1" s="53"/>
      <c r="AF1" s="53"/>
    </row>
    <row r="2" spans="1:32" ht="15.75">
      <c r="A2" s="65" t="s">
        <v>2</v>
      </c>
      <c r="B2" s="131" t="s">
        <v>3</v>
      </c>
      <c r="C2" s="76"/>
      <c r="D2" s="68"/>
      <c r="E2" s="76"/>
      <c r="F2" s="76"/>
      <c r="G2" s="65"/>
      <c r="H2" s="64"/>
      <c r="I2" s="68" t="s">
        <v>107</v>
      </c>
      <c r="J2" s="149">
        <v>10</v>
      </c>
      <c r="K2" s="64" t="s">
        <v>108</v>
      </c>
      <c r="L2" s="64"/>
      <c r="M2" s="76"/>
      <c r="N2" s="64"/>
      <c r="O2" s="65" t="s">
        <v>114</v>
      </c>
      <c r="P2" s="161">
        <f>1000000/$P$6</f>
        <v>735.0000000000001</v>
      </c>
      <c r="Q2" s="64" t="s">
        <v>101</v>
      </c>
      <c r="R2" s="86"/>
      <c r="S2" s="69"/>
      <c r="T2" s="70"/>
      <c r="U2" s="87"/>
      <c r="V2" s="70"/>
      <c r="W2" s="76"/>
      <c r="X2" s="69"/>
      <c r="Y2" s="6"/>
      <c r="Z2" s="1"/>
      <c r="AA2" s="1"/>
      <c r="AB2" s="1"/>
      <c r="AC2" s="1"/>
      <c r="AD2" s="1"/>
      <c r="AE2" s="1"/>
      <c r="AF2" s="1"/>
    </row>
    <row r="3" spans="1:32" ht="15" customHeight="1">
      <c r="A3" s="76"/>
      <c r="B3" s="76"/>
      <c r="C3" s="76"/>
      <c r="D3" s="68" t="s">
        <v>5</v>
      </c>
      <c r="E3" s="170">
        <v>1000000</v>
      </c>
      <c r="F3" s="64"/>
      <c r="G3" s="64"/>
      <c r="H3" s="76"/>
      <c r="I3" s="65" t="s">
        <v>111</v>
      </c>
      <c r="J3" s="130">
        <v>5</v>
      </c>
      <c r="K3" s="76" t="s">
        <v>108</v>
      </c>
      <c r="L3" s="64"/>
      <c r="M3" s="76"/>
      <c r="N3" s="64"/>
      <c r="O3" s="65" t="s">
        <v>4</v>
      </c>
      <c r="P3" s="51">
        <f>IF($B$4&gt;1000,$E$6/1.5,$E$6/3.5)</f>
        <v>0.3333333333333333</v>
      </c>
      <c r="Q3" s="64"/>
      <c r="R3" s="86"/>
      <c r="S3" s="89"/>
      <c r="T3" s="90"/>
      <c r="U3" s="87"/>
      <c r="V3" s="70"/>
      <c r="W3" s="76"/>
      <c r="X3" s="69"/>
      <c r="Y3" s="6"/>
      <c r="Z3" s="1"/>
      <c r="AA3" s="1"/>
      <c r="AB3" s="1"/>
      <c r="AC3" s="1"/>
      <c r="AD3" s="1"/>
      <c r="AE3" s="1"/>
      <c r="AF3" s="1"/>
    </row>
    <row r="4" spans="1:32" ht="15" customHeight="1">
      <c r="A4" s="65" t="s">
        <v>55</v>
      </c>
      <c r="B4" s="91">
        <v>1560</v>
      </c>
      <c r="C4" s="76"/>
      <c r="D4" s="68" t="s">
        <v>9</v>
      </c>
      <c r="E4" s="88">
        <v>0.093</v>
      </c>
      <c r="F4" s="64"/>
      <c r="G4" s="64"/>
      <c r="H4" s="76"/>
      <c r="I4" s="65" t="s">
        <v>112</v>
      </c>
      <c r="J4" s="177">
        <f>5*10^(INT(LOG10(J3/9)))</f>
        <v>0.5</v>
      </c>
      <c r="K4" s="64" t="s">
        <v>108</v>
      </c>
      <c r="L4" s="64"/>
      <c r="M4" s="64"/>
      <c r="N4" s="64"/>
      <c r="O4" s="65" t="s">
        <v>6</v>
      </c>
      <c r="P4" s="161">
        <f>B7*1.518</f>
        <v>394.68</v>
      </c>
      <c r="Q4" s="76" t="s">
        <v>101</v>
      </c>
      <c r="R4" s="92" t="s">
        <v>7</v>
      </c>
      <c r="S4" s="90"/>
      <c r="T4" s="90"/>
      <c r="U4" s="87"/>
      <c r="V4" s="70"/>
      <c r="W4" s="76"/>
      <c r="X4" s="69"/>
      <c r="Y4" s="6"/>
      <c r="Z4" s="1"/>
      <c r="AA4" s="1"/>
      <c r="AB4" s="1"/>
      <c r="AC4" s="1"/>
      <c r="AD4" s="1"/>
      <c r="AE4" s="1"/>
      <c r="AF4" s="1"/>
    </row>
    <row r="5" spans="1:32" ht="15" customHeight="1">
      <c r="A5" s="65" t="s">
        <v>8</v>
      </c>
      <c r="B5" s="93">
        <v>0.4</v>
      </c>
      <c r="C5" s="76"/>
      <c r="D5" s="68" t="s">
        <v>56</v>
      </c>
      <c r="E5" s="88">
        <v>1300</v>
      </c>
      <c r="F5" s="64"/>
      <c r="G5" s="64"/>
      <c r="H5" s="76"/>
      <c r="I5" s="65" t="s">
        <v>12</v>
      </c>
      <c r="J5" s="94">
        <v>480</v>
      </c>
      <c r="K5" s="64" t="s">
        <v>105</v>
      </c>
      <c r="L5" s="76"/>
      <c r="M5" s="70"/>
      <c r="N5" s="64"/>
      <c r="O5" s="65" t="s">
        <v>10</v>
      </c>
      <c r="P5" s="103">
        <v>0.7</v>
      </c>
      <c r="Q5" s="64"/>
      <c r="R5" s="92" t="s">
        <v>11</v>
      </c>
      <c r="S5" s="90"/>
      <c r="T5" s="86"/>
      <c r="U5" s="87"/>
      <c r="V5" s="70"/>
      <c r="W5" s="76"/>
      <c r="X5" s="69"/>
      <c r="Y5" s="6"/>
      <c r="Z5" s="1"/>
      <c r="AA5" s="1"/>
      <c r="AB5" s="1"/>
      <c r="AC5" s="1"/>
      <c r="AD5" s="1"/>
      <c r="AE5" s="1"/>
      <c r="AF5" s="1"/>
    </row>
    <row r="6" spans="1:32" ht="15" customHeight="1">
      <c r="A6" s="65" t="s">
        <v>74</v>
      </c>
      <c r="B6" s="88">
        <v>9</v>
      </c>
      <c r="C6" s="76" t="s">
        <v>63</v>
      </c>
      <c r="D6" s="68" t="s">
        <v>97</v>
      </c>
      <c r="E6" s="88">
        <v>0.5</v>
      </c>
      <c r="F6" s="64" t="str">
        <f>"dB/km at "&amp;IF(B4&lt;1000,850,1300)&amp;" nm"</f>
        <v>dB/km at 1300 nm</v>
      </c>
      <c r="G6" s="64"/>
      <c r="H6" s="76"/>
      <c r="I6" s="65" t="s">
        <v>15</v>
      </c>
      <c r="J6" s="93">
        <v>7.037</v>
      </c>
      <c r="K6" s="64"/>
      <c r="L6" s="64"/>
      <c r="M6" s="70"/>
      <c r="N6" s="64"/>
      <c r="O6" s="68" t="s">
        <v>13</v>
      </c>
      <c r="P6" s="95">
        <f>(P7)</f>
        <v>1360.5442176870747</v>
      </c>
      <c r="Q6" s="69"/>
      <c r="R6" s="90"/>
      <c r="S6" s="86"/>
      <c r="T6" s="86"/>
      <c r="U6" s="87"/>
      <c r="V6" s="70"/>
      <c r="W6" s="76"/>
      <c r="X6" s="69"/>
      <c r="AA6" s="1"/>
      <c r="AB6" s="1"/>
      <c r="AC6" s="1"/>
      <c r="AD6" s="1"/>
      <c r="AE6" s="1"/>
      <c r="AF6" s="1"/>
    </row>
    <row r="7" spans="1:32" ht="15" customHeight="1">
      <c r="A7" s="65" t="s">
        <v>14</v>
      </c>
      <c r="B7" s="88">
        <v>260</v>
      </c>
      <c r="C7" s="76" t="s">
        <v>101</v>
      </c>
      <c r="D7" s="65" t="s">
        <v>98</v>
      </c>
      <c r="E7" s="176">
        <v>1250</v>
      </c>
      <c r="F7" s="76" t="s">
        <v>103</v>
      </c>
      <c r="G7" s="70"/>
      <c r="H7" s="70"/>
      <c r="I7" s="68" t="s">
        <v>102</v>
      </c>
      <c r="J7" s="174">
        <f>2.5*10^5/$E$7</f>
        <v>200</v>
      </c>
      <c r="K7" s="70" t="s">
        <v>101</v>
      </c>
      <c r="L7" s="64"/>
      <c r="M7" s="70"/>
      <c r="N7" s="64"/>
      <c r="O7" s="68" t="s">
        <v>16</v>
      </c>
      <c r="P7" s="96">
        <f>1/((1/$E$7)-$J$8*10^-6)</f>
        <v>1360.5442176870747</v>
      </c>
      <c r="Q7" s="69"/>
      <c r="R7" s="90"/>
      <c r="S7" s="98" t="s">
        <v>33</v>
      </c>
      <c r="T7" s="128">
        <f>AE36</f>
        <v>-0.3356016297422961</v>
      </c>
      <c r="U7" s="99" t="str">
        <f>"dB at target "&amp;J2&amp;" km"</f>
        <v>dB at target 10 km</v>
      </c>
      <c r="V7" s="70"/>
      <c r="W7" s="76"/>
      <c r="X7" s="132"/>
      <c r="AA7" s="1"/>
      <c r="AB7" s="1"/>
      <c r="AC7" s="1"/>
      <c r="AD7" s="1"/>
      <c r="AE7" s="1"/>
      <c r="AF7" s="1"/>
    </row>
    <row r="8" spans="1:32" ht="15" customHeight="1">
      <c r="A8" s="65" t="s">
        <v>86</v>
      </c>
      <c r="B8" s="88">
        <v>-120</v>
      </c>
      <c r="C8" s="114" t="s">
        <v>85</v>
      </c>
      <c r="D8" s="68" t="s">
        <v>99</v>
      </c>
      <c r="E8" s="170">
        <v>1000</v>
      </c>
      <c r="F8" s="76" t="s">
        <v>104</v>
      </c>
      <c r="G8" s="70"/>
      <c r="H8" s="64"/>
      <c r="I8" s="68" t="s">
        <v>19</v>
      </c>
      <c r="J8" s="88">
        <v>65</v>
      </c>
      <c r="K8" s="64"/>
      <c r="L8" s="64"/>
      <c r="M8" s="64"/>
      <c r="N8" s="64"/>
      <c r="O8" s="65" t="s">
        <v>17</v>
      </c>
      <c r="P8" s="66">
        <f>(10^-6)*$J$7*$P$7</f>
        <v>0.27210884353741494</v>
      </c>
      <c r="Q8" s="69"/>
      <c r="R8" s="90"/>
      <c r="S8" s="68" t="s">
        <v>117</v>
      </c>
      <c r="T8" s="53">
        <f>$P$3*((1/(0.00094*$B$4)^4)+1.05)</f>
        <v>0.4220889894295741</v>
      </c>
      <c r="U8" s="64" t="str">
        <f>"dB/km at "&amp;B4&amp;" nm"</f>
        <v>dB/km at 1560 nm</v>
      </c>
      <c r="V8" s="70"/>
      <c r="W8" s="76"/>
      <c r="X8" s="69"/>
      <c r="Y8" s="6"/>
      <c r="Z8" s="1"/>
      <c r="AA8" s="1"/>
      <c r="AB8" s="1"/>
      <c r="AC8" s="1"/>
      <c r="AD8" s="1"/>
      <c r="AE8" s="1"/>
      <c r="AF8" s="1"/>
    </row>
    <row r="9" spans="1:32" ht="15" customHeight="1">
      <c r="A9" s="65" t="s">
        <v>18</v>
      </c>
      <c r="B9" s="88">
        <v>0.8</v>
      </c>
      <c r="C9" s="76"/>
      <c r="D9" s="68" t="s">
        <v>67</v>
      </c>
      <c r="E9" s="88">
        <v>8</v>
      </c>
      <c r="F9" s="76"/>
      <c r="G9" s="76"/>
      <c r="H9" s="64"/>
      <c r="I9" s="68" t="s">
        <v>22</v>
      </c>
      <c r="J9" s="139">
        <v>-11</v>
      </c>
      <c r="K9" s="70"/>
      <c r="L9" s="64"/>
      <c r="M9" s="70"/>
      <c r="N9" s="64"/>
      <c r="O9" s="65" t="s">
        <v>20</v>
      </c>
      <c r="P9" s="97">
        <f>(P8)</f>
        <v>0.27210884353741494</v>
      </c>
      <c r="Q9" s="69"/>
      <c r="R9" s="90"/>
      <c r="S9" s="98" t="s">
        <v>73</v>
      </c>
      <c r="T9" s="160">
        <f>350000/$E$8</f>
        <v>350</v>
      </c>
      <c r="U9" s="99" t="s">
        <v>101</v>
      </c>
      <c r="V9" s="70"/>
      <c r="W9" s="33"/>
      <c r="X9" s="43"/>
      <c r="Y9" s="69"/>
      <c r="Z9" s="76"/>
      <c r="AA9" s="76"/>
      <c r="AB9" s="76"/>
      <c r="AC9" s="1"/>
      <c r="AD9" s="1"/>
      <c r="AE9" s="1"/>
      <c r="AF9" s="1"/>
    </row>
    <row r="10" spans="1:32" ht="15" customHeight="1">
      <c r="A10" s="65" t="s">
        <v>21</v>
      </c>
      <c r="B10" s="88">
        <v>0</v>
      </c>
      <c r="C10" s="76"/>
      <c r="D10" s="68" t="s">
        <v>68</v>
      </c>
      <c r="E10" s="88">
        <v>2.5</v>
      </c>
      <c r="F10" s="76"/>
      <c r="G10" s="65"/>
      <c r="H10" s="64"/>
      <c r="I10" s="65" t="s">
        <v>26</v>
      </c>
      <c r="J10" s="129">
        <v>9</v>
      </c>
      <c r="K10" s="64"/>
      <c r="L10" s="64"/>
      <c r="M10" s="70"/>
      <c r="N10" s="64"/>
      <c r="O10" s="65" t="s">
        <v>23</v>
      </c>
      <c r="P10" s="51">
        <f>T35-S35</f>
        <v>4.941465571910344</v>
      </c>
      <c r="Q10" s="70" t="s">
        <v>24</v>
      </c>
      <c r="R10" s="90"/>
      <c r="S10" s="98" t="s">
        <v>100</v>
      </c>
      <c r="T10" s="128">
        <f>(1-1.425*EXP(-1.28*($P$2/$T$9)^2))*((2*SIN(3.1416*$P$9))/(3.1416*$P$9*(1-$P$9^2))-1)</f>
        <v>0.9017360857497416</v>
      </c>
      <c r="U10" s="99" t="s">
        <v>77</v>
      </c>
      <c r="V10" s="112"/>
      <c r="W10" s="76"/>
      <c r="X10" s="115" t="s">
        <v>25</v>
      </c>
      <c r="Y10" s="69"/>
      <c r="Z10" s="64"/>
      <c r="AA10" s="76"/>
      <c r="AB10" s="179"/>
      <c r="AC10" s="1"/>
      <c r="AD10" s="1"/>
      <c r="AE10" s="1"/>
      <c r="AF10" s="1"/>
    </row>
    <row r="11" spans="1:32" ht="15" customHeight="1">
      <c r="A11" s="33"/>
      <c r="B11" s="33"/>
      <c r="C11" s="33"/>
      <c r="D11" s="34"/>
      <c r="E11" s="34"/>
      <c r="F11" s="34"/>
      <c r="G11" s="34"/>
      <c r="H11" s="34"/>
      <c r="I11" s="35" t="s">
        <v>75</v>
      </c>
      <c r="J11" s="36">
        <v>0</v>
      </c>
      <c r="K11" s="37" t="s">
        <v>66</v>
      </c>
      <c r="L11" s="38"/>
      <c r="M11" s="38"/>
      <c r="N11" s="34"/>
      <c r="O11" s="39" t="s">
        <v>62</v>
      </c>
      <c r="P11" s="40">
        <f>10*LOG10(1/SQRT(1-($J$6*J11)^2))</f>
        <v>0</v>
      </c>
      <c r="Q11" s="37" t="s">
        <v>63</v>
      </c>
      <c r="R11" s="59"/>
      <c r="S11" s="39" t="s">
        <v>61</v>
      </c>
      <c r="T11" s="41">
        <f>10*LOG10(1/SQRT(1-($J$6*$J$11/$T$10)^2))</f>
        <v>0</v>
      </c>
      <c r="U11" s="42" t="s">
        <v>63</v>
      </c>
      <c r="V11" s="113"/>
      <c r="W11" s="76"/>
      <c r="X11" s="100" t="s">
        <v>27</v>
      </c>
      <c r="Y11" s="6" t="s">
        <v>28</v>
      </c>
      <c r="Z11" s="12" t="s">
        <v>34</v>
      </c>
      <c r="AA11" s="12" t="s">
        <v>29</v>
      </c>
      <c r="AB11" s="180" t="s">
        <v>78</v>
      </c>
      <c r="AC11" s="1"/>
      <c r="AD11" s="1"/>
      <c r="AE11" s="1"/>
      <c r="AF11" s="1"/>
    </row>
    <row r="12" spans="1:32" ht="15" customHeight="1">
      <c r="A12" s="133" t="s">
        <v>88</v>
      </c>
      <c r="B12" s="69" t="s">
        <v>57</v>
      </c>
      <c r="C12" s="69" t="s">
        <v>36</v>
      </c>
      <c r="D12" s="75" t="s">
        <v>80</v>
      </c>
      <c r="E12" s="75" t="s">
        <v>81</v>
      </c>
      <c r="F12" s="76" t="s">
        <v>82</v>
      </c>
      <c r="G12" s="76" t="s">
        <v>83</v>
      </c>
      <c r="H12" s="67" t="s">
        <v>37</v>
      </c>
      <c r="I12" s="68" t="s">
        <v>38</v>
      </c>
      <c r="J12" s="69" t="s">
        <v>39</v>
      </c>
      <c r="K12" s="70" t="s">
        <v>40</v>
      </c>
      <c r="L12" s="68" t="s">
        <v>41</v>
      </c>
      <c r="M12" s="68" t="s">
        <v>42</v>
      </c>
      <c r="N12" s="68" t="s">
        <v>43</v>
      </c>
      <c r="O12" s="71" t="s">
        <v>79</v>
      </c>
      <c r="P12" s="68" t="s">
        <v>44</v>
      </c>
      <c r="Q12" s="68" t="s">
        <v>45</v>
      </c>
      <c r="R12" s="72" t="s">
        <v>46</v>
      </c>
      <c r="S12" s="69" t="s">
        <v>47</v>
      </c>
      <c r="T12" s="73" t="s">
        <v>48</v>
      </c>
      <c r="U12" s="71" t="s">
        <v>49</v>
      </c>
      <c r="V12" s="70" t="s">
        <v>50</v>
      </c>
      <c r="W12" s="74" t="s">
        <v>33</v>
      </c>
      <c r="X12" s="101" t="s">
        <v>32</v>
      </c>
      <c r="Y12" s="6" t="s">
        <v>33</v>
      </c>
      <c r="Z12" s="10" t="s">
        <v>89</v>
      </c>
      <c r="AA12" s="6" t="s">
        <v>35</v>
      </c>
      <c r="AB12" s="180" t="s">
        <v>65</v>
      </c>
      <c r="AC12" s="1"/>
      <c r="AD12" s="1"/>
      <c r="AE12" s="173" t="s">
        <v>118</v>
      </c>
      <c r="AF12" s="1"/>
    </row>
    <row r="13" spans="1:32" s="34" customFormat="1" ht="15" customHeight="1">
      <c r="A13" s="134" t="s">
        <v>87</v>
      </c>
      <c r="B13" s="44" t="s">
        <v>58</v>
      </c>
      <c r="C13" s="44" t="s">
        <v>58</v>
      </c>
      <c r="D13" s="45" t="s">
        <v>84</v>
      </c>
      <c r="E13" s="45" t="s">
        <v>84</v>
      </c>
      <c r="F13" s="33" t="s">
        <v>113</v>
      </c>
      <c r="G13" s="33" t="s">
        <v>113</v>
      </c>
      <c r="H13" s="46" t="s">
        <v>30</v>
      </c>
      <c r="I13" s="47" t="s">
        <v>30</v>
      </c>
      <c r="J13" s="33"/>
      <c r="K13" s="48"/>
      <c r="L13" s="47" t="s">
        <v>30</v>
      </c>
      <c r="M13" s="47"/>
      <c r="N13" s="47" t="s">
        <v>30</v>
      </c>
      <c r="O13" s="47" t="s">
        <v>30</v>
      </c>
      <c r="P13" s="47" t="s">
        <v>30</v>
      </c>
      <c r="Q13" s="47" t="s">
        <v>30</v>
      </c>
      <c r="R13" s="60" t="s">
        <v>30</v>
      </c>
      <c r="S13" s="44" t="s">
        <v>30</v>
      </c>
      <c r="T13" s="48" t="s">
        <v>30</v>
      </c>
      <c r="U13" s="49" t="s">
        <v>30</v>
      </c>
      <c r="V13" s="49" t="s">
        <v>31</v>
      </c>
      <c r="W13" s="50" t="s">
        <v>30</v>
      </c>
      <c r="X13" s="102" t="s">
        <v>51</v>
      </c>
      <c r="Y13" s="44" t="s">
        <v>52</v>
      </c>
      <c r="Z13" s="44" t="s">
        <v>30</v>
      </c>
      <c r="AA13" s="44" t="s">
        <v>53</v>
      </c>
      <c r="AB13" s="181" t="s">
        <v>64</v>
      </c>
      <c r="AC13" s="151" t="s">
        <v>110</v>
      </c>
      <c r="AD13" s="152" t="s">
        <v>109</v>
      </c>
      <c r="AE13" s="152" t="s">
        <v>119</v>
      </c>
      <c r="AF13" s="33"/>
    </row>
    <row r="14" spans="1:32" s="127" customFormat="1" ht="15" customHeight="1">
      <c r="A14" s="135">
        <v>0.002</v>
      </c>
      <c r="B14" s="119">
        <f aca="true" t="shared" si="0" ref="B14:B35">0.25*$E$4*$B$4*(1-($E$5/$B$4)^4)</f>
        <v>18.778680555555553</v>
      </c>
      <c r="C14" s="142">
        <f aca="true" t="shared" si="1" ref="C14:C35">0.7*$E$4*$B$5</f>
        <v>0.026039999999999997</v>
      </c>
      <c r="D14" s="120">
        <f aca="true" t="shared" si="2" ref="D14:D35">(0.187/(A14*$B$5))*(10^6/SQRT(B14^2+C14^2))</f>
        <v>12447614.440875225</v>
      </c>
      <c r="E14" s="120">
        <f aca="true" t="shared" si="3" ref="E14:E35">$E$3/A14</f>
        <v>500000000</v>
      </c>
      <c r="F14" s="165">
        <f>SQRT(($J$5/D14)^2+($J$5/E14)^2+$P$4^2)</f>
        <v>394.6800000000019</v>
      </c>
      <c r="G14" s="165">
        <f aca="true" t="shared" si="4" ref="G14:G35">SQRT(F14^2+(350000/$E$8)^2)</f>
        <v>527.515215325588</v>
      </c>
      <c r="H14" s="121">
        <f aca="true" t="shared" si="5" ref="H14:H35">-10*LOG10(1-1.425*EXP(-1.28*($P$2/G14)^2))</f>
        <v>0.5489933368203842</v>
      </c>
      <c r="I14" s="119">
        <f aca="true" t="shared" si="6" ref="I14:I35">A14*$P$3*((1/(0.00094*$B$4)^4)+1.05)</f>
        <v>0.0008441779788591482</v>
      </c>
      <c r="J14" s="122">
        <f aca="true" t="shared" si="7" ref="J14:J35">(10^-6)*3.14*$P$6*B14*A14*$B$5</f>
        <v>6.417965381708237E-05</v>
      </c>
      <c r="K14" s="119">
        <f aca="true" t="shared" si="8" ref="K14:K35">($B$9/SQRT(2))*(1-EXP(-1*J14^2))</f>
        <v>2.330074108837425E-09</v>
      </c>
      <c r="L14" s="119">
        <f aca="true" t="shared" si="9" ref="L14:L35">10*LOG10(1/SQRT(1-($J$6*K14)^2))</f>
        <v>0</v>
      </c>
      <c r="M14" s="119"/>
      <c r="N14" s="119"/>
      <c r="O14" s="119">
        <f aca="true" t="shared" si="10" ref="O14:O35">10*LOG10(1/SQRT(1-($J$6*$J$6*((($J$11/AB14)^2)+M14+(K14*K14)))))-$T$11-L14-N14</f>
        <v>0</v>
      </c>
      <c r="P14" s="119">
        <f aca="true" t="shared" si="11" ref="P14:P35">Z14-AA14</f>
        <v>0</v>
      </c>
      <c r="Q14" s="119">
        <f aca="true" t="shared" si="12" ref="Q14:Q35">$B$10</f>
        <v>0</v>
      </c>
      <c r="R14" s="123">
        <f aca="true" t="shared" si="13" ref="R14:R35">-10*LOG10((2*SIN(3.1416*$P$9))/(3.1416*$P$9*(1-$P$9^2))-1)</f>
        <v>0.4272678533619223</v>
      </c>
      <c r="S14" s="124">
        <f aca="true" t="shared" si="14" ref="S14:S35">$E$9-$E$10</f>
        <v>5.5</v>
      </c>
      <c r="T14" s="178">
        <f aca="true" t="shared" si="15" ref="T14:T35">H14+I14+L14+N14+O14+P14+Q14+R14</f>
        <v>0.9771053681611657</v>
      </c>
      <c r="U14" s="119">
        <f aca="true" t="shared" si="16" ref="U14:U35">$E$10+I14</f>
        <v>2.500844177978859</v>
      </c>
      <c r="V14" s="119">
        <f aca="true" t="shared" si="17" ref="V14:V35">T14-I14</f>
        <v>0.9762611901823065</v>
      </c>
      <c r="W14" s="125">
        <f aca="true" t="shared" si="18" ref="W14:W35">S14-T14</f>
        <v>4.522894631838835</v>
      </c>
      <c r="X14" s="126">
        <f aca="true" t="shared" si="19" ref="X14:X35">$J$9-U14-R14-P14</f>
        <v>-13.928112031340781</v>
      </c>
      <c r="Y14" s="124"/>
      <c r="Z14" s="119">
        <f aca="true" t="shared" si="20" ref="Z14:Z35">10*LOG10((1+10^(-($B$6/10)))/(1-10^(-($B$6/10))))</f>
        <v>1.0993211590790997</v>
      </c>
      <c r="AA14" s="119">
        <f aca="true" t="shared" si="21" ref="AA14:AA35">10*LOG10((1+10^(-($J$10/10)))/(1-10^(-($J$10/10))))</f>
        <v>1.0993211590790997</v>
      </c>
      <c r="AB14" s="182">
        <f aca="true" t="shared" si="22" ref="AB14:AB35">10^(-(H14+R14)/10)</f>
        <v>0.7986819709251944</v>
      </c>
      <c r="AC14" s="153"/>
      <c r="AD14" s="154"/>
      <c r="AE14" s="122"/>
      <c r="AF14" s="122"/>
    </row>
    <row r="15" spans="1:32" s="21" customFormat="1" ht="15" customHeight="1">
      <c r="A15" s="136">
        <f>$J$3</f>
        <v>5</v>
      </c>
      <c r="B15" s="103">
        <f t="shared" si="0"/>
        <v>18.778680555555553</v>
      </c>
      <c r="C15" s="146">
        <f t="shared" si="1"/>
        <v>0.026039999999999997</v>
      </c>
      <c r="D15" s="167">
        <f t="shared" si="2"/>
        <v>4979.04577635009</v>
      </c>
      <c r="E15" s="167">
        <f t="shared" si="3"/>
        <v>200000</v>
      </c>
      <c r="F15" s="116">
        <f aca="true" t="shared" si="23" ref="F15:F35">SQRT((1000*$J$5/D15)^2+(1000*$J$5/E15)^2+$P$4^2)</f>
        <v>406.29028583575024</v>
      </c>
      <c r="G15" s="116">
        <f t="shared" si="4"/>
        <v>536.2572110139831</v>
      </c>
      <c r="H15" s="159">
        <f t="shared" si="5"/>
        <v>0.5982380678056511</v>
      </c>
      <c r="I15" s="103">
        <f t="shared" si="6"/>
        <v>2.1104449471478706</v>
      </c>
      <c r="J15" s="103">
        <f t="shared" si="7"/>
        <v>0.16044913454270593</v>
      </c>
      <c r="K15" s="103">
        <f t="shared" si="8"/>
        <v>0.014377107414125578</v>
      </c>
      <c r="L15" s="103">
        <f t="shared" si="9"/>
        <v>0.02234110489331573</v>
      </c>
      <c r="M15" s="103">
        <f aca="true" t="shared" si="24" ref="M15:M35">$P$5*10^9*($J$5/G15)*10^($B$8/10)</f>
        <v>0.0006265650010834794</v>
      </c>
      <c r="N15" s="103">
        <f aca="true" t="shared" si="25" ref="N15:N35">10*LOG10(1/SQRT(1-($J$6^2)*M15))</f>
        <v>0.06844185293639021</v>
      </c>
      <c r="O15" s="103">
        <f t="shared" si="10"/>
        <v>0.0007191876072696612</v>
      </c>
      <c r="P15" s="103">
        <f t="shared" si="11"/>
        <v>0</v>
      </c>
      <c r="Q15" s="103">
        <f t="shared" si="12"/>
        <v>0</v>
      </c>
      <c r="R15" s="107">
        <f t="shared" si="13"/>
        <v>0.4272678533619223</v>
      </c>
      <c r="S15" s="108">
        <f t="shared" si="14"/>
        <v>5.5</v>
      </c>
      <c r="T15" s="104">
        <f t="shared" si="15"/>
        <v>3.22745301375242</v>
      </c>
      <c r="U15" s="103">
        <f t="shared" si="16"/>
        <v>4.610444947147871</v>
      </c>
      <c r="V15" s="103">
        <f t="shared" si="17"/>
        <v>1.1170080666045497</v>
      </c>
      <c r="W15" s="109">
        <f t="shared" si="18"/>
        <v>2.27254698624758</v>
      </c>
      <c r="X15" s="110">
        <f t="shared" si="19"/>
        <v>-16.037712800509794</v>
      </c>
      <c r="Y15" s="20"/>
      <c r="Z15" s="19">
        <f t="shared" si="20"/>
        <v>1.0993211590790997</v>
      </c>
      <c r="AA15" s="19">
        <f t="shared" si="21"/>
        <v>1.0993211590790997</v>
      </c>
      <c r="AB15" s="183">
        <f t="shared" si="22"/>
        <v>0.7896768524892626</v>
      </c>
      <c r="AC15" s="155">
        <f aca="true" t="shared" si="26" ref="AC15:AC35">$J$2</f>
        <v>10</v>
      </c>
      <c r="AD15" s="156">
        <v>0</v>
      </c>
      <c r="AE15" s="156">
        <f>IF(A15=$J$2,W15,0)</f>
        <v>0</v>
      </c>
      <c r="AF15" s="18"/>
    </row>
    <row r="16" spans="1:32" s="27" customFormat="1" ht="15" customHeight="1">
      <c r="A16" s="137">
        <f aca="true" t="shared" si="27" ref="A16:A35">A15+$J$4</f>
        <v>5.5</v>
      </c>
      <c r="B16" s="51">
        <f t="shared" si="0"/>
        <v>18.778680555555553</v>
      </c>
      <c r="C16" s="147">
        <f t="shared" si="1"/>
        <v>0.026039999999999997</v>
      </c>
      <c r="D16" s="168">
        <f t="shared" si="2"/>
        <v>4526.405251227354</v>
      </c>
      <c r="E16" s="168">
        <f t="shared" si="3"/>
        <v>181818.18181818182</v>
      </c>
      <c r="F16" s="117">
        <f t="shared" si="23"/>
        <v>408.6865425935135</v>
      </c>
      <c r="G16" s="117">
        <f t="shared" si="4"/>
        <v>538.0749855708215</v>
      </c>
      <c r="H16" s="52">
        <f t="shared" si="5"/>
        <v>0.6087386232569703</v>
      </c>
      <c r="I16" s="51">
        <f t="shared" si="6"/>
        <v>2.3214894418626577</v>
      </c>
      <c r="J16" s="51">
        <f t="shared" si="7"/>
        <v>0.17649404799697654</v>
      </c>
      <c r="K16" s="51">
        <f t="shared" si="8"/>
        <v>0.017349561666837186</v>
      </c>
      <c r="L16" s="51">
        <f t="shared" si="9"/>
        <v>0.0326109495999058</v>
      </c>
      <c r="M16" s="51">
        <f t="shared" si="24"/>
        <v>0.0006244482813925117</v>
      </c>
      <c r="N16" s="51">
        <f t="shared" si="25"/>
        <v>0.06820696665667034</v>
      </c>
      <c r="O16" s="51">
        <f t="shared" si="10"/>
        <v>0.0010486883806568037</v>
      </c>
      <c r="P16" s="51">
        <f t="shared" si="11"/>
        <v>0</v>
      </c>
      <c r="Q16" s="51">
        <f t="shared" si="12"/>
        <v>0</v>
      </c>
      <c r="R16" s="61">
        <f t="shared" si="13"/>
        <v>0.4272678533619223</v>
      </c>
      <c r="S16" s="54">
        <f t="shared" si="14"/>
        <v>5.5</v>
      </c>
      <c r="T16" s="55">
        <f t="shared" si="15"/>
        <v>3.4593625231187835</v>
      </c>
      <c r="U16" s="51">
        <f t="shared" si="16"/>
        <v>4.821489441862658</v>
      </c>
      <c r="V16" s="51">
        <f t="shared" si="17"/>
        <v>1.1378730812561257</v>
      </c>
      <c r="W16" s="56">
        <f t="shared" si="18"/>
        <v>2.0406374768812165</v>
      </c>
      <c r="X16" s="105">
        <f t="shared" si="19"/>
        <v>-16.248757295224582</v>
      </c>
      <c r="Y16" s="26">
        <f aca="true" t="shared" si="28" ref="Y16:Y34">(W17-W15)/2</f>
        <v>-0.23406959018148665</v>
      </c>
      <c r="Z16" s="24">
        <f t="shared" si="20"/>
        <v>1.0993211590790997</v>
      </c>
      <c r="AA16" s="24">
        <f t="shared" si="21"/>
        <v>1.0993211590790997</v>
      </c>
      <c r="AB16" s="184">
        <f t="shared" si="22"/>
        <v>0.7877698447863039</v>
      </c>
      <c r="AC16" s="155">
        <f t="shared" si="26"/>
        <v>10</v>
      </c>
      <c r="AD16" s="157">
        <f aca="true" t="shared" si="29" ref="AD16:AD34">AD17</f>
        <v>7.9</v>
      </c>
      <c r="AE16" s="156">
        <f aca="true" t="shared" si="30" ref="AE16:AE35">IF(A16=$J$2,W16,0)</f>
        <v>0</v>
      </c>
      <c r="AF16" s="23"/>
    </row>
    <row r="17" spans="1:32" s="27" customFormat="1" ht="15" customHeight="1">
      <c r="A17" s="137">
        <f t="shared" si="27"/>
        <v>6</v>
      </c>
      <c r="B17" s="51">
        <f t="shared" si="0"/>
        <v>18.778680555555553</v>
      </c>
      <c r="C17" s="147">
        <f t="shared" si="1"/>
        <v>0.026039999999999997</v>
      </c>
      <c r="D17" s="168">
        <f t="shared" si="2"/>
        <v>4149.204813625074</v>
      </c>
      <c r="E17" s="168">
        <f t="shared" si="3"/>
        <v>166666.66666666666</v>
      </c>
      <c r="F17" s="117">
        <f t="shared" si="23"/>
        <v>411.29499596867663</v>
      </c>
      <c r="G17" s="117">
        <f t="shared" si="4"/>
        <v>540.0588613372377</v>
      </c>
      <c r="H17" s="52">
        <f t="shared" si="5"/>
        <v>0.6203001192437512</v>
      </c>
      <c r="I17" s="51">
        <f t="shared" si="6"/>
        <v>2.532533936577445</v>
      </c>
      <c r="J17" s="51">
        <f t="shared" si="7"/>
        <v>0.19253896145124713</v>
      </c>
      <c r="K17" s="51">
        <f t="shared" si="8"/>
        <v>0.02058672139119013</v>
      </c>
      <c r="L17" s="51">
        <f t="shared" si="9"/>
        <v>0.04605761150625991</v>
      </c>
      <c r="M17" s="51">
        <f t="shared" si="24"/>
        <v>0.0006221544058513024</v>
      </c>
      <c r="N17" s="51">
        <f t="shared" si="25"/>
        <v>0.06795245058595824</v>
      </c>
      <c r="O17" s="51">
        <f t="shared" si="10"/>
        <v>0.0014802228400568052</v>
      </c>
      <c r="P17" s="51">
        <f t="shared" si="11"/>
        <v>0</v>
      </c>
      <c r="Q17" s="51">
        <f t="shared" si="12"/>
        <v>0</v>
      </c>
      <c r="R17" s="61">
        <f t="shared" si="13"/>
        <v>0.4272678533619223</v>
      </c>
      <c r="S17" s="54">
        <f t="shared" si="14"/>
        <v>5.5</v>
      </c>
      <c r="T17" s="55">
        <f t="shared" si="15"/>
        <v>3.6955921941153935</v>
      </c>
      <c r="U17" s="51">
        <f t="shared" si="16"/>
        <v>5.032533936577445</v>
      </c>
      <c r="V17" s="51">
        <f t="shared" si="17"/>
        <v>1.1630582575379487</v>
      </c>
      <c r="W17" s="56">
        <f t="shared" si="18"/>
        <v>1.8044078058846065</v>
      </c>
      <c r="X17" s="105">
        <f t="shared" si="19"/>
        <v>-16.459801789939366</v>
      </c>
      <c r="Y17" s="26">
        <f t="shared" si="28"/>
        <v>-0.23870882735994803</v>
      </c>
      <c r="Z17" s="24">
        <f t="shared" si="20"/>
        <v>1.0993211590790997</v>
      </c>
      <c r="AA17" s="24">
        <f t="shared" si="21"/>
        <v>1.0993211590790997</v>
      </c>
      <c r="AB17" s="184">
        <f t="shared" si="22"/>
        <v>0.7856754857868902</v>
      </c>
      <c r="AC17" s="155">
        <f t="shared" si="26"/>
        <v>10</v>
      </c>
      <c r="AD17" s="157">
        <f t="shared" si="29"/>
        <v>7.9</v>
      </c>
      <c r="AE17" s="156">
        <f t="shared" si="30"/>
        <v>0</v>
      </c>
      <c r="AF17" s="23"/>
    </row>
    <row r="18" spans="1:31" s="27" customFormat="1" ht="15" customHeight="1">
      <c r="A18" s="137">
        <f t="shared" si="27"/>
        <v>6.5</v>
      </c>
      <c r="B18" s="51">
        <f t="shared" si="0"/>
        <v>18.778680555555553</v>
      </c>
      <c r="C18" s="147">
        <f t="shared" si="1"/>
        <v>0.026039999999999997</v>
      </c>
      <c r="D18" s="168">
        <f t="shared" si="2"/>
        <v>3830.035212576992</v>
      </c>
      <c r="E18" s="168">
        <f t="shared" si="3"/>
        <v>153846.15384615384</v>
      </c>
      <c r="F18" s="117">
        <f t="shared" si="23"/>
        <v>414.1116361562394</v>
      </c>
      <c r="G18" s="117">
        <f t="shared" si="4"/>
        <v>542.2070150781873</v>
      </c>
      <c r="H18" s="52">
        <f t="shared" si="5"/>
        <v>0.6329377831472225</v>
      </c>
      <c r="I18" s="51">
        <f t="shared" si="6"/>
        <v>2.7435784312922316</v>
      </c>
      <c r="J18" s="51">
        <f t="shared" si="7"/>
        <v>0.2085838749055177</v>
      </c>
      <c r="K18" s="51">
        <f t="shared" si="8"/>
        <v>0.024083701077407784</v>
      </c>
      <c r="L18" s="51">
        <f t="shared" si="9"/>
        <v>0.0632832581958809</v>
      </c>
      <c r="M18" s="51">
        <f t="shared" si="24"/>
        <v>0.0006196895109362394</v>
      </c>
      <c r="N18" s="51">
        <f t="shared" si="25"/>
        <v>0.06767899237348858</v>
      </c>
      <c r="O18" s="51">
        <f t="shared" si="10"/>
        <v>0.0020338594679330663</v>
      </c>
      <c r="P18" s="51">
        <f t="shared" si="11"/>
        <v>0</v>
      </c>
      <c r="Q18" s="51">
        <f t="shared" si="12"/>
        <v>0</v>
      </c>
      <c r="R18" s="61">
        <f t="shared" si="13"/>
        <v>0.4272678533619223</v>
      </c>
      <c r="S18" s="54">
        <f t="shared" si="14"/>
        <v>5.5</v>
      </c>
      <c r="T18" s="55">
        <f t="shared" si="15"/>
        <v>3.9367801778386795</v>
      </c>
      <c r="U18" s="51">
        <f t="shared" si="16"/>
        <v>5.243578431292232</v>
      </c>
      <c r="V18" s="51">
        <f t="shared" si="17"/>
        <v>1.193201746546448</v>
      </c>
      <c r="W18" s="56">
        <f t="shared" si="18"/>
        <v>1.5632198221613205</v>
      </c>
      <c r="X18" s="105">
        <f t="shared" si="19"/>
        <v>-16.670846284654154</v>
      </c>
      <c r="Y18" s="26">
        <f t="shared" si="28"/>
        <v>-0.24402034909543113</v>
      </c>
      <c r="Z18" s="24">
        <f t="shared" si="20"/>
        <v>1.0993211590790997</v>
      </c>
      <c r="AA18" s="24">
        <f t="shared" si="21"/>
        <v>1.0993211590790997</v>
      </c>
      <c r="AB18" s="184">
        <f t="shared" si="22"/>
        <v>0.7833925485986311</v>
      </c>
      <c r="AC18" s="155">
        <f t="shared" si="26"/>
        <v>10</v>
      </c>
      <c r="AD18" s="157">
        <f t="shared" si="29"/>
        <v>7.9</v>
      </c>
      <c r="AE18" s="156">
        <f t="shared" si="30"/>
        <v>0</v>
      </c>
    </row>
    <row r="19" spans="1:31" s="27" customFormat="1" ht="15" customHeight="1">
      <c r="A19" s="137">
        <f t="shared" si="27"/>
        <v>7</v>
      </c>
      <c r="B19" s="51">
        <f t="shared" si="0"/>
        <v>18.778680555555553</v>
      </c>
      <c r="C19" s="147">
        <f t="shared" si="1"/>
        <v>0.026039999999999997</v>
      </c>
      <c r="D19" s="168">
        <f t="shared" si="2"/>
        <v>3556.4612688214925</v>
      </c>
      <c r="E19" s="168">
        <f t="shared" si="3"/>
        <v>142857.14285714287</v>
      </c>
      <c r="F19" s="117">
        <f t="shared" si="23"/>
        <v>417.1322459009989</v>
      </c>
      <c r="G19" s="117">
        <f t="shared" si="4"/>
        <v>544.517502538175</v>
      </c>
      <c r="H19" s="52">
        <f t="shared" si="5"/>
        <v>0.6466675978824771</v>
      </c>
      <c r="I19" s="51">
        <f t="shared" si="6"/>
        <v>2.9546229260070187</v>
      </c>
      <c r="J19" s="51">
        <f t="shared" si="7"/>
        <v>0.2246287883597883</v>
      </c>
      <c r="K19" s="51">
        <f t="shared" si="8"/>
        <v>0.02783524533422548</v>
      </c>
      <c r="L19" s="51">
        <f t="shared" si="9"/>
        <v>0.08495467743955884</v>
      </c>
      <c r="M19" s="51">
        <f t="shared" si="24"/>
        <v>0.0006170600548812363</v>
      </c>
      <c r="N19" s="51">
        <f t="shared" si="25"/>
        <v>0.06738731552075952</v>
      </c>
      <c r="O19" s="51">
        <f t="shared" si="10"/>
        <v>0.0027325220945197404</v>
      </c>
      <c r="P19" s="51">
        <f t="shared" si="11"/>
        <v>0</v>
      </c>
      <c r="Q19" s="51">
        <f t="shared" si="12"/>
        <v>0</v>
      </c>
      <c r="R19" s="61">
        <f t="shared" si="13"/>
        <v>0.4272678533619223</v>
      </c>
      <c r="S19" s="54">
        <f t="shared" si="14"/>
        <v>5.5</v>
      </c>
      <c r="T19" s="55">
        <f t="shared" si="15"/>
        <v>4.183632892306256</v>
      </c>
      <c r="U19" s="51">
        <f t="shared" si="16"/>
        <v>5.454622926007019</v>
      </c>
      <c r="V19" s="51">
        <f t="shared" si="17"/>
        <v>1.229009966299237</v>
      </c>
      <c r="W19" s="56">
        <f t="shared" si="18"/>
        <v>1.3163671076937442</v>
      </c>
      <c r="X19" s="105">
        <f t="shared" si="19"/>
        <v>-16.88189077936894</v>
      </c>
      <c r="Y19" s="26">
        <f t="shared" si="28"/>
        <v>-0.25007765148015615</v>
      </c>
      <c r="Z19" s="24">
        <f t="shared" si="20"/>
        <v>1.0993211590790997</v>
      </c>
      <c r="AA19" s="24">
        <f t="shared" si="21"/>
        <v>1.0993211590790997</v>
      </c>
      <c r="AB19" s="184">
        <f t="shared" si="22"/>
        <v>0.7809198368503799</v>
      </c>
      <c r="AC19" s="155">
        <f t="shared" si="26"/>
        <v>10</v>
      </c>
      <c r="AD19" s="157">
        <f t="shared" si="29"/>
        <v>7.9</v>
      </c>
      <c r="AE19" s="156">
        <f t="shared" si="30"/>
        <v>0</v>
      </c>
    </row>
    <row r="20" spans="1:31" s="21" customFormat="1" ht="15" customHeight="1">
      <c r="A20" s="136">
        <f t="shared" si="27"/>
        <v>7.5</v>
      </c>
      <c r="B20" s="103">
        <f t="shared" si="0"/>
        <v>18.778680555555553</v>
      </c>
      <c r="C20" s="146">
        <f t="shared" si="1"/>
        <v>0.026039999999999997</v>
      </c>
      <c r="D20" s="167">
        <f t="shared" si="2"/>
        <v>3319.36385090006</v>
      </c>
      <c r="E20" s="167">
        <f t="shared" si="3"/>
        <v>133333.33333333334</v>
      </c>
      <c r="F20" s="116">
        <f t="shared" si="23"/>
        <v>420.35242811254835</v>
      </c>
      <c r="G20" s="116">
        <f t="shared" si="4"/>
        <v>546.9882666201489</v>
      </c>
      <c r="H20" s="106">
        <f t="shared" si="5"/>
        <v>0.6615061772928645</v>
      </c>
      <c r="I20" s="103">
        <f t="shared" si="6"/>
        <v>3.165667420721806</v>
      </c>
      <c r="J20" s="103">
        <f t="shared" si="7"/>
        <v>0.24067370181405892</v>
      </c>
      <c r="K20" s="103">
        <f t="shared" si="8"/>
        <v>0.031835742046028424</v>
      </c>
      <c r="L20" s="103">
        <f t="shared" si="9"/>
        <v>0.11181310415662256</v>
      </c>
      <c r="M20" s="103">
        <f t="shared" si="24"/>
        <v>0.0006142727742153419</v>
      </c>
      <c r="N20" s="103">
        <f t="shared" si="25"/>
        <v>0.06707817447720218</v>
      </c>
      <c r="O20" s="103">
        <f t="shared" si="10"/>
        <v>0.003602750788574041</v>
      </c>
      <c r="P20" s="103">
        <f t="shared" si="11"/>
        <v>0</v>
      </c>
      <c r="Q20" s="103">
        <f t="shared" si="12"/>
        <v>0</v>
      </c>
      <c r="R20" s="107">
        <f t="shared" si="13"/>
        <v>0.4272678533619223</v>
      </c>
      <c r="S20" s="108">
        <f t="shared" si="14"/>
        <v>5.5</v>
      </c>
      <c r="T20" s="104">
        <f t="shared" si="15"/>
        <v>4.436935480798992</v>
      </c>
      <c r="U20" s="103">
        <f t="shared" si="16"/>
        <v>5.665667420721806</v>
      </c>
      <c r="V20" s="103">
        <f t="shared" si="17"/>
        <v>1.271268060077186</v>
      </c>
      <c r="W20" s="109">
        <f t="shared" si="18"/>
        <v>1.0630645192010082</v>
      </c>
      <c r="X20" s="110">
        <f t="shared" si="19"/>
        <v>-17.09293527408373</v>
      </c>
      <c r="Y20" s="28">
        <f t="shared" si="28"/>
        <v>-0.2569668277133079</v>
      </c>
      <c r="Z20" s="19">
        <f t="shared" si="20"/>
        <v>1.0993211590790997</v>
      </c>
      <c r="AA20" s="19">
        <f t="shared" si="21"/>
        <v>1.0993211590790997</v>
      </c>
      <c r="AB20" s="183">
        <f t="shared" si="22"/>
        <v>0.778256213882507</v>
      </c>
      <c r="AC20" s="155">
        <f t="shared" si="26"/>
        <v>10</v>
      </c>
      <c r="AD20" s="157">
        <f t="shared" si="29"/>
        <v>7.9</v>
      </c>
      <c r="AE20" s="156">
        <f t="shared" si="30"/>
        <v>0</v>
      </c>
    </row>
    <row r="21" spans="1:31" s="27" customFormat="1" ht="15" customHeight="1">
      <c r="A21" s="137">
        <f t="shared" si="27"/>
        <v>8</v>
      </c>
      <c r="B21" s="51">
        <f t="shared" si="0"/>
        <v>18.778680555555553</v>
      </c>
      <c r="C21" s="147">
        <f t="shared" si="1"/>
        <v>0.026039999999999997</v>
      </c>
      <c r="D21" s="168">
        <f t="shared" si="2"/>
        <v>3111.903610218806</v>
      </c>
      <c r="E21" s="168">
        <f t="shared" si="3"/>
        <v>125000</v>
      </c>
      <c r="F21" s="117">
        <f t="shared" si="23"/>
        <v>423.7676332013911</v>
      </c>
      <c r="G21" s="117">
        <f t="shared" si="4"/>
        <v>549.6171457925133</v>
      </c>
      <c r="H21" s="52">
        <f t="shared" si="5"/>
        <v>0.6774706382922349</v>
      </c>
      <c r="I21" s="51">
        <f t="shared" si="6"/>
        <v>3.376711915436593</v>
      </c>
      <c r="J21" s="51">
        <f t="shared" si="7"/>
        <v>0.2567186152683295</v>
      </c>
      <c r="K21" s="51">
        <f t="shared" si="8"/>
        <v>0.036079236357086306</v>
      </c>
      <c r="L21" s="51">
        <f t="shared" si="9"/>
        <v>0.14468801420377694</v>
      </c>
      <c r="M21" s="51">
        <f t="shared" si="24"/>
        <v>0.0006113346400711521</v>
      </c>
      <c r="N21" s="51">
        <f t="shared" si="25"/>
        <v>0.06675234971282441</v>
      </c>
      <c r="O21" s="51">
        <f t="shared" si="10"/>
        <v>0.0046757767255201504</v>
      </c>
      <c r="P21" s="51">
        <f t="shared" si="11"/>
        <v>0</v>
      </c>
      <c r="Q21" s="51">
        <f t="shared" si="12"/>
        <v>0</v>
      </c>
      <c r="R21" s="61">
        <f t="shared" si="13"/>
        <v>0.4272678533619223</v>
      </c>
      <c r="S21" s="54">
        <f t="shared" si="14"/>
        <v>5.5</v>
      </c>
      <c r="T21" s="55">
        <f t="shared" si="15"/>
        <v>4.697566547732872</v>
      </c>
      <c r="U21" s="51">
        <f t="shared" si="16"/>
        <v>5.8767119154365925</v>
      </c>
      <c r="V21" s="51">
        <f t="shared" si="17"/>
        <v>1.3208546322962786</v>
      </c>
      <c r="W21" s="56">
        <f t="shared" si="18"/>
        <v>0.8024334522671284</v>
      </c>
      <c r="X21" s="105">
        <f t="shared" si="19"/>
        <v>-17.303979768798516</v>
      </c>
      <c r="Y21" s="26">
        <f t="shared" si="28"/>
        <v>-0.26479154387665904</v>
      </c>
      <c r="Z21" s="24">
        <f t="shared" si="20"/>
        <v>1.0993211590790997</v>
      </c>
      <c r="AA21" s="24">
        <f t="shared" si="21"/>
        <v>1.0993211590790997</v>
      </c>
      <c r="AB21" s="184">
        <f t="shared" si="22"/>
        <v>0.7754006323322502</v>
      </c>
      <c r="AC21" s="155">
        <f t="shared" si="26"/>
        <v>10</v>
      </c>
      <c r="AD21" s="157">
        <f t="shared" si="29"/>
        <v>7.9</v>
      </c>
      <c r="AE21" s="156">
        <f t="shared" si="30"/>
        <v>0</v>
      </c>
    </row>
    <row r="22" spans="1:31" s="27" customFormat="1" ht="15" customHeight="1">
      <c r="A22" s="137">
        <f t="shared" si="27"/>
        <v>8.5</v>
      </c>
      <c r="B22" s="51">
        <f t="shared" si="0"/>
        <v>18.778680555555553</v>
      </c>
      <c r="C22" s="147">
        <f t="shared" si="1"/>
        <v>0.026039999999999997</v>
      </c>
      <c r="D22" s="168">
        <f t="shared" si="2"/>
        <v>2928.850456676523</v>
      </c>
      <c r="E22" s="168">
        <f t="shared" si="3"/>
        <v>117647.05882352941</v>
      </c>
      <c r="F22" s="117">
        <f t="shared" si="23"/>
        <v>427.37318581936364</v>
      </c>
      <c r="G22" s="117">
        <f t="shared" si="4"/>
        <v>552.401882651926</v>
      </c>
      <c r="H22" s="52">
        <f t="shared" si="5"/>
        <v>0.694578471116704</v>
      </c>
      <c r="I22" s="51">
        <f t="shared" si="6"/>
        <v>3.5877564101513797</v>
      </c>
      <c r="J22" s="51">
        <f t="shared" si="7"/>
        <v>0.27276352872260007</v>
      </c>
      <c r="K22" s="51">
        <f t="shared" si="8"/>
        <v>0.04055944543413033</v>
      </c>
      <c r="L22" s="51">
        <f t="shared" si="9"/>
        <v>0.18451615694957535</v>
      </c>
      <c r="M22" s="51">
        <f t="shared" si="24"/>
        <v>0.0006082528147568189</v>
      </c>
      <c r="N22" s="51">
        <f t="shared" si="25"/>
        <v>0.06641064282369775</v>
      </c>
      <c r="O22" s="51">
        <f t="shared" si="10"/>
        <v>0.0059890341490305005</v>
      </c>
      <c r="P22" s="51">
        <f t="shared" si="11"/>
        <v>0</v>
      </c>
      <c r="Q22" s="51">
        <f t="shared" si="12"/>
        <v>0</v>
      </c>
      <c r="R22" s="61">
        <f t="shared" si="13"/>
        <v>0.4272678533619223</v>
      </c>
      <c r="S22" s="54">
        <f t="shared" si="14"/>
        <v>5.5</v>
      </c>
      <c r="T22" s="55">
        <f t="shared" si="15"/>
        <v>4.96651856855231</v>
      </c>
      <c r="U22" s="51">
        <f t="shared" si="16"/>
        <v>6.08775641015138</v>
      </c>
      <c r="V22" s="51">
        <f t="shared" si="17"/>
        <v>1.3787621584009302</v>
      </c>
      <c r="W22" s="56">
        <f t="shared" si="18"/>
        <v>0.5334814314476901</v>
      </c>
      <c r="X22" s="105">
        <f t="shared" si="19"/>
        <v>-17.5150242635133</v>
      </c>
      <c r="Y22" s="26">
        <f t="shared" si="28"/>
        <v>-0.2736797122085033</v>
      </c>
      <c r="Z22" s="24">
        <f t="shared" si="20"/>
        <v>1.0993211590790997</v>
      </c>
      <c r="AA22" s="24">
        <f t="shared" si="21"/>
        <v>1.0993211590790997</v>
      </c>
      <c r="AB22" s="184">
        <f t="shared" si="22"/>
        <v>0.7723521637295166</v>
      </c>
      <c r="AC22" s="155">
        <f t="shared" si="26"/>
        <v>10</v>
      </c>
      <c r="AD22" s="157">
        <f t="shared" si="29"/>
        <v>7.9</v>
      </c>
      <c r="AE22" s="156">
        <f t="shared" si="30"/>
        <v>0</v>
      </c>
    </row>
    <row r="23" spans="1:31" s="27" customFormat="1" ht="15" customHeight="1">
      <c r="A23" s="137">
        <f t="shared" si="27"/>
        <v>9</v>
      </c>
      <c r="B23" s="51">
        <f t="shared" si="0"/>
        <v>18.778680555555553</v>
      </c>
      <c r="C23" s="147">
        <f t="shared" si="1"/>
        <v>0.026039999999999997</v>
      </c>
      <c r="D23" s="168">
        <f t="shared" si="2"/>
        <v>2766.1365424167166</v>
      </c>
      <c r="E23" s="168">
        <f t="shared" si="3"/>
        <v>111111.11111111111</v>
      </c>
      <c r="F23" s="117">
        <f t="shared" si="23"/>
        <v>431.164310727321</v>
      </c>
      <c r="G23" s="117">
        <f t="shared" si="4"/>
        <v>555.3401325718913</v>
      </c>
      <c r="H23" s="52">
        <f t="shared" si="5"/>
        <v>0.7128474090665573</v>
      </c>
      <c r="I23" s="51">
        <f t="shared" si="6"/>
        <v>3.7988009048661673</v>
      </c>
      <c r="J23" s="51">
        <f t="shared" si="7"/>
        <v>0.2888084421768707</v>
      </c>
      <c r="K23" s="51">
        <f t="shared" si="8"/>
        <v>0.04526977395607444</v>
      </c>
      <c r="L23" s="51">
        <f t="shared" si="9"/>
        <v>0.23236763649553493</v>
      </c>
      <c r="M23" s="51">
        <f t="shared" si="24"/>
        <v>0.0006050346090492628</v>
      </c>
      <c r="N23" s="51">
        <f t="shared" si="25"/>
        <v>0.06605387172206224</v>
      </c>
      <c r="O23" s="51">
        <f t="shared" si="10"/>
        <v>0.0075882966376333155</v>
      </c>
      <c r="P23" s="51">
        <f t="shared" si="11"/>
        <v>0</v>
      </c>
      <c r="Q23" s="51">
        <f t="shared" si="12"/>
        <v>0</v>
      </c>
      <c r="R23" s="61">
        <f t="shared" si="13"/>
        <v>0.4272678533619223</v>
      </c>
      <c r="S23" s="54">
        <f t="shared" si="14"/>
        <v>5.5</v>
      </c>
      <c r="T23" s="55">
        <f t="shared" si="15"/>
        <v>5.244925972149878</v>
      </c>
      <c r="U23" s="51">
        <f t="shared" si="16"/>
        <v>6.298800904866168</v>
      </c>
      <c r="V23" s="51">
        <f t="shared" si="17"/>
        <v>1.446125067283711</v>
      </c>
      <c r="W23" s="56">
        <f t="shared" si="18"/>
        <v>0.2550740278501218</v>
      </c>
      <c r="X23" s="105">
        <f t="shared" si="19"/>
        <v>-17.72606875822809</v>
      </c>
      <c r="Y23" s="26">
        <f t="shared" si="28"/>
        <v>-0.28379263341316596</v>
      </c>
      <c r="Z23" s="24">
        <f t="shared" si="20"/>
        <v>1.0993211590790997</v>
      </c>
      <c r="AA23" s="24">
        <f t="shared" si="21"/>
        <v>1.0993211590790997</v>
      </c>
      <c r="AB23" s="184">
        <f t="shared" si="22"/>
        <v>0.7691100277164176</v>
      </c>
      <c r="AC23" s="155">
        <f t="shared" si="26"/>
        <v>10</v>
      </c>
      <c r="AD23" s="157">
        <f t="shared" si="29"/>
        <v>7.9</v>
      </c>
      <c r="AE23" s="156">
        <f t="shared" si="30"/>
        <v>0</v>
      </c>
    </row>
    <row r="24" spans="1:31" s="27" customFormat="1" ht="15" customHeight="1">
      <c r="A24" s="137">
        <f t="shared" si="27"/>
        <v>9.5</v>
      </c>
      <c r="B24" s="51">
        <f t="shared" si="0"/>
        <v>18.778680555555553</v>
      </c>
      <c r="C24" s="147">
        <f t="shared" si="1"/>
        <v>0.026039999999999997</v>
      </c>
      <c r="D24" s="168">
        <f t="shared" si="2"/>
        <v>2620.55040860531</v>
      </c>
      <c r="E24" s="168">
        <f t="shared" si="3"/>
        <v>105263.15789473684</v>
      </c>
      <c r="F24" s="117">
        <f t="shared" si="23"/>
        <v>435.1361575551142</v>
      </c>
      <c r="G24" s="117">
        <f t="shared" si="4"/>
        <v>558.4294723703515</v>
      </c>
      <c r="H24" s="52">
        <f t="shared" si="5"/>
        <v>0.7322952991177979</v>
      </c>
      <c r="I24" s="51">
        <f t="shared" si="6"/>
        <v>4.009845399580954</v>
      </c>
      <c r="J24" s="51">
        <f t="shared" si="7"/>
        <v>0.3048533556311413</v>
      </c>
      <c r="K24" s="51">
        <f t="shared" si="8"/>
        <v>0.0502033302774671</v>
      </c>
      <c r="L24" s="51">
        <f t="shared" si="9"/>
        <v>0.2894816875910349</v>
      </c>
      <c r="M24" s="51">
        <f t="shared" si="24"/>
        <v>0.0006016874406248461</v>
      </c>
      <c r="N24" s="51">
        <f t="shared" si="25"/>
        <v>0.0656828659581087</v>
      </c>
      <c r="O24" s="51">
        <f t="shared" si="10"/>
        <v>0.009530729768823618</v>
      </c>
      <c r="P24" s="51">
        <f t="shared" si="11"/>
        <v>0</v>
      </c>
      <c r="Q24" s="51">
        <f t="shared" si="12"/>
        <v>0</v>
      </c>
      <c r="R24" s="61">
        <f t="shared" si="13"/>
        <v>0.4272678533619223</v>
      </c>
      <c r="S24" s="54">
        <f t="shared" si="14"/>
        <v>5.5</v>
      </c>
      <c r="T24" s="55">
        <f t="shared" si="15"/>
        <v>5.534103835378642</v>
      </c>
      <c r="U24" s="51">
        <f t="shared" si="16"/>
        <v>6.509845399580954</v>
      </c>
      <c r="V24" s="51">
        <f t="shared" si="17"/>
        <v>1.5242584357976874</v>
      </c>
      <c r="W24" s="56">
        <f t="shared" si="18"/>
        <v>-0.03410383537864181</v>
      </c>
      <c r="X24" s="105">
        <f t="shared" si="19"/>
        <v>-17.937113252942876</v>
      </c>
      <c r="Y24" s="26">
        <f t="shared" si="28"/>
        <v>-0.29533782879620896</v>
      </c>
      <c r="Z24" s="24">
        <f t="shared" si="20"/>
        <v>1.0993211590790997</v>
      </c>
      <c r="AA24" s="24">
        <f t="shared" si="21"/>
        <v>1.0993211590790997</v>
      </c>
      <c r="AB24" s="184">
        <f t="shared" si="22"/>
        <v>0.7656736205079097</v>
      </c>
      <c r="AC24" s="155">
        <f t="shared" si="26"/>
        <v>10</v>
      </c>
      <c r="AD24" s="157">
        <f t="shared" si="29"/>
        <v>7.9</v>
      </c>
      <c r="AE24" s="156">
        <f t="shared" si="30"/>
        <v>0</v>
      </c>
    </row>
    <row r="25" spans="1:31" s="21" customFormat="1" ht="15" customHeight="1">
      <c r="A25" s="136">
        <f t="shared" si="27"/>
        <v>10</v>
      </c>
      <c r="B25" s="103">
        <f t="shared" si="0"/>
        <v>18.778680555555553</v>
      </c>
      <c r="C25" s="146">
        <f t="shared" si="1"/>
        <v>0.026039999999999997</v>
      </c>
      <c r="D25" s="167">
        <f t="shared" si="2"/>
        <v>2489.522888175045</v>
      </c>
      <c r="E25" s="167">
        <f t="shared" si="3"/>
        <v>100000</v>
      </c>
      <c r="F25" s="116">
        <f t="shared" si="23"/>
        <v>439.2838242616981</v>
      </c>
      <c r="G25" s="116">
        <f t="shared" si="4"/>
        <v>561.6674089334207</v>
      </c>
      <c r="H25" s="106">
        <f t="shared" si="5"/>
        <v>0.752939974761116</v>
      </c>
      <c r="I25" s="103">
        <f t="shared" si="6"/>
        <v>4.220889894295741</v>
      </c>
      <c r="J25" s="103">
        <f t="shared" si="7"/>
        <v>0.32089826908541186</v>
      </c>
      <c r="K25" s="103">
        <f t="shared" si="8"/>
        <v>0.055352943210281454</v>
      </c>
      <c r="L25" s="103">
        <f t="shared" si="9"/>
        <v>0.3573161169314431</v>
      </c>
      <c r="M25" s="103">
        <f t="shared" si="24"/>
        <v>0.0005982187939977642</v>
      </c>
      <c r="N25" s="103">
        <f t="shared" si="25"/>
        <v>0.06529846221519126</v>
      </c>
      <c r="O25" s="103">
        <f t="shared" si="10"/>
        <v>0.011889328176882707</v>
      </c>
      <c r="P25" s="103">
        <f t="shared" si="11"/>
        <v>0</v>
      </c>
      <c r="Q25" s="103">
        <f t="shared" si="12"/>
        <v>0</v>
      </c>
      <c r="R25" s="107">
        <f t="shared" si="13"/>
        <v>0.4272678533619223</v>
      </c>
      <c r="S25" s="108">
        <f t="shared" si="14"/>
        <v>5.5</v>
      </c>
      <c r="T25" s="104">
        <f t="shared" si="15"/>
        <v>5.835601629742296</v>
      </c>
      <c r="U25" s="103">
        <f t="shared" si="16"/>
        <v>6.720889894295741</v>
      </c>
      <c r="V25" s="103">
        <f t="shared" si="17"/>
        <v>1.614711735446555</v>
      </c>
      <c r="W25" s="109">
        <f t="shared" si="18"/>
        <v>-0.3356016297422961</v>
      </c>
      <c r="X25" s="110">
        <f t="shared" si="19"/>
        <v>-18.148157747657663</v>
      </c>
      <c r="Y25" s="28">
        <f t="shared" si="28"/>
        <v>-0.3085875392896247</v>
      </c>
      <c r="Z25" s="19">
        <f t="shared" si="20"/>
        <v>1.0993211590790997</v>
      </c>
      <c r="AA25" s="19">
        <f t="shared" si="21"/>
        <v>1.0993211590790997</v>
      </c>
      <c r="AB25" s="183">
        <f t="shared" si="22"/>
        <v>0.76204254222135</v>
      </c>
      <c r="AC25" s="155">
        <f t="shared" si="26"/>
        <v>10</v>
      </c>
      <c r="AD25" s="157">
        <f t="shared" si="29"/>
        <v>7.9</v>
      </c>
      <c r="AE25" s="156">
        <f t="shared" si="30"/>
        <v>-0.3356016297422961</v>
      </c>
    </row>
    <row r="26" spans="1:31" s="27" customFormat="1" ht="15" customHeight="1">
      <c r="A26" s="137">
        <f t="shared" si="27"/>
        <v>10.5</v>
      </c>
      <c r="B26" s="51">
        <f t="shared" si="0"/>
        <v>18.778680555555553</v>
      </c>
      <c r="C26" s="147">
        <f t="shared" si="1"/>
        <v>0.026039999999999997</v>
      </c>
      <c r="D26" s="168">
        <f t="shared" si="2"/>
        <v>2370.974179214328</v>
      </c>
      <c r="E26" s="168">
        <f t="shared" si="3"/>
        <v>95238.09523809524</v>
      </c>
      <c r="F26" s="117">
        <f t="shared" si="23"/>
        <v>443.6023791453622</v>
      </c>
      <c r="G26" s="117">
        <f t="shared" si="4"/>
        <v>565.0513877369258</v>
      </c>
      <c r="H26" s="52">
        <f t="shared" si="5"/>
        <v>0.7747991323836161</v>
      </c>
      <c r="I26" s="51">
        <f t="shared" si="6"/>
        <v>4.431934389010529</v>
      </c>
      <c r="J26" s="51">
        <f t="shared" si="7"/>
        <v>0.3369431825396825</v>
      </c>
      <c r="K26" s="51">
        <f t="shared" si="8"/>
        <v>0.06071117936691724</v>
      </c>
      <c r="L26" s="51">
        <f t="shared" si="9"/>
        <v>0.43761653015271995</v>
      </c>
      <c r="M26" s="51">
        <f t="shared" si="24"/>
        <v>0.0005946361822872533</v>
      </c>
      <c r="N26" s="51">
        <f t="shared" si="25"/>
        <v>0.06490150001462018</v>
      </c>
      <c r="O26" s="51">
        <f t="shared" si="10"/>
        <v>0.014759509034484933</v>
      </c>
      <c r="P26" s="51">
        <f t="shared" si="11"/>
        <v>0</v>
      </c>
      <c r="Q26" s="51">
        <f t="shared" si="12"/>
        <v>0</v>
      </c>
      <c r="R26" s="61">
        <f t="shared" si="13"/>
        <v>0.4272678533619223</v>
      </c>
      <c r="S26" s="54">
        <f t="shared" si="14"/>
        <v>5.5</v>
      </c>
      <c r="T26" s="55">
        <f t="shared" si="15"/>
        <v>6.151278913957891</v>
      </c>
      <c r="U26" s="51">
        <f t="shared" si="16"/>
        <v>6.931934389010529</v>
      </c>
      <c r="V26" s="51">
        <f t="shared" si="17"/>
        <v>1.7193445249473625</v>
      </c>
      <c r="W26" s="56">
        <f t="shared" si="18"/>
        <v>-0.6512789139578912</v>
      </c>
      <c r="X26" s="105">
        <f t="shared" si="19"/>
        <v>-18.35920224237245</v>
      </c>
      <c r="Y26" s="26">
        <f t="shared" si="28"/>
        <v>-0.3239061865481485</v>
      </c>
      <c r="Z26" s="24">
        <f t="shared" si="20"/>
        <v>1.0993211590790997</v>
      </c>
      <c r="AA26" s="24">
        <f t="shared" si="21"/>
        <v>1.0993211590790997</v>
      </c>
      <c r="AB26" s="184">
        <f t="shared" si="22"/>
        <v>0.7582166227195043</v>
      </c>
      <c r="AC26" s="155">
        <f t="shared" si="26"/>
        <v>10</v>
      </c>
      <c r="AD26" s="157">
        <f t="shared" si="29"/>
        <v>7.9</v>
      </c>
      <c r="AE26" s="156">
        <f t="shared" si="30"/>
        <v>0</v>
      </c>
    </row>
    <row r="27" spans="1:31" s="27" customFormat="1" ht="15" customHeight="1">
      <c r="A27" s="137">
        <f t="shared" si="27"/>
        <v>11</v>
      </c>
      <c r="B27" s="51">
        <f t="shared" si="0"/>
        <v>18.778680555555553</v>
      </c>
      <c r="C27" s="147">
        <f t="shared" si="1"/>
        <v>0.026039999999999997</v>
      </c>
      <c r="D27" s="168">
        <f t="shared" si="2"/>
        <v>2263.202625613677</v>
      </c>
      <c r="E27" s="168">
        <f t="shared" si="3"/>
        <v>90909.09090909091</v>
      </c>
      <c r="F27" s="117">
        <f t="shared" si="23"/>
        <v>448.086881294419</v>
      </c>
      <c r="G27" s="117">
        <f t="shared" si="4"/>
        <v>568.5788012124254</v>
      </c>
      <c r="H27" s="52">
        <f t="shared" si="5"/>
        <v>0.797890212446071</v>
      </c>
      <c r="I27" s="51">
        <f t="shared" si="6"/>
        <v>4.642978883725315</v>
      </c>
      <c r="J27" s="51">
        <f t="shared" si="7"/>
        <v>0.3529880959939531</v>
      </c>
      <c r="K27" s="51">
        <f t="shared" si="8"/>
        <v>0.06627036100580207</v>
      </c>
      <c r="L27" s="51">
        <f t="shared" si="9"/>
        <v>0.532515057175116</v>
      </c>
      <c r="M27" s="51">
        <f t="shared" si="24"/>
        <v>0.0005909471110838474</v>
      </c>
      <c r="N27" s="51">
        <f t="shared" si="25"/>
        <v>0.06449281766035872</v>
      </c>
      <c r="O27" s="51">
        <f t="shared" si="10"/>
        <v>0.018269178469809272</v>
      </c>
      <c r="P27" s="51">
        <f t="shared" si="11"/>
        <v>0</v>
      </c>
      <c r="Q27" s="51">
        <f t="shared" si="12"/>
        <v>0</v>
      </c>
      <c r="R27" s="61">
        <f t="shared" si="13"/>
        <v>0.4272678533619223</v>
      </c>
      <c r="S27" s="54">
        <f t="shared" si="14"/>
        <v>5.5</v>
      </c>
      <c r="T27" s="55">
        <f t="shared" si="15"/>
        <v>6.483414002838593</v>
      </c>
      <c r="U27" s="51">
        <f t="shared" si="16"/>
        <v>7.142978883725315</v>
      </c>
      <c r="V27" s="51">
        <f t="shared" si="17"/>
        <v>1.8404351191132777</v>
      </c>
      <c r="W27" s="56">
        <f t="shared" si="18"/>
        <v>-0.9834140028385931</v>
      </c>
      <c r="X27" s="105">
        <f t="shared" si="19"/>
        <v>-18.57024673708724</v>
      </c>
      <c r="Y27" s="26">
        <f t="shared" si="28"/>
        <v>-0.34179248081481006</v>
      </c>
      <c r="Z27" s="24">
        <f t="shared" si="20"/>
        <v>1.0993211590790997</v>
      </c>
      <c r="AA27" s="24">
        <f t="shared" si="21"/>
        <v>1.0993211590790997</v>
      </c>
      <c r="AB27" s="184">
        <f t="shared" si="22"/>
        <v>0.7541959456344189</v>
      </c>
      <c r="AC27" s="155">
        <f t="shared" si="26"/>
        <v>10</v>
      </c>
      <c r="AD27" s="157">
        <f t="shared" si="29"/>
        <v>7.9</v>
      </c>
      <c r="AE27" s="156">
        <f t="shared" si="30"/>
        <v>0</v>
      </c>
    </row>
    <row r="28" spans="1:31" s="27" customFormat="1" ht="15" customHeight="1">
      <c r="A28" s="137">
        <f t="shared" si="27"/>
        <v>11.5</v>
      </c>
      <c r="B28" s="51">
        <f t="shared" si="0"/>
        <v>18.778680555555553</v>
      </c>
      <c r="C28" s="147">
        <f t="shared" si="1"/>
        <v>0.026039999999999997</v>
      </c>
      <c r="D28" s="168">
        <f t="shared" si="2"/>
        <v>2164.8025114565603</v>
      </c>
      <c r="E28" s="168">
        <f t="shared" si="3"/>
        <v>86956.52173913043</v>
      </c>
      <c r="F28" s="117">
        <f t="shared" si="23"/>
        <v>452.7323994062959</v>
      </c>
      <c r="G28" s="117">
        <f t="shared" si="4"/>
        <v>572.2469969097101</v>
      </c>
      <c r="H28" s="52">
        <f t="shared" si="5"/>
        <v>0.8222302866269717</v>
      </c>
      <c r="I28" s="51">
        <f t="shared" si="6"/>
        <v>4.854023378440102</v>
      </c>
      <c r="J28" s="51">
        <f t="shared" si="7"/>
        <v>0.3690330094482237</v>
      </c>
      <c r="K28" s="51">
        <f t="shared" si="8"/>
        <v>0.0720225843197489</v>
      </c>
      <c r="L28" s="51">
        <f t="shared" si="9"/>
        <v>0.644674505020001</v>
      </c>
      <c r="M28" s="51">
        <f t="shared" si="24"/>
        <v>0.0005871590446336838</v>
      </c>
      <c r="N28" s="51">
        <f t="shared" si="25"/>
        <v>0.06407324844810947</v>
      </c>
      <c r="O28" s="51">
        <f t="shared" si="10"/>
        <v>0.022594603690404336</v>
      </c>
      <c r="P28" s="51">
        <f t="shared" si="11"/>
        <v>0</v>
      </c>
      <c r="Q28" s="51">
        <f t="shared" si="12"/>
        <v>0</v>
      </c>
      <c r="R28" s="61">
        <f t="shared" si="13"/>
        <v>0.4272678533619223</v>
      </c>
      <c r="S28" s="54">
        <f t="shared" si="14"/>
        <v>5.5</v>
      </c>
      <c r="T28" s="55">
        <f t="shared" si="15"/>
        <v>6.834863875587511</v>
      </c>
      <c r="U28" s="51">
        <f t="shared" si="16"/>
        <v>7.354023378440102</v>
      </c>
      <c r="V28" s="51">
        <f t="shared" si="17"/>
        <v>1.9808404971474092</v>
      </c>
      <c r="W28" s="56">
        <f t="shared" si="18"/>
        <v>-1.3348638755875113</v>
      </c>
      <c r="X28" s="105">
        <f t="shared" si="19"/>
        <v>-18.781291231802026</v>
      </c>
      <c r="Y28" s="26">
        <f t="shared" si="28"/>
        <v>-0.3629463914554343</v>
      </c>
      <c r="Z28" s="24">
        <f t="shared" si="20"/>
        <v>1.0993211590790997</v>
      </c>
      <c r="AA28" s="24">
        <f t="shared" si="21"/>
        <v>1.0993211590790997</v>
      </c>
      <c r="AB28" s="184">
        <f t="shared" si="22"/>
        <v>0.7499808702681381</v>
      </c>
      <c r="AC28" s="155">
        <f t="shared" si="26"/>
        <v>10</v>
      </c>
      <c r="AD28" s="157">
        <f t="shared" si="29"/>
        <v>7.9</v>
      </c>
      <c r="AE28" s="156">
        <f t="shared" si="30"/>
        <v>0</v>
      </c>
    </row>
    <row r="29" spans="1:31" s="27" customFormat="1" ht="15" customHeight="1">
      <c r="A29" s="137">
        <f t="shared" si="27"/>
        <v>12</v>
      </c>
      <c r="B29" s="51">
        <f t="shared" si="0"/>
        <v>18.778680555555553</v>
      </c>
      <c r="C29" s="147">
        <f t="shared" si="1"/>
        <v>0.026039999999999997</v>
      </c>
      <c r="D29" s="168">
        <f t="shared" si="2"/>
        <v>2074.602406812537</v>
      </c>
      <c r="E29" s="168">
        <f t="shared" si="3"/>
        <v>83333.33333333333</v>
      </c>
      <c r="F29" s="117">
        <f t="shared" si="23"/>
        <v>457.5340289371871</v>
      </c>
      <c r="G29" s="117">
        <f t="shared" si="4"/>
        <v>576.0532854133329</v>
      </c>
      <c r="H29" s="52">
        <f t="shared" si="5"/>
        <v>0.8478359520058593</v>
      </c>
      <c r="I29" s="51">
        <f t="shared" si="6"/>
        <v>5.06506787315489</v>
      </c>
      <c r="J29" s="51">
        <f t="shared" si="7"/>
        <v>0.38507792290249426</v>
      </c>
      <c r="K29" s="51">
        <f t="shared" si="8"/>
        <v>0.07795973810625295</v>
      </c>
      <c r="L29" s="51">
        <f t="shared" si="9"/>
        <v>0.7775050759285971</v>
      </c>
      <c r="M29" s="51">
        <f t="shared" si="24"/>
        <v>0.0005832793745094456</v>
      </c>
      <c r="N29" s="51">
        <f t="shared" si="25"/>
        <v>0.06364361715752219</v>
      </c>
      <c r="O29" s="51">
        <f t="shared" si="10"/>
        <v>0.027986414140671503</v>
      </c>
      <c r="P29" s="51">
        <f t="shared" si="11"/>
        <v>0</v>
      </c>
      <c r="Q29" s="51">
        <f t="shared" si="12"/>
        <v>0</v>
      </c>
      <c r="R29" s="61">
        <f t="shared" si="13"/>
        <v>0.4272678533619223</v>
      </c>
      <c r="S29" s="54">
        <f t="shared" si="14"/>
        <v>5.5</v>
      </c>
      <c r="T29" s="55">
        <f t="shared" si="15"/>
        <v>7.209306785749462</v>
      </c>
      <c r="U29" s="51">
        <f t="shared" si="16"/>
        <v>7.56506787315489</v>
      </c>
      <c r="V29" s="51">
        <f t="shared" si="17"/>
        <v>2.144238912594572</v>
      </c>
      <c r="W29" s="56">
        <f t="shared" si="18"/>
        <v>-1.7093067857494617</v>
      </c>
      <c r="X29" s="105">
        <f t="shared" si="19"/>
        <v>-18.99233572651681</v>
      </c>
      <c r="Y29" s="26">
        <f t="shared" si="28"/>
        <v>-0.38838025017267697</v>
      </c>
      <c r="Z29" s="24">
        <f t="shared" si="20"/>
        <v>1.0993211590790997</v>
      </c>
      <c r="AA29" s="24">
        <f t="shared" si="21"/>
        <v>1.0993211590790997</v>
      </c>
      <c r="AB29" s="184">
        <f t="shared" si="22"/>
        <v>0.745572051100013</v>
      </c>
      <c r="AC29" s="155">
        <f t="shared" si="26"/>
        <v>10</v>
      </c>
      <c r="AD29" s="157">
        <f t="shared" si="29"/>
        <v>7.9</v>
      </c>
      <c r="AE29" s="156">
        <f t="shared" si="30"/>
        <v>0</v>
      </c>
    </row>
    <row r="30" spans="1:31" s="21" customFormat="1" ht="15" customHeight="1">
      <c r="A30" s="136">
        <f t="shared" si="27"/>
        <v>12.5</v>
      </c>
      <c r="B30" s="103">
        <f t="shared" si="0"/>
        <v>18.778680555555553</v>
      </c>
      <c r="C30" s="146">
        <f t="shared" si="1"/>
        <v>0.026039999999999997</v>
      </c>
      <c r="D30" s="167">
        <f t="shared" si="2"/>
        <v>1991.618310540036</v>
      </c>
      <c r="E30" s="167">
        <f t="shared" si="3"/>
        <v>80000</v>
      </c>
      <c r="F30" s="116">
        <f t="shared" si="23"/>
        <v>462.4869075747956</v>
      </c>
      <c r="G30" s="116">
        <f t="shared" si="4"/>
        <v>579.9949479763575</v>
      </c>
      <c r="H30" s="106">
        <f t="shared" si="5"/>
        <v>0.8747232332445966</v>
      </c>
      <c r="I30" s="103">
        <f t="shared" si="6"/>
        <v>5.276112367869676</v>
      </c>
      <c r="J30" s="103">
        <f t="shared" si="7"/>
        <v>0.4011228363567648</v>
      </c>
      <c r="K30" s="103">
        <f t="shared" si="8"/>
        <v>0.08407352275819684</v>
      </c>
      <c r="L30" s="103">
        <f t="shared" si="9"/>
        <v>0.9355020029229679</v>
      </c>
      <c r="M30" s="103">
        <f t="shared" si="24"/>
        <v>0.0005793153908880194</v>
      </c>
      <c r="N30" s="103">
        <f t="shared" si="25"/>
        <v>0.06320473684074272</v>
      </c>
      <c r="O30" s="103">
        <f t="shared" si="10"/>
        <v>0.03481418169295965</v>
      </c>
      <c r="P30" s="103">
        <f t="shared" si="11"/>
        <v>0</v>
      </c>
      <c r="Q30" s="103">
        <f t="shared" si="12"/>
        <v>0</v>
      </c>
      <c r="R30" s="107">
        <f t="shared" si="13"/>
        <v>0.4272678533619223</v>
      </c>
      <c r="S30" s="108">
        <f t="shared" si="14"/>
        <v>5.5</v>
      </c>
      <c r="T30" s="104">
        <f t="shared" si="15"/>
        <v>7.611624375932865</v>
      </c>
      <c r="U30" s="103">
        <f t="shared" si="16"/>
        <v>7.776112367869676</v>
      </c>
      <c r="V30" s="103">
        <f t="shared" si="17"/>
        <v>2.335512008063189</v>
      </c>
      <c r="W30" s="109">
        <f t="shared" si="18"/>
        <v>-2.1116243759328652</v>
      </c>
      <c r="X30" s="110">
        <f t="shared" si="19"/>
        <v>-19.203380221231598</v>
      </c>
      <c r="Y30" s="28">
        <f t="shared" si="28"/>
        <v>-0.4196125056958184</v>
      </c>
      <c r="Z30" s="19">
        <f t="shared" si="20"/>
        <v>1.0993211590790997</v>
      </c>
      <c r="AA30" s="19">
        <f t="shared" si="21"/>
        <v>1.0993211590790997</v>
      </c>
      <c r="AB30" s="183">
        <f t="shared" si="22"/>
        <v>0.7409704546685596</v>
      </c>
      <c r="AC30" s="155">
        <f t="shared" si="26"/>
        <v>10</v>
      </c>
      <c r="AD30" s="157">
        <f t="shared" si="29"/>
        <v>7.9</v>
      </c>
      <c r="AE30" s="156">
        <f t="shared" si="30"/>
        <v>0</v>
      </c>
    </row>
    <row r="31" spans="1:31" s="27" customFormat="1" ht="15" customHeight="1">
      <c r="A31" s="137">
        <f t="shared" si="27"/>
        <v>13</v>
      </c>
      <c r="B31" s="51">
        <f t="shared" si="0"/>
        <v>18.778680555555553</v>
      </c>
      <c r="C31" s="147">
        <f t="shared" si="1"/>
        <v>0.026039999999999997</v>
      </c>
      <c r="D31" s="168">
        <f t="shared" si="2"/>
        <v>1915.017606288496</v>
      </c>
      <c r="E31" s="168">
        <f t="shared" si="3"/>
        <v>76923.07692307692</v>
      </c>
      <c r="F31" s="117">
        <f t="shared" si="23"/>
        <v>467.5862290529848</v>
      </c>
      <c r="G31" s="117">
        <f t="shared" si="4"/>
        <v>584.0692438401378</v>
      </c>
      <c r="H31" s="52">
        <f t="shared" si="5"/>
        <v>0.9029074935990687</v>
      </c>
      <c r="I31" s="51">
        <f t="shared" si="6"/>
        <v>5.487156862584463</v>
      </c>
      <c r="J31" s="51">
        <f t="shared" si="7"/>
        <v>0.4171677498110354</v>
      </c>
      <c r="K31" s="51">
        <f t="shared" si="8"/>
        <v>0.0903554695129778</v>
      </c>
      <c r="L31" s="51">
        <f t="shared" si="9"/>
        <v>1.1247949964667923</v>
      </c>
      <c r="M31" s="51">
        <f t="shared" si="24"/>
        <v>0.0005752742565091556</v>
      </c>
      <c r="N31" s="51">
        <f t="shared" si="25"/>
        <v>0.06275740591533145</v>
      </c>
      <c r="O31" s="51">
        <f t="shared" si="10"/>
        <v>0.04364718521352125</v>
      </c>
      <c r="P31" s="51">
        <f t="shared" si="11"/>
        <v>0</v>
      </c>
      <c r="Q31" s="51">
        <f t="shared" si="12"/>
        <v>0</v>
      </c>
      <c r="R31" s="61">
        <f t="shared" si="13"/>
        <v>0.4272678533619223</v>
      </c>
      <c r="S31" s="54">
        <f t="shared" si="14"/>
        <v>5.5</v>
      </c>
      <c r="T31" s="55">
        <f t="shared" si="15"/>
        <v>8.048531797141099</v>
      </c>
      <c r="U31" s="51">
        <f t="shared" si="16"/>
        <v>7.987156862584463</v>
      </c>
      <c r="V31" s="51">
        <f t="shared" si="17"/>
        <v>2.5613749345566355</v>
      </c>
      <c r="W31" s="56">
        <f t="shared" si="18"/>
        <v>-2.5485317971410986</v>
      </c>
      <c r="X31" s="105">
        <f t="shared" si="19"/>
        <v>-19.414424715946385</v>
      </c>
      <c r="Y31" s="26">
        <f t="shared" si="28"/>
        <v>-0.4590267595778674</v>
      </c>
      <c r="Z31" s="24">
        <f t="shared" si="20"/>
        <v>1.0993211590790997</v>
      </c>
      <c r="AA31" s="24">
        <f t="shared" si="21"/>
        <v>1.0993211590790997</v>
      </c>
      <c r="AB31" s="184">
        <f t="shared" si="22"/>
        <v>0.736177373637636</v>
      </c>
      <c r="AC31" s="155">
        <f t="shared" si="26"/>
        <v>10</v>
      </c>
      <c r="AD31" s="157">
        <f t="shared" si="29"/>
        <v>7.9</v>
      </c>
      <c r="AE31" s="156">
        <f t="shared" si="30"/>
        <v>0</v>
      </c>
    </row>
    <row r="32" spans="1:31" s="27" customFormat="1" ht="15" customHeight="1">
      <c r="A32" s="137">
        <f t="shared" si="27"/>
        <v>13.5</v>
      </c>
      <c r="B32" s="51">
        <f t="shared" si="0"/>
        <v>18.778680555555553</v>
      </c>
      <c r="C32" s="147">
        <f t="shared" si="1"/>
        <v>0.026039999999999997</v>
      </c>
      <c r="D32" s="168">
        <f t="shared" si="2"/>
        <v>1844.091028277811</v>
      </c>
      <c r="E32" s="168">
        <f t="shared" si="3"/>
        <v>74074.07407407407</v>
      </c>
      <c r="F32" s="117">
        <f t="shared" si="23"/>
        <v>472.82725534932206</v>
      </c>
      <c r="G32" s="117">
        <f t="shared" si="4"/>
        <v>588.2734172144557</v>
      </c>
      <c r="H32" s="52">
        <f t="shared" si="5"/>
        <v>0.9324033554580708</v>
      </c>
      <c r="I32" s="51">
        <f t="shared" si="6"/>
        <v>5.698201357299251</v>
      </c>
      <c r="J32" s="51">
        <f t="shared" si="7"/>
        <v>0.43321266326530605</v>
      </c>
      <c r="K32" s="51">
        <f t="shared" si="8"/>
        <v>0.09679695989787516</v>
      </c>
      <c r="L32" s="51">
        <f t="shared" si="9"/>
        <v>1.3540918977927097</v>
      </c>
      <c r="M32" s="51">
        <f t="shared" si="24"/>
        <v>0.0005711629833470971</v>
      </c>
      <c r="N32" s="51">
        <f t="shared" si="25"/>
        <v>0.0623024055647681</v>
      </c>
      <c r="O32" s="51">
        <f t="shared" si="10"/>
        <v>0.055411025611878245</v>
      </c>
      <c r="P32" s="51">
        <f t="shared" si="11"/>
        <v>0</v>
      </c>
      <c r="Q32" s="51">
        <f t="shared" si="12"/>
        <v>0</v>
      </c>
      <c r="R32" s="61">
        <f t="shared" si="13"/>
        <v>0.4272678533619223</v>
      </c>
      <c r="S32" s="54">
        <f t="shared" si="14"/>
        <v>5.5</v>
      </c>
      <c r="T32" s="55">
        <f t="shared" si="15"/>
        <v>8.5296778950886</v>
      </c>
      <c r="U32" s="51">
        <f t="shared" si="16"/>
        <v>8.19820135729925</v>
      </c>
      <c r="V32" s="51">
        <f t="shared" si="17"/>
        <v>2.8314765377893494</v>
      </c>
      <c r="W32" s="56">
        <f t="shared" si="18"/>
        <v>-3.0296778950886</v>
      </c>
      <c r="X32" s="105">
        <f t="shared" si="19"/>
        <v>-19.625469210661173</v>
      </c>
      <c r="Y32" s="26">
        <f t="shared" si="28"/>
        <v>-0.5105896712920668</v>
      </c>
      <c r="Z32" s="24">
        <f t="shared" si="20"/>
        <v>1.0993211590790997</v>
      </c>
      <c r="AA32" s="24">
        <f t="shared" si="21"/>
        <v>1.0993211590790997</v>
      </c>
      <c r="AB32" s="184">
        <f t="shared" si="22"/>
        <v>0.731194437901199</v>
      </c>
      <c r="AC32" s="155">
        <f t="shared" si="26"/>
        <v>10</v>
      </c>
      <c r="AD32" s="157">
        <f t="shared" si="29"/>
        <v>7.9</v>
      </c>
      <c r="AE32" s="156">
        <f t="shared" si="30"/>
        <v>0</v>
      </c>
    </row>
    <row r="33" spans="1:31" s="27" customFormat="1" ht="15" customHeight="1">
      <c r="A33" s="137">
        <f t="shared" si="27"/>
        <v>14</v>
      </c>
      <c r="B33" s="51">
        <f t="shared" si="0"/>
        <v>18.778680555555553</v>
      </c>
      <c r="C33" s="147">
        <f t="shared" si="1"/>
        <v>0.026039999999999997</v>
      </c>
      <c r="D33" s="168">
        <f t="shared" si="2"/>
        <v>1778.2306344107462</v>
      </c>
      <c r="E33" s="168">
        <f t="shared" si="3"/>
        <v>71428.57142857143</v>
      </c>
      <c r="F33" s="117">
        <f t="shared" si="23"/>
        <v>478.20532732461857</v>
      </c>
      <c r="G33" s="117">
        <f t="shared" si="4"/>
        <v>592.6047038976703</v>
      </c>
      <c r="H33" s="52">
        <f t="shared" si="5"/>
        <v>0.9632246309641924</v>
      </c>
      <c r="I33" s="51">
        <f t="shared" si="6"/>
        <v>5.909245852014037</v>
      </c>
      <c r="J33" s="51">
        <f t="shared" si="7"/>
        <v>0.4492575767195766</v>
      </c>
      <c r="K33" s="51">
        <f t="shared" si="8"/>
        <v>0.10338924530953757</v>
      </c>
      <c r="L33" s="51">
        <f t="shared" si="9"/>
        <v>1.6364136098396322</v>
      </c>
      <c r="M33" s="51">
        <f t="shared" si="24"/>
        <v>0.000566988411988744</v>
      </c>
      <c r="N33" s="51">
        <f t="shared" si="25"/>
        <v>0.06184049744542081</v>
      </c>
      <c r="O33" s="51">
        <f t="shared" si="10"/>
        <v>0.07171869610002751</v>
      </c>
      <c r="P33" s="51">
        <f t="shared" si="11"/>
        <v>0</v>
      </c>
      <c r="Q33" s="51">
        <f t="shared" si="12"/>
        <v>0</v>
      </c>
      <c r="R33" s="61">
        <f t="shared" si="13"/>
        <v>0.4272678533619223</v>
      </c>
      <c r="S33" s="54">
        <f t="shared" si="14"/>
        <v>5.5</v>
      </c>
      <c r="T33" s="55">
        <f t="shared" si="15"/>
        <v>9.069711139725232</v>
      </c>
      <c r="U33" s="51">
        <f t="shared" si="16"/>
        <v>8.409245852014038</v>
      </c>
      <c r="V33" s="51">
        <f t="shared" si="17"/>
        <v>3.1604652877111947</v>
      </c>
      <c r="W33" s="56">
        <f t="shared" si="18"/>
        <v>-3.569711139725232</v>
      </c>
      <c r="X33" s="105">
        <f t="shared" si="19"/>
        <v>-19.83651370537596</v>
      </c>
      <c r="Y33" s="26">
        <f t="shared" si="28"/>
        <v>-0.5814359471632251</v>
      </c>
      <c r="Z33" s="24">
        <f t="shared" si="20"/>
        <v>1.0993211590790997</v>
      </c>
      <c r="AA33" s="24">
        <f t="shared" si="21"/>
        <v>1.0993211590790997</v>
      </c>
      <c r="AB33" s="184">
        <f t="shared" si="22"/>
        <v>0.7260236226270116</v>
      </c>
      <c r="AC33" s="155">
        <f t="shared" si="26"/>
        <v>10</v>
      </c>
      <c r="AD33" s="157">
        <f t="shared" si="29"/>
        <v>7.9</v>
      </c>
      <c r="AE33" s="156">
        <f t="shared" si="30"/>
        <v>0</v>
      </c>
    </row>
    <row r="34" spans="1:31" s="27" customFormat="1" ht="15" customHeight="1">
      <c r="A34" s="137">
        <f t="shared" si="27"/>
        <v>14.5</v>
      </c>
      <c r="B34" s="51">
        <f t="shared" si="0"/>
        <v>18.778680555555553</v>
      </c>
      <c r="C34" s="147">
        <f t="shared" si="1"/>
        <v>0.026039999999999997</v>
      </c>
      <c r="D34" s="168">
        <f t="shared" si="2"/>
        <v>1716.9123366724448</v>
      </c>
      <c r="E34" s="168">
        <f t="shared" si="3"/>
        <v>68965.5172413793</v>
      </c>
      <c r="F34" s="117">
        <f t="shared" si="23"/>
        <v>483.71587387784587</v>
      </c>
      <c r="G34" s="117">
        <f t="shared" si="4"/>
        <v>597.060337521601</v>
      </c>
      <c r="H34" s="52">
        <f t="shared" si="5"/>
        <v>0.9953842631263679</v>
      </c>
      <c r="I34" s="51">
        <f t="shared" si="6"/>
        <v>6.120290346728825</v>
      </c>
      <c r="J34" s="51">
        <f t="shared" si="7"/>
        <v>0.46530249017384717</v>
      </c>
      <c r="K34" s="51">
        <f t="shared" si="8"/>
        <v>0.11012346666578335</v>
      </c>
      <c r="L34" s="51">
        <f t="shared" si="9"/>
        <v>1.9925802277769713</v>
      </c>
      <c r="M34" s="51">
        <f t="shared" si="24"/>
        <v>0.0005627571936778397</v>
      </c>
      <c r="N34" s="51">
        <f t="shared" si="25"/>
        <v>0.061372421695016575</v>
      </c>
      <c r="O34" s="51">
        <f t="shared" si="10"/>
        <v>0.09565467672594838</v>
      </c>
      <c r="P34" s="51">
        <f t="shared" si="11"/>
        <v>0</v>
      </c>
      <c r="Q34" s="51">
        <f t="shared" si="12"/>
        <v>0</v>
      </c>
      <c r="R34" s="61">
        <f t="shared" si="13"/>
        <v>0.4272678533619223</v>
      </c>
      <c r="S34" s="54">
        <f t="shared" si="14"/>
        <v>5.5</v>
      </c>
      <c r="T34" s="55">
        <f t="shared" si="15"/>
        <v>9.69254978941505</v>
      </c>
      <c r="U34" s="51">
        <f t="shared" si="16"/>
        <v>8.620290346728826</v>
      </c>
      <c r="V34" s="51">
        <f t="shared" si="17"/>
        <v>3.5722594426862253</v>
      </c>
      <c r="W34" s="56">
        <f t="shared" si="18"/>
        <v>-4.19254978941505</v>
      </c>
      <c r="X34" s="105">
        <f t="shared" si="19"/>
        <v>-20.047558200090748</v>
      </c>
      <c r="Y34" s="26">
        <f t="shared" si="28"/>
        <v>-0.6858772160925559</v>
      </c>
      <c r="Z34" s="24">
        <f t="shared" si="20"/>
        <v>1.0993211590790997</v>
      </c>
      <c r="AA34" s="24">
        <f t="shared" si="21"/>
        <v>1.0993211590790997</v>
      </c>
      <c r="AB34" s="184">
        <f t="shared" si="22"/>
        <v>0.7206672531864133</v>
      </c>
      <c r="AC34" s="155">
        <f t="shared" si="26"/>
        <v>10</v>
      </c>
      <c r="AD34" s="157">
        <f t="shared" si="29"/>
        <v>7.9</v>
      </c>
      <c r="AE34" s="156">
        <f t="shared" si="30"/>
        <v>0</v>
      </c>
    </row>
    <row r="35" spans="1:31" s="84" customFormat="1" ht="15" customHeight="1">
      <c r="A35" s="138">
        <f t="shared" si="27"/>
        <v>15</v>
      </c>
      <c r="B35" s="77">
        <f t="shared" si="0"/>
        <v>18.778680555555553</v>
      </c>
      <c r="C35" s="148">
        <f t="shared" si="1"/>
        <v>0.026039999999999997</v>
      </c>
      <c r="D35" s="169">
        <f t="shared" si="2"/>
        <v>1659.68192545003</v>
      </c>
      <c r="E35" s="169">
        <f t="shared" si="3"/>
        <v>66666.66666666667</v>
      </c>
      <c r="F35" s="118">
        <f t="shared" si="23"/>
        <v>489.3544197005484</v>
      </c>
      <c r="G35" s="118">
        <f t="shared" si="4"/>
        <v>601.6375554106147</v>
      </c>
      <c r="H35" s="78">
        <f t="shared" si="5"/>
        <v>1.0288942776887764</v>
      </c>
      <c r="I35" s="77">
        <f t="shared" si="6"/>
        <v>6.331334841443612</v>
      </c>
      <c r="J35" s="77">
        <f t="shared" si="7"/>
        <v>0.48134740362811784</v>
      </c>
      <c r="K35" s="77">
        <f t="shared" si="8"/>
        <v>0.11699067406846975</v>
      </c>
      <c r="L35" s="77">
        <f t="shared" si="9"/>
        <v>2.4591201550734625</v>
      </c>
      <c r="M35" s="77">
        <f t="shared" si="24"/>
        <v>0.0005584757749550419</v>
      </c>
      <c r="N35" s="77">
        <f t="shared" si="25"/>
        <v>0.06089889523430653</v>
      </c>
      <c r="O35" s="77">
        <f t="shared" si="10"/>
        <v>0.1339495491082659</v>
      </c>
      <c r="P35" s="77">
        <f t="shared" si="11"/>
        <v>0</v>
      </c>
      <c r="Q35" s="77">
        <f t="shared" si="12"/>
        <v>0</v>
      </c>
      <c r="R35" s="79">
        <f t="shared" si="13"/>
        <v>0.4272678533619223</v>
      </c>
      <c r="S35" s="80">
        <f t="shared" si="14"/>
        <v>5.5</v>
      </c>
      <c r="T35" s="81">
        <f t="shared" si="15"/>
        <v>10.441465571910344</v>
      </c>
      <c r="U35" s="77">
        <f t="shared" si="16"/>
        <v>8.831334841443612</v>
      </c>
      <c r="V35" s="77">
        <f t="shared" si="17"/>
        <v>4.110130730466732</v>
      </c>
      <c r="W35" s="82">
        <f t="shared" si="18"/>
        <v>-4.941465571910344</v>
      </c>
      <c r="X35" s="111">
        <f t="shared" si="19"/>
        <v>-20.258602694805536</v>
      </c>
      <c r="Y35" s="83"/>
      <c r="Z35" s="77">
        <f t="shared" si="20"/>
        <v>1.0993211590790997</v>
      </c>
      <c r="AA35" s="77">
        <f t="shared" si="21"/>
        <v>1.0993211590790997</v>
      </c>
      <c r="AB35" s="185">
        <f t="shared" si="22"/>
        <v>0.7151280069635401</v>
      </c>
      <c r="AC35" s="164">
        <f t="shared" si="26"/>
        <v>10</v>
      </c>
      <c r="AD35" s="158">
        <f>ROUNDUP(E9,0)-0.1</f>
        <v>7.9</v>
      </c>
      <c r="AE35" s="171">
        <f t="shared" si="30"/>
        <v>0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7"/>
      <c r="S36" s="6"/>
      <c r="T36" s="13"/>
      <c r="V36" s="13"/>
      <c r="W36" s="13"/>
      <c r="X36" s="14"/>
      <c r="AE36" s="172">
        <f>SUM(AE15:AE35)</f>
        <v>-0.3356016297422961</v>
      </c>
    </row>
    <row r="37" spans="1:25" s="27" customFormat="1" ht="15" customHeight="1">
      <c r="A37" s="85" t="s">
        <v>69</v>
      </c>
      <c r="B37" s="23"/>
      <c r="C37" s="23"/>
      <c r="D37" s="22"/>
      <c r="E37" s="23"/>
      <c r="F37" s="23"/>
      <c r="G37" s="29"/>
      <c r="X37" s="32"/>
      <c r="Y37" s="32"/>
    </row>
    <row r="38" spans="1:25" s="27" customFormat="1" ht="15" customHeight="1">
      <c r="A38" s="30" t="s">
        <v>128</v>
      </c>
      <c r="B38" s="23"/>
      <c r="C38" s="23"/>
      <c r="D38" s="22"/>
      <c r="E38" s="23"/>
      <c r="F38" s="23"/>
      <c r="G38" s="29"/>
      <c r="K38" s="24"/>
      <c r="L38" s="23"/>
      <c r="M38" s="24"/>
      <c r="N38" s="24"/>
      <c r="O38" s="24"/>
      <c r="P38" s="24"/>
      <c r="Q38" s="24"/>
      <c r="R38" s="62"/>
      <c r="S38" s="25"/>
      <c r="T38" s="24"/>
      <c r="U38" s="31"/>
      <c r="V38" s="24"/>
      <c r="X38" s="32"/>
      <c r="Y38" s="32"/>
    </row>
    <row r="39" spans="1:25" s="27" customFormat="1" ht="15" customHeight="1">
      <c r="A39" s="166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23"/>
      <c r="M39" s="24"/>
      <c r="N39" s="24"/>
      <c r="O39" s="24"/>
      <c r="P39" s="24"/>
      <c r="Q39" s="24"/>
      <c r="R39" s="62"/>
      <c r="S39" s="25"/>
      <c r="T39" s="24"/>
      <c r="U39" s="31"/>
      <c r="V39" s="24"/>
      <c r="X39" s="32"/>
      <c r="Y39" s="32"/>
    </row>
    <row r="40" spans="1:25" s="27" customFormat="1" ht="15" customHeight="1">
      <c r="A40" s="30"/>
      <c r="B40" s="23"/>
      <c r="C40" s="23"/>
      <c r="D40" s="22"/>
      <c r="E40" s="23"/>
      <c r="F40" s="23"/>
      <c r="G40" s="29"/>
      <c r="H40" s="24"/>
      <c r="I40" s="24"/>
      <c r="J40" s="24"/>
      <c r="K40" s="24"/>
      <c r="L40" s="23"/>
      <c r="M40" s="24"/>
      <c r="N40" s="24"/>
      <c r="O40" s="24"/>
      <c r="P40" s="24"/>
      <c r="Q40" s="24"/>
      <c r="R40" s="62"/>
      <c r="S40" s="25"/>
      <c r="T40" s="24"/>
      <c r="U40" s="31"/>
      <c r="V40" s="24"/>
      <c r="X40" s="32"/>
      <c r="Y40" s="32"/>
    </row>
    <row r="41" spans="1:25" s="27" customFormat="1" ht="15" customHeight="1">
      <c r="A41" s="25"/>
      <c r="B41" s="23"/>
      <c r="C41" s="23"/>
      <c r="D41" s="22"/>
      <c r="E41" s="23"/>
      <c r="F41" s="23"/>
      <c r="G41" s="29"/>
      <c r="H41" s="24"/>
      <c r="I41" s="24"/>
      <c r="J41" s="24"/>
      <c r="K41" s="24"/>
      <c r="L41" s="23"/>
      <c r="M41" s="24"/>
      <c r="N41" s="24"/>
      <c r="O41" s="24"/>
      <c r="P41" s="24"/>
      <c r="Q41" s="24"/>
      <c r="R41" s="62"/>
      <c r="S41" s="25"/>
      <c r="T41" s="24"/>
      <c r="U41" s="31"/>
      <c r="V41" s="24"/>
      <c r="X41" s="32"/>
      <c r="Y41" s="32"/>
    </row>
    <row r="42" spans="1:25" s="27" customFormat="1" ht="15" customHeight="1">
      <c r="A42" s="25"/>
      <c r="B42" s="23"/>
      <c r="C42" s="23"/>
      <c r="D42" s="22"/>
      <c r="E42" s="23"/>
      <c r="F42" s="23"/>
      <c r="G42" s="29"/>
      <c r="H42" s="24"/>
      <c r="I42" s="24"/>
      <c r="J42" s="24"/>
      <c r="K42" s="24"/>
      <c r="L42" s="23"/>
      <c r="M42" s="24"/>
      <c r="N42" s="24"/>
      <c r="O42" s="24"/>
      <c r="P42" s="24"/>
      <c r="Q42" s="24"/>
      <c r="R42" s="62"/>
      <c r="S42" s="25"/>
      <c r="T42" s="24"/>
      <c r="U42" s="31"/>
      <c r="V42" s="24"/>
      <c r="X42" s="32"/>
      <c r="Y42" s="32"/>
    </row>
    <row r="43" spans="1:25" s="27" customFormat="1" ht="15" customHeight="1">
      <c r="A43" s="29"/>
      <c r="D43" s="22"/>
      <c r="E43" s="23"/>
      <c r="F43" s="23"/>
      <c r="G43" s="29"/>
      <c r="H43" s="24"/>
      <c r="I43" s="24"/>
      <c r="J43" s="24"/>
      <c r="K43" s="24"/>
      <c r="L43" s="23"/>
      <c r="M43" s="24"/>
      <c r="N43" s="24"/>
      <c r="O43" s="24"/>
      <c r="P43" s="24"/>
      <c r="Q43" s="24"/>
      <c r="R43" s="62"/>
      <c r="S43" s="25"/>
      <c r="T43" s="24"/>
      <c r="U43" s="31"/>
      <c r="V43" s="24"/>
      <c r="X43" s="32"/>
      <c r="Y43" s="32"/>
    </row>
    <row r="44" spans="1:25" s="27" customFormat="1" ht="15" customHeight="1">
      <c r="A44" s="29"/>
      <c r="B44" s="23"/>
      <c r="D44" s="22"/>
      <c r="E44" s="23"/>
      <c r="F44" s="23"/>
      <c r="G44" s="29"/>
      <c r="H44" s="24"/>
      <c r="I44" s="24"/>
      <c r="J44" s="24"/>
      <c r="K44" s="24"/>
      <c r="L44" s="23"/>
      <c r="M44" s="24"/>
      <c r="N44" s="24"/>
      <c r="O44" s="24"/>
      <c r="P44" s="24"/>
      <c r="Q44" s="24"/>
      <c r="R44" s="62"/>
      <c r="S44" s="25"/>
      <c r="T44" s="24"/>
      <c r="U44" s="31"/>
      <c r="V44" s="24"/>
      <c r="X44" s="32"/>
      <c r="Y44" s="32"/>
    </row>
    <row r="45" spans="1:25" s="27" customFormat="1" ht="15" customHeight="1">
      <c r="A45" s="29"/>
      <c r="B45" s="23"/>
      <c r="D45" s="22"/>
      <c r="E45" s="23"/>
      <c r="F45" s="23"/>
      <c r="G45" s="29"/>
      <c r="H45" s="24"/>
      <c r="I45" s="24"/>
      <c r="J45" s="24"/>
      <c r="K45" s="24"/>
      <c r="L45" s="23"/>
      <c r="M45" s="24"/>
      <c r="N45" s="24"/>
      <c r="O45" s="24"/>
      <c r="P45" s="24"/>
      <c r="Q45" s="24"/>
      <c r="R45" s="62"/>
      <c r="S45" s="25"/>
      <c r="T45" s="24"/>
      <c r="U45" s="31"/>
      <c r="V45" s="24"/>
      <c r="X45" s="32"/>
      <c r="Y45" s="32"/>
    </row>
    <row r="46" spans="1:22" ht="15" customHeight="1">
      <c r="A46" s="29"/>
      <c r="B46" s="23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7"/>
      <c r="S46" s="6"/>
      <c r="T46" s="4"/>
      <c r="V46" s="4"/>
    </row>
    <row r="47" spans="1:22" ht="15" customHeight="1">
      <c r="A47" s="2"/>
      <c r="B47" s="23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7"/>
      <c r="S47" s="6"/>
      <c r="T47" s="4"/>
      <c r="V47" s="4"/>
    </row>
    <row r="48" spans="1:22" ht="15" customHeight="1">
      <c r="A48" s="2"/>
      <c r="B48" s="23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3"/>
      <c r="S48" s="6"/>
      <c r="T48" s="4"/>
      <c r="V48" s="4"/>
    </row>
    <row r="49" spans="1:22" ht="15" customHeight="1">
      <c r="A49" s="25"/>
      <c r="B49" s="23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7"/>
      <c r="S49" s="6"/>
      <c r="T49" s="4"/>
      <c r="V49" s="4"/>
    </row>
    <row r="50" spans="1:16" ht="15" customHeight="1">
      <c r="A50" s="15"/>
      <c r="B50" s="16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5"/>
      <c r="B51" s="16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29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O1:P1"/>
  </mergeCells>
  <printOptions horizontalCentered="1"/>
  <pageMargins left="0.5" right="0.5" top="0.5" bottom="0.5" header="0.3" footer="0.3"/>
  <pageSetup fitToHeight="1" fitToWidth="1" horizontalDpi="600" verticalDpi="600" orientation="landscape" scale="67" r:id="rId2"/>
  <headerFooter alignWithMargins="0">
    <oddHeader xml:space="preserve">&amp;CBy Agilent Technologies&amp;R </oddHeader>
    <oddFooter>&amp;L&amp;F tab &amp;A page &amp;P of &amp;N&amp;RPrinted &amp;T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Nowell</dc:creator>
  <cp:keywords/>
  <dc:description/>
  <cp:lastModifiedBy>Piers Dawe</cp:lastModifiedBy>
  <cp:lastPrinted>2000-02-26T19:34:19Z</cp:lastPrinted>
  <dcterms:created xsi:type="dcterms:W3CDTF">1998-03-24T12:14:29Z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