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filterPrivacy="1"/>
  <bookViews>
    <workbookView xWindow="0" yWindow="0" windowWidth="22260" windowHeight="12645" activeTab="1"/>
  </bookViews>
  <sheets>
    <sheet name="PSE" sheetId="1" r:id="rId1"/>
    <sheet name="PD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8" i="1" l="1"/>
  <c r="AD17" i="1"/>
  <c r="AD16" i="1"/>
  <c r="AD15" i="1"/>
  <c r="AD9" i="1"/>
  <c r="AD10" i="1"/>
  <c r="AD11" i="1"/>
  <c r="AD8" i="1"/>
  <c r="AB18" i="1"/>
  <c r="AB17" i="1"/>
  <c r="AB16" i="1"/>
  <c r="AB15" i="1"/>
  <c r="AB9" i="1"/>
  <c r="AB10" i="1"/>
  <c r="AB11" i="1"/>
  <c r="AB8" i="1"/>
  <c r="W18" i="2"/>
  <c r="W17" i="2"/>
  <c r="W15" i="2"/>
  <c r="W14" i="2"/>
  <c r="W12" i="2"/>
  <c r="W11" i="2"/>
  <c r="W9" i="2"/>
  <c r="W8" i="2"/>
  <c r="F18" i="2" l="1"/>
  <c r="B18" i="2"/>
  <c r="G18" i="2" s="1"/>
  <c r="F15" i="2"/>
  <c r="F14" i="2"/>
  <c r="F12" i="2"/>
  <c r="F11" i="2"/>
  <c r="B15" i="2"/>
  <c r="G15" i="2" s="1"/>
  <c r="F17" i="2"/>
  <c r="B12" i="2"/>
  <c r="F9" i="2"/>
  <c r="B9" i="2"/>
  <c r="C9" i="2" s="1"/>
  <c r="F8" i="2"/>
  <c r="C15" i="2" l="1"/>
  <c r="D15" i="2" s="1"/>
  <c r="G12" i="2"/>
  <c r="C18" i="2"/>
  <c r="C12" i="2"/>
  <c r="D12" i="2" s="1"/>
  <c r="H9" i="2"/>
  <c r="D9" i="2"/>
  <c r="G9" i="2"/>
  <c r="B17" i="2"/>
  <c r="B14" i="2"/>
  <c r="B11" i="2"/>
  <c r="B8" i="2"/>
  <c r="D3" i="2"/>
  <c r="F2" i="2" s="1"/>
  <c r="F1" i="2"/>
  <c r="I9" i="2" l="1"/>
  <c r="L9" i="2" s="1"/>
  <c r="O9" i="2" s="1"/>
  <c r="H18" i="2"/>
  <c r="D18" i="2"/>
  <c r="C17" i="2"/>
  <c r="D17" i="2" s="1"/>
  <c r="G17" i="2"/>
  <c r="C14" i="2"/>
  <c r="D14" i="2" s="1"/>
  <c r="G14" i="2"/>
  <c r="H15" i="2"/>
  <c r="C11" i="2"/>
  <c r="D11" i="2" s="1"/>
  <c r="G11" i="2"/>
  <c r="H12" i="2"/>
  <c r="P12" i="2" s="1"/>
  <c r="P9" i="2"/>
  <c r="C8" i="2"/>
  <c r="H8" i="2" s="1"/>
  <c r="G8" i="2"/>
  <c r="F3" i="2"/>
  <c r="Q9" i="2" l="1"/>
  <c r="H14" i="2"/>
  <c r="P14" i="2" s="1"/>
  <c r="M9" i="2"/>
  <c r="I12" i="2"/>
  <c r="L12" i="2" s="1"/>
  <c r="Q12" i="2" s="1"/>
  <c r="U12" i="2" s="1"/>
  <c r="H11" i="2"/>
  <c r="P11" i="2" s="1"/>
  <c r="H17" i="2"/>
  <c r="I17" i="2" s="1"/>
  <c r="P15" i="2"/>
  <c r="I15" i="2"/>
  <c r="L15" i="2" s="1"/>
  <c r="P18" i="2"/>
  <c r="I18" i="2"/>
  <c r="T9" i="2"/>
  <c r="I8" i="2"/>
  <c r="L8" i="2" s="1"/>
  <c r="M8" i="2" s="1"/>
  <c r="D8" i="2"/>
  <c r="P8" i="2"/>
  <c r="L46" i="1"/>
  <c r="L47" i="1"/>
  <c r="L48" i="1"/>
  <c r="L49" i="1"/>
  <c r="D57" i="1" s="1"/>
  <c r="L41" i="1"/>
  <c r="D54" i="1" s="1"/>
  <c r="L42" i="1"/>
  <c r="D55" i="1" s="1"/>
  <c r="L43" i="1"/>
  <c r="D56" i="1" s="1"/>
  <c r="L44" i="1"/>
  <c r="K47" i="1"/>
  <c r="K48" i="1"/>
  <c r="K49" i="1"/>
  <c r="K46" i="1"/>
  <c r="K42" i="1"/>
  <c r="K43" i="1"/>
  <c r="K44" i="1"/>
  <c r="K41" i="1"/>
  <c r="L38" i="1"/>
  <c r="F37" i="1"/>
  <c r="G47" i="1"/>
  <c r="H48" i="1"/>
  <c r="H49" i="1"/>
  <c r="G46" i="1"/>
  <c r="G42" i="1"/>
  <c r="H43" i="1"/>
  <c r="H44" i="1"/>
  <c r="G41" i="1"/>
  <c r="H38" i="1"/>
  <c r="I38" i="1"/>
  <c r="G38" i="1"/>
  <c r="C46" i="1"/>
  <c r="D46" i="1"/>
  <c r="C47" i="1"/>
  <c r="D47" i="1"/>
  <c r="C48" i="1"/>
  <c r="D48" i="1"/>
  <c r="C49" i="1"/>
  <c r="D49" i="1"/>
  <c r="C42" i="1"/>
  <c r="B55" i="1" s="1"/>
  <c r="D42" i="1"/>
  <c r="C43" i="1"/>
  <c r="B56" i="1" s="1"/>
  <c r="D43" i="1"/>
  <c r="C44" i="1"/>
  <c r="B57" i="1" s="1"/>
  <c r="D44" i="1"/>
  <c r="C41" i="1"/>
  <c r="B54" i="1" s="1"/>
  <c r="D41" i="1"/>
  <c r="C38" i="1"/>
  <c r="D38" i="1"/>
  <c r="B38" i="1"/>
  <c r="A41" i="1"/>
  <c r="A54" i="1" s="1"/>
  <c r="A42" i="1"/>
  <c r="A55" i="1" s="1"/>
  <c r="A43" i="1"/>
  <c r="A56" i="1" s="1"/>
  <c r="A44" i="1"/>
  <c r="A57" i="1" s="1"/>
  <c r="A46" i="1"/>
  <c r="A47" i="1"/>
  <c r="A48" i="1"/>
  <c r="A49" i="1"/>
  <c r="A38" i="1"/>
  <c r="A53" i="1" s="1"/>
  <c r="I49" i="1"/>
  <c r="G48" i="1"/>
  <c r="H46" i="1"/>
  <c r="H42" i="1"/>
  <c r="H41" i="1"/>
  <c r="AE18" i="1"/>
  <c r="AE17" i="1"/>
  <c r="AE16" i="1"/>
  <c r="AE15" i="1"/>
  <c r="AE9" i="1"/>
  <c r="AE10" i="1"/>
  <c r="AE11" i="1"/>
  <c r="AE8" i="1"/>
  <c r="I14" i="2" l="1"/>
  <c r="L14" i="2" s="1"/>
  <c r="O14" i="2" s="1"/>
  <c r="U9" i="2"/>
  <c r="Y9" i="2" s="1"/>
  <c r="O12" i="2"/>
  <c r="I11" i="2"/>
  <c r="L11" i="2" s="1"/>
  <c r="M11" i="2" s="1"/>
  <c r="P17" i="2"/>
  <c r="L17" i="2"/>
  <c r="O17" i="2" s="1"/>
  <c r="M15" i="2"/>
  <c r="Q15" i="2"/>
  <c r="U15" i="2" s="1"/>
  <c r="O15" i="2"/>
  <c r="Y12" i="2"/>
  <c r="T12" i="2"/>
  <c r="L18" i="2"/>
  <c r="M18" i="2" s="1"/>
  <c r="O8" i="2"/>
  <c r="Q8" i="2"/>
  <c r="U8" i="2" s="1"/>
  <c r="I48" i="1"/>
  <c r="G43" i="1"/>
  <c r="G49" i="1"/>
  <c r="G44" i="1"/>
  <c r="I47" i="1"/>
  <c r="I44" i="1"/>
  <c r="I43" i="1"/>
  <c r="H47" i="1"/>
  <c r="Q14" i="2" l="1"/>
  <c r="M14" i="2"/>
  <c r="T14" i="2"/>
  <c r="U14" i="2"/>
  <c r="Y14" i="2" s="1"/>
  <c r="Q11" i="2"/>
  <c r="M17" i="2"/>
  <c r="O11" i="2"/>
  <c r="Q17" i="2"/>
  <c r="T11" i="2"/>
  <c r="Q18" i="2"/>
  <c r="U18" i="2" s="1"/>
  <c r="O18" i="2"/>
  <c r="T15" i="2"/>
  <c r="Y15" i="2"/>
  <c r="M12" i="2"/>
  <c r="T8" i="2"/>
  <c r="I46" i="1"/>
  <c r="I41" i="1"/>
  <c r="I42" i="1"/>
  <c r="U11" i="2" l="1"/>
  <c r="Y11" i="2" s="1"/>
  <c r="AA11" i="2" s="1"/>
  <c r="T17" i="2"/>
  <c r="U17" i="2"/>
  <c r="Y17" i="2" s="1"/>
  <c r="Y8" i="2"/>
  <c r="AA8" i="2" s="1"/>
  <c r="AA14" i="2"/>
  <c r="Y18" i="2"/>
  <c r="T18" i="2"/>
  <c r="B16" i="1"/>
  <c r="B15" i="1"/>
  <c r="L18" i="1"/>
  <c r="R18" i="1" s="1"/>
  <c r="L17" i="1"/>
  <c r="R17" i="1" s="1"/>
  <c r="L16" i="1"/>
  <c r="R16" i="1" s="1"/>
  <c r="L15" i="1"/>
  <c r="R15" i="1" s="1"/>
  <c r="L9" i="1"/>
  <c r="R9" i="1" s="1"/>
  <c r="L10" i="1"/>
  <c r="R10" i="1" s="1"/>
  <c r="L11" i="1"/>
  <c r="R11" i="1" s="1"/>
  <c r="L8" i="1"/>
  <c r="R8" i="1" s="1"/>
  <c r="F1" i="1"/>
  <c r="D3" i="1"/>
  <c r="F2" i="1" s="1"/>
  <c r="M18" i="1"/>
  <c r="M17" i="1"/>
  <c r="M16" i="1"/>
  <c r="M15" i="1"/>
  <c r="M9" i="1"/>
  <c r="M10" i="1"/>
  <c r="M11" i="1"/>
  <c r="M8" i="1"/>
  <c r="AA17" i="2" l="1"/>
  <c r="V17" i="1"/>
  <c r="V18" i="1"/>
  <c r="V16" i="1"/>
  <c r="T10" i="1"/>
  <c r="V10" i="1"/>
  <c r="T9" i="1"/>
  <c r="V9" i="1"/>
  <c r="V11" i="1"/>
  <c r="T11" i="1"/>
  <c r="V15" i="1"/>
  <c r="T15" i="1"/>
  <c r="T16" i="1"/>
  <c r="T17" i="1"/>
  <c r="T18" i="1"/>
  <c r="V8" i="1"/>
  <c r="T8" i="1"/>
  <c r="F3" i="1"/>
  <c r="H18" i="1"/>
  <c r="H17" i="1"/>
  <c r="H16" i="1"/>
  <c r="H15" i="1"/>
  <c r="H9" i="1"/>
  <c r="H10" i="1"/>
  <c r="H11" i="1"/>
  <c r="H8" i="1"/>
  <c r="C18" i="1"/>
  <c r="C17" i="1"/>
  <c r="C16" i="1"/>
  <c r="C15" i="1"/>
  <c r="C11" i="1"/>
  <c r="C10" i="1"/>
  <c r="C9" i="1"/>
  <c r="C8" i="1"/>
  <c r="J16" i="1" l="1"/>
  <c r="J9" i="1"/>
  <c r="J17" i="1"/>
  <c r="J10" i="1"/>
  <c r="K10" i="1" s="1"/>
  <c r="J8" i="1"/>
  <c r="J18" i="1"/>
  <c r="J11" i="1"/>
  <c r="K11" i="1" s="1"/>
  <c r="J15" i="1"/>
  <c r="K16" i="1"/>
  <c r="K18" i="1"/>
  <c r="K17" i="1"/>
  <c r="K15" i="1"/>
  <c r="I9" i="1"/>
  <c r="W9" i="1" s="1"/>
  <c r="X9" i="1" s="1"/>
  <c r="I10" i="1"/>
  <c r="W10" i="1" s="1"/>
  <c r="X10" i="1" s="1"/>
  <c r="I11" i="1"/>
  <c r="W11" i="1" s="1"/>
  <c r="X11" i="1" s="1"/>
  <c r="I18" i="1"/>
  <c r="W18" i="1" s="1"/>
  <c r="X18" i="1" s="1"/>
  <c r="I16" i="1"/>
  <c r="W16" i="1" s="1"/>
  <c r="X16" i="1" s="1"/>
  <c r="I17" i="1"/>
  <c r="W17" i="1" s="1"/>
  <c r="X17" i="1" s="1"/>
  <c r="I8" i="1"/>
  <c r="I15" i="1"/>
  <c r="W15" i="1" s="1"/>
  <c r="X15" i="1" s="1"/>
  <c r="K9" i="1"/>
  <c r="S11" i="1" l="1"/>
  <c r="N11" i="1"/>
  <c r="S9" i="1"/>
  <c r="N9" i="1"/>
  <c r="S15" i="1"/>
  <c r="N15" i="1"/>
  <c r="S10" i="1"/>
  <c r="N10" i="1"/>
  <c r="S17" i="1"/>
  <c r="N17" i="1"/>
  <c r="S18" i="1"/>
  <c r="N18" i="1"/>
  <c r="S16" i="1"/>
  <c r="N16" i="1"/>
  <c r="B49" i="1"/>
  <c r="J49" i="1"/>
  <c r="B44" i="1"/>
  <c r="J44" i="1"/>
  <c r="B48" i="1"/>
  <c r="J48" i="1"/>
  <c r="B43" i="1"/>
  <c r="J43" i="1"/>
  <c r="B46" i="1"/>
  <c r="J46" i="1"/>
  <c r="B47" i="1"/>
  <c r="J47" i="1"/>
  <c r="B42" i="1"/>
  <c r="J42" i="1"/>
  <c r="K8" i="1"/>
  <c r="W8" i="1"/>
  <c r="X8" i="1" s="1"/>
  <c r="Q10" i="1" l="1"/>
  <c r="Q16" i="1"/>
  <c r="Q18" i="1"/>
  <c r="Q17" i="1"/>
  <c r="Q9" i="1"/>
  <c r="S8" i="1"/>
  <c r="N8" i="1"/>
  <c r="Q15" i="1"/>
  <c r="Q11" i="1"/>
  <c r="B41" i="1"/>
  <c r="J41" i="1"/>
  <c r="AA17" i="1"/>
  <c r="E48" i="1" s="1"/>
  <c r="AA16" i="1"/>
  <c r="E47" i="1" s="1"/>
  <c r="AA18" i="1"/>
  <c r="E49" i="1" s="1"/>
  <c r="AA10" i="1"/>
  <c r="E43" i="1" s="1"/>
  <c r="AA9" i="1"/>
  <c r="E42" i="1" s="1"/>
  <c r="AA15" i="1"/>
  <c r="E46" i="1" s="1"/>
  <c r="F46" i="1"/>
  <c r="F47" i="1"/>
  <c r="AA11" i="1"/>
  <c r="E44" i="1" s="1"/>
  <c r="F44" i="1"/>
  <c r="Q8" i="1" l="1"/>
  <c r="F42" i="1"/>
  <c r="F49" i="1"/>
  <c r="F43" i="1"/>
  <c r="F48" i="1"/>
  <c r="AA8" i="1"/>
  <c r="E41" i="1" s="1"/>
  <c r="F41" i="1"/>
</calcChain>
</file>

<file path=xl/sharedStrings.xml><?xml version="1.0" encoding="utf-8"?>
<sst xmlns="http://schemas.openxmlformats.org/spreadsheetml/2006/main" count="199" uniqueCount="92">
  <si>
    <t>Rpse_min</t>
  </si>
  <si>
    <t>Rpse_max</t>
  </si>
  <si>
    <t>Rch_min_unb</t>
  </si>
  <si>
    <t>Rch_max_unb</t>
  </si>
  <si>
    <t>Rpd_min</t>
  </si>
  <si>
    <t>Rpd_max</t>
  </si>
  <si>
    <t>Class</t>
  </si>
  <si>
    <t>Rmin-2P</t>
  </si>
  <si>
    <t>Rmax-2P</t>
  </si>
  <si>
    <t>PClass_PD</t>
  </si>
  <si>
    <t>Icon</t>
  </si>
  <si>
    <t>Rpd_eqv</t>
  </si>
  <si>
    <t>sum_min</t>
  </si>
  <si>
    <t>sum_max</t>
  </si>
  <si>
    <t>(*)</t>
  </si>
  <si>
    <t>Include Rpse which result with Req&gt;6.25 ohm which is OK</t>
  </si>
  <si>
    <t>2*Rpd_min*Rpd_max/
(Rpd_min+Rpd_max)</t>
  </si>
  <si>
    <t>Icon-2P_unb</t>
  </si>
  <si>
    <t>Spec</t>
  </si>
  <si>
    <t>PASS/FAIL</t>
  </si>
  <si>
    <t>(Rdson+Rsense)eqv</t>
  </si>
  <si>
    <t>Rdson_min</t>
  </si>
  <si>
    <t>Rdson_max</t>
  </si>
  <si>
    <t>Rsense_min</t>
  </si>
  <si>
    <t>Rsense_max</t>
  </si>
  <si>
    <t>Rdson_eqv</t>
  </si>
  <si>
    <t>Rsense_eqv</t>
  </si>
  <si>
    <t>Lennart to add to 
your calculations</t>
  </si>
  <si>
    <t>Delta</t>
  </si>
  <si>
    <t>Runb</t>
  </si>
  <si>
    <t>Actual</t>
  </si>
  <si>
    <t>(**)</t>
  </si>
  <si>
    <t>If Rpse_min is increased, Vpse need to be adjusted to be 50V or 52V at the PSE PI</t>
  </si>
  <si>
    <t>Rpse_eqv</t>
  </si>
  <si>
    <t>RCH_eqv</t>
  </si>
  <si>
    <t>2*ch_min*Rch_max/
(Rch_min+Rch_max)</t>
  </si>
  <si>
    <t>Eq1</t>
  </si>
  <si>
    <t>=(Vpse-(Vpse^2-4*Rch_eqv*Pclass_PD)^0.5)/(2*Rch_eqv)</t>
  </si>
  <si>
    <t>E(pse SUPPLY)</t>
  </si>
  <si>
    <t>=Vpse+Icon*Rpse_eqv</t>
  </si>
  <si>
    <t>=Pclass_pd/Icon</t>
  </si>
  <si>
    <t>Constant power 
sink power</t>
  </si>
  <si>
    <t>Pclass_pd-Icon^2*Rpd_eqv</t>
  </si>
  <si>
    <t>To continue increasin Rpse_min utill Vpse=E in open load</t>
  </si>
  <si>
    <t>Class 5 marginal but PASS</t>
  </si>
  <si>
    <t>Class 6 marginal but PASS</t>
  </si>
  <si>
    <t>Class 7 fail , smal lerror</t>
  </si>
  <si>
    <t>Short cable</t>
  </si>
  <si>
    <t>Class 8 huge margin</t>
  </si>
  <si>
    <t>Class 5 OK</t>
  </si>
  <si>
    <t>Class 6 OK</t>
  </si>
  <si>
    <t>Class 7 starts to fail at 0.5 ohm</t>
  </si>
  <si>
    <t xml:space="preserve">Icon </t>
  </si>
  <si>
    <t>system quad Equation 
for double check</t>
  </si>
  <si>
    <t>Vpse at 
the PI</t>
  </si>
  <si>
    <t>(Rdson+Rsense)Eqv+
2*Rpse_min*Rpse_max/
(Rpse_min+Rpse_max)</t>
  </si>
  <si>
    <t>Vpd at the PI</t>
  </si>
  <si>
    <t>Lennart to add to 
your calculations.</t>
  </si>
  <si>
    <t>Vpd spec limit</t>
  </si>
  <si>
    <t>Limits Rpse_min 
max value</t>
  </si>
  <si>
    <t xml:space="preserve">This values doest change as function of Rpse_min due to its dependence on Pclass_PD and Icon only 
stays constant </t>
  </si>
  <si>
    <t>To change
 Icon-2P_unb in D3.0</t>
  </si>
  <si>
    <t>no change</t>
  </si>
  <si>
    <t>To set spec with 5mA 
difference for calculations</t>
  </si>
  <si>
    <t>, up to 0.5 ohm it makes sense.</t>
  </si>
  <si>
    <t>To change to</t>
  </si>
  <si>
    <t>No change</t>
  </si>
  <si>
    <t>Simulations</t>
  </si>
  <si>
    <t>Actual 
calculated</t>
  </si>
  <si>
    <t>Summary for Presentation</t>
  </si>
  <si>
    <t>For 100m.</t>
  </si>
  <si>
    <t>for 2.65m</t>
  </si>
  <si>
    <t>Delta=
Calculated - Spec</t>
  </si>
  <si>
    <t>PASS/FAIL
Calculated vs. Spec.</t>
  </si>
  <si>
    <t>To set spec. with 5mA margin from the max of (Calculated, Simulated, Spec)</t>
  </si>
  <si>
    <t>[A]</t>
  </si>
  <si>
    <t>[mA]</t>
  </si>
  <si>
    <t>Change D3.0 Icon-2P_unb from</t>
  </si>
  <si>
    <t>To:</t>
  </si>
  <si>
    <t>Rsource_min</t>
  </si>
  <si>
    <t>Rsource_max</t>
  </si>
  <si>
    <t>Rsystem_Eqv</t>
  </si>
  <si>
    <t>Vsource</t>
  </si>
  <si>
    <t>Reqv</t>
  </si>
  <si>
    <t>Final</t>
  </si>
  <si>
    <t>PD</t>
  </si>
  <si>
    <t>PSE</t>
  </si>
  <si>
    <t>max(Rpd_min) in 
the spec per Eq 145-26.</t>
  </si>
  <si>
    <t>For next draft: To check why constant of alfa is not the same in PSE and PD equations</t>
  </si>
  <si>
    <t>To set spec with 5mA margin for test model accuracy.</t>
  </si>
  <si>
    <t>Delta=
max(calc,sim)-spec</t>
  </si>
  <si>
    <t>, up to 0.5 ohm it makes sense. Here it is up to 1 ohm and no issues.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</si>
</sst>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0" fillId="0" borderId="0" xfId="0" quotePrefix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8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0" xfId="0" applyBorder="1" applyAlignment="1">
      <alignment horizontal="left" vertical="top"/>
    </xf>
    <xf numFmtId="164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164" fontId="1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4" xfId="0" applyFill="1" applyBorder="1" applyAlignment="1">
      <alignment horizontal="center"/>
    </xf>
    <xf numFmtId="0" fontId="0" fillId="2" borderId="6" xfId="0" applyFill="1" applyBorder="1" applyAlignment="1"/>
    <xf numFmtId="0" fontId="0" fillId="2" borderId="3" xfId="0" applyFill="1" applyBorder="1" applyAlignment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/>
    <xf numFmtId="0" fontId="0" fillId="0" borderId="5" xfId="0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3" borderId="0" xfId="0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164" fontId="0" fillId="0" borderId="2" xfId="0" applyNumberFormat="1" applyBorder="1" applyAlignment="1">
      <alignment horizontal="left"/>
    </xf>
    <xf numFmtId="0" fontId="0" fillId="0" borderId="19" xfId="0" applyBorder="1" applyAlignment="1">
      <alignment horizontal="center"/>
    </xf>
    <xf numFmtId="164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left"/>
    </xf>
    <xf numFmtId="164" fontId="0" fillId="0" borderId="24" xfId="0" applyNumberFormat="1" applyBorder="1" applyAlignment="1">
      <alignment horizontal="left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3" xfId="0" applyBorder="1"/>
    <xf numFmtId="164" fontId="2" fillId="0" borderId="3" xfId="0" applyNumberFormat="1" applyFont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65" fontId="0" fillId="0" borderId="0" xfId="0" applyNumberFormat="1"/>
    <xf numFmtId="165" fontId="1" fillId="0" borderId="4" xfId="0" applyNumberFormat="1" applyFont="1" applyFill="1" applyBorder="1" applyAlignment="1">
      <alignment horizontal="left" wrapText="1"/>
    </xf>
    <xf numFmtId="165" fontId="0" fillId="0" borderId="4" xfId="0" applyNumberForma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9" xfId="0" applyFont="1" applyBorder="1"/>
    <xf numFmtId="164" fontId="6" fillId="0" borderId="2" xfId="0" applyNumberFormat="1" applyFont="1" applyBorder="1"/>
    <xf numFmtId="164" fontId="6" fillId="0" borderId="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opLeftCell="A7" zoomScale="98" zoomScaleNormal="98" workbookViewId="0">
      <selection activeCell="AG18" sqref="AG18"/>
    </sheetView>
  </sheetViews>
  <sheetFormatPr defaultRowHeight="15" x14ac:dyDescent="0.25"/>
  <cols>
    <col min="1" max="1" width="8.25" style="5" bestFit="1" customWidth="1"/>
    <col min="2" max="2" width="13.625" style="6" customWidth="1"/>
    <col min="3" max="3" width="8.75" style="6" customWidth="1"/>
    <col min="4" max="4" width="9.5" customWidth="1"/>
    <col min="5" max="5" width="10.5" style="6" customWidth="1"/>
    <col min="6" max="6" width="10.625" style="6" customWidth="1"/>
    <col min="7" max="7" width="17" style="6" customWidth="1"/>
    <col min="8" max="8" width="13.625" style="6" customWidth="1"/>
    <col min="9" max="9" width="9" style="6"/>
    <col min="10" max="10" width="16.875" style="6" bestFit="1" customWidth="1"/>
    <col min="11" max="11" width="15.25" style="6" customWidth="1"/>
    <col min="12" max="12" width="12.75" style="6" customWidth="1"/>
    <col min="13" max="14" width="14" style="6" customWidth="1"/>
    <col min="15" max="15" width="9" style="6"/>
    <col min="18" max="18" width="13" customWidth="1"/>
    <col min="19" max="19" width="13.875" bestFit="1" customWidth="1"/>
    <col min="20" max="20" width="13.875" customWidth="1"/>
    <col min="21" max="21" width="12" customWidth="1"/>
    <col min="22" max="22" width="16.75" bestFit="1" customWidth="1"/>
    <col min="23" max="23" width="5.375" style="6" bestFit="1" customWidth="1"/>
    <col min="24" max="24" width="14.625" bestFit="1" customWidth="1"/>
    <col min="25" max="25" width="9.625" style="6" bestFit="1" customWidth="1"/>
    <col min="26" max="26" width="5.875" style="6" bestFit="1" customWidth="1"/>
    <col min="27" max="27" width="8.75" bestFit="1" customWidth="1"/>
    <col min="28" max="28" width="6.5" bestFit="1" customWidth="1"/>
    <col min="29" max="29" width="9.125" customWidth="1"/>
    <col min="30" max="32" width="16" customWidth="1"/>
  </cols>
  <sheetData>
    <row r="1" spans="1:34" ht="15.75" thickBot="1" x14ac:dyDescent="0.3">
      <c r="A1" s="42"/>
      <c r="C1" s="2" t="s">
        <v>21</v>
      </c>
      <c r="D1" s="2">
        <v>7.0000000000000007E-2</v>
      </c>
      <c r="E1" s="2" t="s">
        <v>25</v>
      </c>
      <c r="F1" s="41">
        <f>D1*D2/(D1+D2)</f>
        <v>4.11764705882353E-2</v>
      </c>
    </row>
    <row r="2" spans="1:34" ht="15.75" thickBot="1" x14ac:dyDescent="0.3">
      <c r="C2" s="2" t="s">
        <v>22</v>
      </c>
      <c r="D2" s="2">
        <v>0.1</v>
      </c>
      <c r="E2" s="2" t="s">
        <v>26</v>
      </c>
      <c r="F2" s="41">
        <f>D3*D4/(D3+D4)</f>
        <v>0.12373737373737374</v>
      </c>
      <c r="G2" s="43"/>
      <c r="H2" s="3"/>
      <c r="X2" s="139"/>
      <c r="AA2" s="86"/>
      <c r="AB2" s="86"/>
    </row>
    <row r="3" spans="1:34" x14ac:dyDescent="0.25">
      <c r="C3" s="2" t="s">
        <v>23</v>
      </c>
      <c r="D3" s="2">
        <f>D4*0.98</f>
        <v>0.245</v>
      </c>
      <c r="E3" s="17" t="s">
        <v>20</v>
      </c>
      <c r="F3" s="41">
        <f>F1+F2</f>
        <v>0.16491384432560904</v>
      </c>
      <c r="G3" s="44"/>
      <c r="H3" s="12"/>
      <c r="X3" s="86"/>
      <c r="AA3" s="86"/>
      <c r="AB3" s="86"/>
    </row>
    <row r="4" spans="1:34" x14ac:dyDescent="0.25">
      <c r="C4" s="2" t="s">
        <v>24</v>
      </c>
      <c r="D4" s="45">
        <v>0.25</v>
      </c>
      <c r="E4" s="17"/>
      <c r="F4" s="41"/>
      <c r="G4" s="66"/>
      <c r="H4" s="9"/>
      <c r="X4" s="86"/>
      <c r="AA4" s="86"/>
      <c r="AB4" s="86"/>
    </row>
    <row r="5" spans="1:34" ht="23.25" x14ac:dyDescent="0.25">
      <c r="E5" s="2"/>
      <c r="F5" s="1"/>
      <c r="J5" s="21" t="s">
        <v>57</v>
      </c>
      <c r="K5" s="21" t="s">
        <v>57</v>
      </c>
      <c r="R5" s="20" t="s">
        <v>27</v>
      </c>
      <c r="S5" s="20" t="s">
        <v>27</v>
      </c>
      <c r="T5" s="20" t="s">
        <v>27</v>
      </c>
      <c r="U5" s="20"/>
      <c r="V5" s="20" t="s">
        <v>27</v>
      </c>
      <c r="X5" s="91" t="s">
        <v>68</v>
      </c>
      <c r="Y5" s="23" t="s">
        <v>67</v>
      </c>
      <c r="Z5" s="23" t="s">
        <v>18</v>
      </c>
      <c r="AA5" s="86"/>
      <c r="AB5" s="86"/>
    </row>
    <row r="6" spans="1:34" ht="60.75" thickBot="1" x14ac:dyDescent="0.3">
      <c r="A6" s="2" t="s">
        <v>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7</v>
      </c>
      <c r="I6" s="2" t="s">
        <v>8</v>
      </c>
      <c r="J6" s="17" t="s">
        <v>20</v>
      </c>
      <c r="K6" s="7" t="s">
        <v>33</v>
      </c>
      <c r="L6" s="2" t="s">
        <v>34</v>
      </c>
      <c r="M6" s="4" t="s">
        <v>11</v>
      </c>
      <c r="N6" s="65" t="s">
        <v>81</v>
      </c>
      <c r="O6" s="33" t="s">
        <v>54</v>
      </c>
      <c r="P6" s="2" t="s">
        <v>9</v>
      </c>
      <c r="Q6" s="2" t="s">
        <v>52</v>
      </c>
      <c r="R6" s="2" t="s">
        <v>10</v>
      </c>
      <c r="S6" s="56" t="s">
        <v>38</v>
      </c>
      <c r="T6" s="17" t="s">
        <v>56</v>
      </c>
      <c r="U6" s="57" t="s">
        <v>58</v>
      </c>
      <c r="V6" s="27" t="s">
        <v>41</v>
      </c>
      <c r="W6" s="67" t="s">
        <v>29</v>
      </c>
      <c r="X6" s="144" t="s">
        <v>17</v>
      </c>
      <c r="Y6" s="145"/>
      <c r="Z6" s="145"/>
      <c r="AA6" s="68" t="s">
        <v>19</v>
      </c>
      <c r="AB6" s="8" t="s">
        <v>28</v>
      </c>
      <c r="AD6" s="61" t="s">
        <v>63</v>
      </c>
      <c r="AE6" s="61" t="s">
        <v>18</v>
      </c>
      <c r="AF6" s="61"/>
      <c r="AG6" s="61" t="s">
        <v>61</v>
      </c>
    </row>
    <row r="7" spans="1:34" ht="45.75" x14ac:dyDescent="0.25">
      <c r="A7" s="2"/>
      <c r="B7" s="2"/>
      <c r="C7" s="2"/>
      <c r="D7" s="2"/>
      <c r="E7" s="2"/>
      <c r="F7" s="2"/>
      <c r="G7" s="2"/>
      <c r="H7" s="2" t="s">
        <v>12</v>
      </c>
      <c r="I7" s="2" t="s">
        <v>13</v>
      </c>
      <c r="J7" s="7"/>
      <c r="K7" s="14" t="s">
        <v>55</v>
      </c>
      <c r="L7" s="27" t="s">
        <v>35</v>
      </c>
      <c r="M7" s="25" t="s">
        <v>16</v>
      </c>
      <c r="N7" s="25"/>
      <c r="O7" s="8"/>
      <c r="P7" s="2"/>
      <c r="Q7" s="27" t="s">
        <v>53</v>
      </c>
      <c r="R7" s="2" t="s">
        <v>36</v>
      </c>
      <c r="S7" s="30" t="s">
        <v>39</v>
      </c>
      <c r="T7" s="30" t="s">
        <v>40</v>
      </c>
      <c r="U7" s="59" t="s">
        <v>59</v>
      </c>
      <c r="V7" s="30" t="s">
        <v>42</v>
      </c>
      <c r="W7" s="62"/>
      <c r="X7" s="70"/>
      <c r="Y7" s="71"/>
      <c r="Z7" s="71"/>
      <c r="AA7" s="1"/>
      <c r="AB7" s="2"/>
      <c r="AD7" s="1"/>
      <c r="AE7" s="1"/>
      <c r="AF7" s="1"/>
      <c r="AG7" s="1"/>
    </row>
    <row r="8" spans="1:34" s="54" customFormat="1" ht="18.75" x14ac:dyDescent="0.3">
      <c r="A8" s="16">
        <v>5</v>
      </c>
      <c r="B8" s="16">
        <v>1</v>
      </c>
      <c r="C8" s="16">
        <f>2.182*B8-0.04</f>
        <v>2.1419999999999999</v>
      </c>
      <c r="D8" s="16">
        <v>8.6999999999999994E-2</v>
      </c>
      <c r="E8" s="16">
        <v>0.10100000000000001</v>
      </c>
      <c r="F8" s="16">
        <v>0.64100000000000001</v>
      </c>
      <c r="G8" s="16">
        <v>1.524</v>
      </c>
      <c r="H8" s="16">
        <f>B8+D8+F8</f>
        <v>1.728</v>
      </c>
      <c r="I8" s="16">
        <f>C8+E8+G8</f>
        <v>3.7669999999999999</v>
      </c>
      <c r="J8" s="46">
        <f>$F$3</f>
        <v>0.16491384432560904</v>
      </c>
      <c r="K8" s="47">
        <f>J8+2*B8*C8/(B8+C8)</f>
        <v>1.5283766068972195</v>
      </c>
      <c r="L8" s="48">
        <f>2*D8*E8/(D8+E8)</f>
        <v>9.3478723404255309E-2</v>
      </c>
      <c r="M8" s="49">
        <f>2*F8*G8/(F8+G8)</f>
        <v>0.90243325635103933</v>
      </c>
      <c r="N8" s="49">
        <f>K8+L8+M8</f>
        <v>2.5242885866525144</v>
      </c>
      <c r="O8" s="16">
        <v>50</v>
      </c>
      <c r="P8" s="16">
        <v>40</v>
      </c>
      <c r="Q8" s="48">
        <f>(S8-(S8^2-4*N8*V8)^0.5)/(2*N8)</f>
        <v>0.80120012029512111</v>
      </c>
      <c r="R8" s="50">
        <f>(O8-(O8^2-4*L8*P8)^0.5)/(2*L8)</f>
        <v>0.80120012029511112</v>
      </c>
      <c r="S8" s="52">
        <f>O8+R8*K8</f>
        <v>51.224535521302286</v>
      </c>
      <c r="T8" s="50">
        <f>P8/R8</f>
        <v>49.925104835564113</v>
      </c>
      <c r="U8" s="52">
        <v>44.3</v>
      </c>
      <c r="V8" s="50">
        <f>P8-R8^2*M8</f>
        <v>39.420708570625408</v>
      </c>
      <c r="W8" s="63">
        <f>(I8-H8)/(I8+H8)</f>
        <v>0.37106460418562326</v>
      </c>
      <c r="X8" s="51">
        <f>R8*(1+W8)/2</f>
        <v>0.54924856290294521</v>
      </c>
      <c r="Y8" s="52">
        <v>0.54700000000000004</v>
      </c>
      <c r="Z8" s="52">
        <v>0.55000000000000004</v>
      </c>
      <c r="AA8" s="53" t="str">
        <f>IF(X8&gt;Z8,"FAIL","PASS")</f>
        <v>PASS</v>
      </c>
      <c r="AB8" s="50">
        <f>MAX(X8,Y8)-Z8</f>
        <v>-7.5143709705483008E-4</v>
      </c>
      <c r="AD8" s="50">
        <f>Z8+AB8+0.005</f>
        <v>0.55424856290294522</v>
      </c>
      <c r="AE8" s="50">
        <f>Z8</f>
        <v>0.55000000000000004</v>
      </c>
      <c r="AF8" s="73" t="s">
        <v>65</v>
      </c>
      <c r="AG8" s="72">
        <v>554</v>
      </c>
    </row>
    <row r="9" spans="1:34" s="54" customFormat="1" ht="18.75" x14ac:dyDescent="0.3">
      <c r="A9" s="16">
        <v>6</v>
      </c>
      <c r="B9" s="16">
        <v>1</v>
      </c>
      <c r="C9" s="16">
        <f>1.999*B9-0.04</f>
        <v>1.9590000000000001</v>
      </c>
      <c r="D9" s="16">
        <v>8.6999999999999994E-2</v>
      </c>
      <c r="E9" s="16">
        <v>0.10100000000000001</v>
      </c>
      <c r="F9" s="16">
        <v>0.54100000000000004</v>
      </c>
      <c r="G9" s="16">
        <v>1.1870000000000001</v>
      </c>
      <c r="H9" s="16">
        <f t="shared" ref="H9:H11" si="0">B9+D9+F9</f>
        <v>1.6280000000000001</v>
      </c>
      <c r="I9" s="16">
        <f t="shared" ref="I9:I11" si="1">C9+E9+G9</f>
        <v>3.2469999999999999</v>
      </c>
      <c r="J9" s="46">
        <f t="shared" ref="J9:J11" si="2">$F$3</f>
        <v>0.16491384432560904</v>
      </c>
      <c r="K9" s="47">
        <f>J9+2*B9*C9/(B9+C9)</f>
        <v>1.4890098226966804</v>
      </c>
      <c r="L9" s="48">
        <f>2*D9*E9/(D9+E9)</f>
        <v>9.3478723404255309E-2</v>
      </c>
      <c r="M9" s="49">
        <f>2*F9*G9/(F9+G9)</f>
        <v>0.74324884259259261</v>
      </c>
      <c r="N9" s="49">
        <f t="shared" ref="N9:N11" si="3">K9+L9+M9</f>
        <v>2.3257373886935282</v>
      </c>
      <c r="O9" s="16">
        <v>50</v>
      </c>
      <c r="P9" s="16">
        <v>51</v>
      </c>
      <c r="Q9" s="48">
        <f t="shared" ref="Q9:Q11" si="4">(S9-(S9^2-4*N9*V9)^0.5)/(2*N9)</f>
        <v>1.0219525593326799</v>
      </c>
      <c r="R9" s="50">
        <f t="shared" ref="R9:R11" si="5">(O9-(O9^2-4*L9*P9)^0.5)/(2*L9)</f>
        <v>1.0219525593326833</v>
      </c>
      <c r="S9" s="52">
        <f t="shared" ref="S9:S11" si="6">O9+R9*K9</f>
        <v>51.521697399176375</v>
      </c>
      <c r="T9" s="50">
        <f t="shared" ref="T9:T11" si="7">P9/R9</f>
        <v>49.904469179373734</v>
      </c>
      <c r="U9" s="52">
        <v>42.5</v>
      </c>
      <c r="V9" s="50">
        <f t="shared" ref="V9:V11" si="8">P9-R9^2*M9</f>
        <v>50.223760546112629</v>
      </c>
      <c r="W9" s="63">
        <f>(I9-H9)/(I9+H9)</f>
        <v>0.33210256410256406</v>
      </c>
      <c r="X9" s="51">
        <f t="shared" ref="X9:X18" si="9">R9*(1+W9)/2</f>
        <v>0.68067281233912258</v>
      </c>
      <c r="Y9" s="52">
        <v>0.67900000000000005</v>
      </c>
      <c r="Z9" s="52">
        <v>0.68200000000000005</v>
      </c>
      <c r="AA9" s="53" t="str">
        <f>IF(X9&gt;Z9,"FAIL","PASS")</f>
        <v>PASS</v>
      </c>
      <c r="AB9" s="50">
        <f t="shared" ref="AB9:AB11" si="10">MAX(X9,Y9)-Z9</f>
        <v>-1.3271876608774713E-3</v>
      </c>
      <c r="AD9" s="50">
        <f t="shared" ref="AD9:AD11" si="11">Z9+AB9+0.005</f>
        <v>0.68567281233912258</v>
      </c>
      <c r="AE9" s="50">
        <f>Z9</f>
        <v>0.68200000000000005</v>
      </c>
      <c r="AF9" s="73" t="s">
        <v>65</v>
      </c>
      <c r="AG9" s="72">
        <v>686</v>
      </c>
    </row>
    <row r="10" spans="1:34" s="54" customFormat="1" ht="18.75" x14ac:dyDescent="0.3">
      <c r="A10" s="16">
        <v>7</v>
      </c>
      <c r="B10" s="16">
        <v>0.5</v>
      </c>
      <c r="C10" s="16">
        <f>1.904*B10-0.03</f>
        <v>0.92199999999999993</v>
      </c>
      <c r="D10" s="16">
        <v>8.6999999999999994E-2</v>
      </c>
      <c r="E10" s="16">
        <v>0.10100000000000001</v>
      </c>
      <c r="F10" s="16">
        <v>0.48599999999999999</v>
      </c>
      <c r="G10" s="16">
        <v>1.02</v>
      </c>
      <c r="H10" s="16">
        <f t="shared" si="0"/>
        <v>1.073</v>
      </c>
      <c r="I10" s="16">
        <f t="shared" si="1"/>
        <v>2.0430000000000001</v>
      </c>
      <c r="J10" s="46">
        <f t="shared" si="2"/>
        <v>0.16491384432560904</v>
      </c>
      <c r="K10" s="47">
        <f>J10+2*B10*C10/(B10+C10)</f>
        <v>0.81329640410057391</v>
      </c>
      <c r="L10" s="48">
        <f>2*D10*E10/(D10+E10)</f>
        <v>9.3478723404255309E-2</v>
      </c>
      <c r="M10" s="49">
        <f>2*F10*G10/(F10+G10)</f>
        <v>0.65832669322709159</v>
      </c>
      <c r="N10" s="49">
        <f t="shared" si="3"/>
        <v>1.5651018207319209</v>
      </c>
      <c r="O10" s="16">
        <v>52</v>
      </c>
      <c r="P10" s="16">
        <v>62</v>
      </c>
      <c r="Q10" s="48">
        <f t="shared" si="4"/>
        <v>1.1948742666318011</v>
      </c>
      <c r="R10" s="50">
        <f t="shared" si="5"/>
        <v>1.1948742666318144</v>
      </c>
      <c r="S10" s="52">
        <f t="shared" si="6"/>
        <v>52.971786944403966</v>
      </c>
      <c r="T10" s="50">
        <f t="shared" si="7"/>
        <v>51.888304678926126</v>
      </c>
      <c r="U10" s="52">
        <v>42.9</v>
      </c>
      <c r="V10" s="50">
        <f t="shared" si="8"/>
        <v>61.060090842478665</v>
      </c>
      <c r="W10" s="63">
        <f>(I10-H10)/(I10+H10)</f>
        <v>0.3112965340179718</v>
      </c>
      <c r="X10" s="51">
        <f t="shared" si="9"/>
        <v>0.78341724221078213</v>
      </c>
      <c r="Y10" s="52">
        <v>0.78600000000000003</v>
      </c>
      <c r="Z10" s="52">
        <v>0.78100000000000003</v>
      </c>
      <c r="AA10" s="53" t="str">
        <f>IF(X10&gt;Z10,"FAIL","PASS")</f>
        <v>FAIL</v>
      </c>
      <c r="AB10" s="50">
        <f t="shared" si="10"/>
        <v>5.0000000000000044E-3</v>
      </c>
      <c r="AD10" s="50">
        <f t="shared" si="11"/>
        <v>0.79100000000000004</v>
      </c>
      <c r="AE10" s="50">
        <f>Z10</f>
        <v>0.78100000000000003</v>
      </c>
      <c r="AF10" s="73" t="s">
        <v>65</v>
      </c>
      <c r="AG10" s="72">
        <v>793</v>
      </c>
    </row>
    <row r="11" spans="1:34" s="54" customFormat="1" ht="12.75" x14ac:dyDescent="0.2">
      <c r="A11" s="16">
        <v>8</v>
      </c>
      <c r="B11" s="16">
        <v>0.5</v>
      </c>
      <c r="C11" s="16">
        <f>1.832*B11-0.03</f>
        <v>0.88600000000000001</v>
      </c>
      <c r="D11" s="16">
        <v>8.6999999999999994E-2</v>
      </c>
      <c r="E11" s="16">
        <v>0.10100000000000001</v>
      </c>
      <c r="F11" s="16">
        <v>0.441</v>
      </c>
      <c r="G11" s="16">
        <v>0.89600000000000002</v>
      </c>
      <c r="H11" s="16">
        <f t="shared" si="0"/>
        <v>1.028</v>
      </c>
      <c r="I11" s="16">
        <f t="shared" si="1"/>
        <v>1.883</v>
      </c>
      <c r="J11" s="46">
        <f t="shared" si="2"/>
        <v>0.16491384432560904</v>
      </c>
      <c r="K11" s="47">
        <f>J11+2*B11*C11/(B11+C11)</f>
        <v>0.80416348357524825</v>
      </c>
      <c r="L11" s="48">
        <f>2*D11*E11/(D11+E11)</f>
        <v>9.3478723404255309E-2</v>
      </c>
      <c r="M11" s="49">
        <f>2*F11*G11/(F11+G11)</f>
        <v>0.59107853403141364</v>
      </c>
      <c r="N11" s="49">
        <f t="shared" si="3"/>
        <v>1.4887207410109173</v>
      </c>
      <c r="O11" s="16">
        <v>52</v>
      </c>
      <c r="P11" s="16">
        <v>71.3</v>
      </c>
      <c r="Q11" s="48">
        <f t="shared" si="4"/>
        <v>1.3745503391848035</v>
      </c>
      <c r="R11" s="50">
        <f t="shared" si="5"/>
        <v>1.3745503391848186</v>
      </c>
      <c r="S11" s="52">
        <f t="shared" si="6"/>
        <v>53.105363189108402</v>
      </c>
      <c r="T11" s="50">
        <f t="shared" si="7"/>
        <v>51.871508789037648</v>
      </c>
      <c r="U11" s="52">
        <v>41.1</v>
      </c>
      <c r="V11" s="50">
        <f t="shared" si="8"/>
        <v>70.183222935436305</v>
      </c>
      <c r="W11" s="63">
        <f>(I11-H11)/(I11+H11)</f>
        <v>0.29371350051528683</v>
      </c>
      <c r="X11" s="51">
        <f t="shared" si="9"/>
        <v>0.88913716547063326</v>
      </c>
      <c r="Y11" s="52">
        <v>0.86599999999999999</v>
      </c>
      <c r="Z11" s="52">
        <v>0.93200000000000005</v>
      </c>
      <c r="AA11" s="53" t="str">
        <f>IF(X11&gt;Z11,"FAIL","PASS")</f>
        <v>PASS</v>
      </c>
      <c r="AB11" s="50">
        <f t="shared" si="10"/>
        <v>-4.2862834529366789E-2</v>
      </c>
      <c r="AD11" s="50">
        <f t="shared" si="11"/>
        <v>0.89413716547063327</v>
      </c>
      <c r="AE11" s="50">
        <f>Z11</f>
        <v>0.93200000000000005</v>
      </c>
      <c r="AF11" s="53" t="s">
        <v>66</v>
      </c>
      <c r="AG11" s="16">
        <v>932</v>
      </c>
    </row>
    <row r="12" spans="1:34" ht="8.2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34"/>
      <c r="K12" s="35"/>
      <c r="L12" s="36"/>
      <c r="M12" s="37"/>
      <c r="N12" s="37"/>
      <c r="O12" s="12"/>
      <c r="P12" s="12"/>
      <c r="Q12" s="12"/>
      <c r="R12" s="38"/>
      <c r="S12" s="38"/>
      <c r="T12" s="38"/>
      <c r="U12" s="40"/>
      <c r="V12" s="38"/>
      <c r="W12" s="64"/>
      <c r="X12" s="39"/>
      <c r="Y12" s="40"/>
      <c r="Z12" s="40"/>
      <c r="AA12" s="13"/>
      <c r="AB12" s="38"/>
      <c r="AC12" s="11"/>
      <c r="AD12" s="1"/>
      <c r="AE12" s="1"/>
      <c r="AF12" s="1"/>
      <c r="AG12" s="2"/>
    </row>
    <row r="13" spans="1:34" ht="23.25" x14ac:dyDescent="0.25">
      <c r="A13" s="2" t="s">
        <v>6</v>
      </c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7</v>
      </c>
      <c r="I13" s="2" t="s">
        <v>8</v>
      </c>
      <c r="J13" s="17" t="s">
        <v>20</v>
      </c>
      <c r="K13" s="18" t="s">
        <v>33</v>
      </c>
      <c r="L13" s="28" t="s">
        <v>34</v>
      </c>
      <c r="M13" s="26" t="s">
        <v>11</v>
      </c>
      <c r="N13" s="26"/>
      <c r="O13" s="33" t="s">
        <v>54</v>
      </c>
      <c r="P13" s="2" t="s">
        <v>9</v>
      </c>
      <c r="Q13" s="2" t="s">
        <v>52</v>
      </c>
      <c r="R13" s="2" t="s">
        <v>10</v>
      </c>
      <c r="S13" s="17" t="s">
        <v>38</v>
      </c>
      <c r="T13" s="17" t="s">
        <v>56</v>
      </c>
      <c r="U13" s="57"/>
      <c r="V13" s="27" t="s">
        <v>41</v>
      </c>
      <c r="W13" s="62"/>
      <c r="X13" s="141" t="s">
        <v>30</v>
      </c>
      <c r="Y13" s="69"/>
      <c r="Z13" s="69" t="s">
        <v>18</v>
      </c>
      <c r="AA13" s="8" t="s">
        <v>19</v>
      </c>
      <c r="AB13" s="8" t="s">
        <v>28</v>
      </c>
      <c r="AD13" s="1"/>
      <c r="AE13" s="1"/>
      <c r="AF13" s="1"/>
      <c r="AG13" s="2"/>
    </row>
    <row r="14" spans="1:34" ht="45.75" x14ac:dyDescent="0.25">
      <c r="A14" s="2"/>
      <c r="B14" s="2"/>
      <c r="C14" s="2"/>
      <c r="D14" s="2"/>
      <c r="E14" s="2"/>
      <c r="F14" s="2"/>
      <c r="G14" s="2"/>
      <c r="H14" s="2"/>
      <c r="I14" s="2"/>
      <c r="J14" s="19"/>
      <c r="K14" s="14" t="s">
        <v>55</v>
      </c>
      <c r="L14" s="27" t="s">
        <v>35</v>
      </c>
      <c r="M14" s="25" t="s">
        <v>16</v>
      </c>
      <c r="N14" s="25"/>
      <c r="O14" s="8"/>
      <c r="P14" s="2" t="s">
        <v>9</v>
      </c>
      <c r="Q14" s="27" t="s">
        <v>53</v>
      </c>
      <c r="R14" s="2" t="s">
        <v>36</v>
      </c>
      <c r="S14" s="58" t="s">
        <v>39</v>
      </c>
      <c r="T14" s="30" t="s">
        <v>40</v>
      </c>
      <c r="U14" s="58"/>
      <c r="V14" s="30" t="s">
        <v>42</v>
      </c>
      <c r="W14" s="140"/>
      <c r="X14" s="107" t="s">
        <v>17</v>
      </c>
      <c r="Y14" s="108"/>
      <c r="Z14" s="108"/>
      <c r="AA14" s="8" t="s">
        <v>19</v>
      </c>
      <c r="AB14" s="8" t="s">
        <v>28</v>
      </c>
      <c r="AD14" s="1"/>
      <c r="AE14" s="1"/>
      <c r="AF14" s="1"/>
      <c r="AG14" s="2"/>
    </row>
    <row r="15" spans="1:34" s="54" customFormat="1" ht="12.75" x14ac:dyDescent="0.2">
      <c r="A15" s="16">
        <v>5</v>
      </c>
      <c r="B15" s="16">
        <f>$X$2</f>
        <v>0</v>
      </c>
      <c r="C15" s="16">
        <f>2.182*B15-0.04</f>
        <v>-0.04</v>
      </c>
      <c r="D15" s="16">
        <v>5.41</v>
      </c>
      <c r="E15" s="16">
        <v>6.25</v>
      </c>
      <c r="F15" s="16">
        <v>0.70799999999999996</v>
      </c>
      <c r="G15" s="16">
        <v>1.0309999999999999</v>
      </c>
      <c r="H15" s="16">
        <f>B15+D15+F15</f>
        <v>6.1180000000000003</v>
      </c>
      <c r="I15" s="16">
        <f>C15+E15+G15</f>
        <v>7.2409999999999997</v>
      </c>
      <c r="J15" s="46">
        <f>$F$3</f>
        <v>0.16491384432560904</v>
      </c>
      <c r="K15" s="47">
        <f>J15+2*B15*C15/(B15+C15)</f>
        <v>0.16491384432560904</v>
      </c>
      <c r="L15" s="48">
        <f>2*D15*E15/(D15+E15)</f>
        <v>5.7997427101200687</v>
      </c>
      <c r="M15" s="49">
        <f>2*F15*G15/(F15+G15)</f>
        <v>0.83950316273720527</v>
      </c>
      <c r="N15" s="49">
        <f>K15+L15+M15</f>
        <v>6.8041597171828831</v>
      </c>
      <c r="O15" s="16">
        <v>50</v>
      </c>
      <c r="P15" s="16">
        <v>40</v>
      </c>
      <c r="Q15" s="48">
        <f>(S15-(S15^2-4*N15*V15)^0.5)/(2*N15)</f>
        <v>0.89236938388962772</v>
      </c>
      <c r="R15" s="50">
        <f>(O15-(O15^2-4*L15*P15)^0.5)/(2*L15)</f>
        <v>0.89236938388962739</v>
      </c>
      <c r="S15" s="52">
        <f>O15+R15*K15</f>
        <v>50.147164065655716</v>
      </c>
      <c r="T15" s="50">
        <f>P15/R15</f>
        <v>44.8244871710518</v>
      </c>
      <c r="U15" s="52">
        <v>44.3</v>
      </c>
      <c r="V15" s="50">
        <f>P15-R15^2*M15</f>
        <v>39.331484224462919</v>
      </c>
      <c r="W15" s="63">
        <f>(I15-H15)/(I15+H15)</f>
        <v>8.4063178381615339E-2</v>
      </c>
      <c r="X15" s="142">
        <f t="shared" si="9"/>
        <v>0.48369239529491664</v>
      </c>
      <c r="Y15" s="143">
        <v>0.48299999999999998</v>
      </c>
      <c r="Z15" s="143">
        <v>0.55000000000000004</v>
      </c>
      <c r="AA15" s="53" t="str">
        <f>IF(X15&gt;Z15,"FAIL","PASS")</f>
        <v>PASS</v>
      </c>
      <c r="AB15" s="50">
        <f>MAX(X15,Y15)-Z15</f>
        <v>-6.6307604705083401E-2</v>
      </c>
      <c r="AD15" s="50">
        <f>Z15+AB15+0.005</f>
        <v>0.48869239529491665</v>
      </c>
      <c r="AE15" s="50">
        <f>Z15</f>
        <v>0.55000000000000004</v>
      </c>
      <c r="AF15" s="53" t="s">
        <v>66</v>
      </c>
      <c r="AG15" s="16" t="s">
        <v>62</v>
      </c>
    </row>
    <row r="16" spans="1:34" s="54" customFormat="1" ht="12.75" x14ac:dyDescent="0.2">
      <c r="A16" s="16">
        <v>6</v>
      </c>
      <c r="B16" s="16">
        <f>$X$2</f>
        <v>0</v>
      </c>
      <c r="C16" s="16">
        <f>1.999*B16-0.04</f>
        <v>-0.04</v>
      </c>
      <c r="D16" s="16">
        <v>5.41</v>
      </c>
      <c r="E16" s="16">
        <v>6.25</v>
      </c>
      <c r="F16" s="16">
        <v>0.56699999999999995</v>
      </c>
      <c r="G16" s="16">
        <v>0.82599999999999996</v>
      </c>
      <c r="H16" s="16">
        <f t="shared" ref="H16:H18" si="12">B16+D16+F16</f>
        <v>5.9770000000000003</v>
      </c>
      <c r="I16" s="16">
        <f t="shared" ref="I16:I18" si="13">C16+E16+G16</f>
        <v>7.0359999999999996</v>
      </c>
      <c r="J16" s="46">
        <f t="shared" ref="J16:J18" si="14">$F$3</f>
        <v>0.16491384432560904</v>
      </c>
      <c r="K16" s="47">
        <f>J16+2*B16*C16/(B16+C16)</f>
        <v>0.16491384432560904</v>
      </c>
      <c r="L16" s="48">
        <f>2*D16*E16/(D16+E16)</f>
        <v>5.7997427101200687</v>
      </c>
      <c r="M16" s="49">
        <f>2*F16*G16/(F16+G16)</f>
        <v>0.6724221105527638</v>
      </c>
      <c r="N16" s="49">
        <f t="shared" ref="N16:N18" si="15">K16+L16+M16</f>
        <v>6.637078664998441</v>
      </c>
      <c r="O16" s="16">
        <v>50</v>
      </c>
      <c r="P16" s="16">
        <v>51</v>
      </c>
      <c r="Q16" s="48">
        <f t="shared" ref="Q16:Q18" si="16">(S16-(S16^2-4*N16*V16)^0.5)/(2*N16)</f>
        <v>1.1820815602363939</v>
      </c>
      <c r="R16" s="50">
        <f t="shared" ref="R16:R18" si="17">(O16-(O16^2-4*L16*P16)^0.5)/(2*L16)</f>
        <v>1.1820815602363937</v>
      </c>
      <c r="S16" s="52">
        <f t="shared" ref="S16:S18" si="18">O16+R16*K16</f>
        <v>50.194941614404996</v>
      </c>
      <c r="T16" s="50">
        <f t="shared" ref="T16:T18" si="19">P16/R16</f>
        <v>43.144231088251622</v>
      </c>
      <c r="U16" s="52">
        <v>42.5</v>
      </c>
      <c r="V16" s="50">
        <f t="shared" ref="V16:V18" si="20">P16-R16^2*M16</f>
        <v>50.060413278112605</v>
      </c>
      <c r="W16" s="63">
        <f>(I16-H16)/(I16+H16)</f>
        <v>8.1380158303235167E-2</v>
      </c>
      <c r="X16" s="51">
        <f t="shared" si="9"/>
        <v>0.63913977236788333</v>
      </c>
      <c r="Y16" s="52">
        <v>0.63900000000000001</v>
      </c>
      <c r="Z16" s="52">
        <v>0.68200000000000005</v>
      </c>
      <c r="AA16" s="53" t="str">
        <f>IF(X16&gt;Z16,"FAIL","PASS")</f>
        <v>PASS</v>
      </c>
      <c r="AB16" s="50">
        <f t="shared" ref="AB16:AB18" si="21">MAX(X16,Y16)-Z16</f>
        <v>-4.2860227632116721E-2</v>
      </c>
      <c r="AD16" s="50">
        <f t="shared" ref="AD16:AD18" si="22">Z16+AB16+0.005</f>
        <v>0.64413977236788333</v>
      </c>
      <c r="AE16" s="50">
        <f>Z16</f>
        <v>0.68200000000000005</v>
      </c>
      <c r="AF16" s="53" t="s">
        <v>66</v>
      </c>
      <c r="AG16" s="16" t="s">
        <v>62</v>
      </c>
      <c r="AH16" s="54" t="s">
        <v>91</v>
      </c>
    </row>
    <row r="17" spans="1:34" s="54" customFormat="1" ht="12.75" x14ac:dyDescent="0.2">
      <c r="A17" s="16">
        <v>7</v>
      </c>
      <c r="B17" s="16">
        <v>0.5</v>
      </c>
      <c r="C17" s="16">
        <f>1.904*B17-0.03</f>
        <v>0.92199999999999993</v>
      </c>
      <c r="D17" s="16">
        <v>5.41</v>
      </c>
      <c r="E17" s="16">
        <v>6.25</v>
      </c>
      <c r="F17" s="16">
        <v>0.49399999999999999</v>
      </c>
      <c r="G17" s="16">
        <v>0.72</v>
      </c>
      <c r="H17" s="16">
        <f t="shared" si="12"/>
        <v>6.4039999999999999</v>
      </c>
      <c r="I17" s="16">
        <f t="shared" si="13"/>
        <v>7.8919999999999995</v>
      </c>
      <c r="J17" s="46">
        <f t="shared" si="14"/>
        <v>0.16491384432560904</v>
      </c>
      <c r="K17" s="47">
        <f>J17+2*B17*C17/(B17+C17)</f>
        <v>0.81329640410057391</v>
      </c>
      <c r="L17" s="48">
        <f>2*D17*E17/(D17+E17)</f>
        <v>5.7997427101200687</v>
      </c>
      <c r="M17" s="49">
        <f>2*F17*G17/(F17+G17)</f>
        <v>0.58596375617792418</v>
      </c>
      <c r="N17" s="49">
        <f t="shared" si="15"/>
        <v>7.1990028703985667</v>
      </c>
      <c r="O17" s="16">
        <v>52</v>
      </c>
      <c r="P17" s="16">
        <v>62</v>
      </c>
      <c r="Q17" s="48">
        <f t="shared" si="16"/>
        <v>1.4159103015484298</v>
      </c>
      <c r="R17" s="50">
        <f t="shared" si="17"/>
        <v>1.41591030154843</v>
      </c>
      <c r="S17" s="52">
        <f t="shared" si="18"/>
        <v>53.151554756778296</v>
      </c>
      <c r="T17" s="50">
        <f t="shared" si="19"/>
        <v>43.788084550410588</v>
      </c>
      <c r="U17" s="52">
        <v>42.9</v>
      </c>
      <c r="V17" s="50">
        <f t="shared" si="20"/>
        <v>60.825258700216189</v>
      </c>
      <c r="W17" s="63">
        <f>(I17-H17)/(I17+H17)</f>
        <v>0.10408505875769443</v>
      </c>
      <c r="X17" s="51">
        <f t="shared" si="9"/>
        <v>0.78164270424036164</v>
      </c>
      <c r="Y17" s="52">
        <v>0.76400000000000001</v>
      </c>
      <c r="Z17" s="52">
        <v>0.78100000000000003</v>
      </c>
      <c r="AA17" s="53" t="str">
        <f>IF(X17&gt;Z17,"FAIL","PASS")</f>
        <v>FAIL</v>
      </c>
      <c r="AB17" s="50">
        <f t="shared" si="21"/>
        <v>6.4270424036161344E-4</v>
      </c>
      <c r="AD17" s="50">
        <f t="shared" si="22"/>
        <v>0.78664270424036165</v>
      </c>
      <c r="AE17" s="50">
        <f>Z17</f>
        <v>0.78100000000000003</v>
      </c>
      <c r="AF17" s="146" t="s">
        <v>65</v>
      </c>
      <c r="AG17" s="55">
        <v>788</v>
      </c>
      <c r="AH17" s="54" t="s">
        <v>64</v>
      </c>
    </row>
    <row r="18" spans="1:34" s="54" customFormat="1" ht="18.75" x14ac:dyDescent="0.3">
      <c r="A18" s="16">
        <v>8</v>
      </c>
      <c r="B18" s="16">
        <v>0.5</v>
      </c>
      <c r="C18" s="16">
        <f>1.832*B18-0.03</f>
        <v>0.88600000000000001</v>
      </c>
      <c r="D18" s="16">
        <v>5.41</v>
      </c>
      <c r="E18" s="16">
        <v>6.25</v>
      </c>
      <c r="F18" s="16">
        <v>0.432</v>
      </c>
      <c r="G18" s="16">
        <v>0.63</v>
      </c>
      <c r="H18" s="16">
        <f t="shared" si="12"/>
        <v>6.3420000000000005</v>
      </c>
      <c r="I18" s="16">
        <f t="shared" si="13"/>
        <v>7.766</v>
      </c>
      <c r="J18" s="46">
        <f t="shared" si="14"/>
        <v>0.16491384432560904</v>
      </c>
      <c r="K18" s="47">
        <f>J18+2*B18*C18/(B18+C18)</f>
        <v>0.80416348357524825</v>
      </c>
      <c r="L18" s="48">
        <f>2*D18*E18/(D18+E18)</f>
        <v>5.7997427101200687</v>
      </c>
      <c r="M18" s="49">
        <f>2*F18*G18/(F18+G18)</f>
        <v>0.51254237288135596</v>
      </c>
      <c r="N18" s="49">
        <f t="shared" si="15"/>
        <v>7.1164485665766728</v>
      </c>
      <c r="O18" s="16">
        <v>52</v>
      </c>
      <c r="P18" s="16">
        <v>71.3</v>
      </c>
      <c r="Q18" s="48">
        <f t="shared" si="16"/>
        <v>1.6895260794277203</v>
      </c>
      <c r="R18" s="50">
        <f t="shared" si="17"/>
        <v>1.6895260794277207</v>
      </c>
      <c r="S18" s="52">
        <f t="shared" si="18"/>
        <v>53.358655177623831</v>
      </c>
      <c r="T18" s="50">
        <f t="shared" si="19"/>
        <v>42.201183437281337</v>
      </c>
      <c r="U18" s="52">
        <v>41.1</v>
      </c>
      <c r="V18" s="50">
        <f t="shared" si="20"/>
        <v>69.836948630482567</v>
      </c>
      <c r="W18" s="63">
        <f>(I18-H18)/(I18+H18)</f>
        <v>0.10093563935355822</v>
      </c>
      <c r="X18" s="51">
        <f t="shared" si="9"/>
        <v>0.93002973722963422</v>
      </c>
      <c r="Y18" s="52">
        <v>0.91200000000000003</v>
      </c>
      <c r="Z18" s="52">
        <v>0.93200000000000005</v>
      </c>
      <c r="AA18" s="53" t="str">
        <f>IF(X18&gt;Z18,"FAIL","PASS")</f>
        <v>PASS</v>
      </c>
      <c r="AB18" s="50">
        <f t="shared" si="21"/>
        <v>-1.9702627703658271E-3</v>
      </c>
      <c r="AD18" s="50">
        <f t="shared" si="22"/>
        <v>0.93502973722963423</v>
      </c>
      <c r="AE18" s="50">
        <f>Z18</f>
        <v>0.93200000000000005</v>
      </c>
      <c r="AF18" s="73" t="s">
        <v>65</v>
      </c>
      <c r="AG18" s="72">
        <v>935</v>
      </c>
      <c r="AH18" s="54" t="s">
        <v>64</v>
      </c>
    </row>
    <row r="19" spans="1:34" ht="8.25" customHeight="1" x14ac:dyDescent="0.25">
      <c r="A19" s="9"/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2"/>
      <c r="M19" s="10"/>
      <c r="N19" s="10"/>
      <c r="O19" s="10"/>
      <c r="P19" s="11"/>
      <c r="Q19" s="11"/>
      <c r="R19" s="11"/>
      <c r="S19" s="11"/>
      <c r="T19" s="11"/>
      <c r="U19" s="11"/>
      <c r="V19" s="11"/>
      <c r="W19" s="2"/>
      <c r="X19" s="13"/>
      <c r="Y19" s="2"/>
      <c r="Z19" s="2"/>
      <c r="AA19" s="1"/>
      <c r="AB19" s="2"/>
    </row>
    <row r="20" spans="1:34" ht="79.5" x14ac:dyDescent="0.25">
      <c r="A20" s="5" t="s">
        <v>14</v>
      </c>
      <c r="B20" s="15" t="s">
        <v>15</v>
      </c>
      <c r="T20" s="60" t="s">
        <v>60</v>
      </c>
    </row>
    <row r="21" spans="1:34" x14ac:dyDescent="0.25">
      <c r="A21" s="5" t="s">
        <v>31</v>
      </c>
      <c r="B21" s="15" t="s">
        <v>32</v>
      </c>
    </row>
    <row r="22" spans="1:34" x14ac:dyDescent="0.25">
      <c r="A22" s="5" t="s">
        <v>36</v>
      </c>
      <c r="B22" s="29" t="s">
        <v>37</v>
      </c>
    </row>
    <row r="23" spans="1:34" ht="21" x14ac:dyDescent="0.35">
      <c r="C23" s="31" t="s">
        <v>43</v>
      </c>
      <c r="J23" s="32"/>
    </row>
    <row r="24" spans="1:34" x14ac:dyDescent="0.25">
      <c r="B24" s="6" t="s">
        <v>47</v>
      </c>
      <c r="C24" s="15" t="s">
        <v>44</v>
      </c>
    </row>
    <row r="25" spans="1:34" x14ac:dyDescent="0.25">
      <c r="B25" s="6" t="s">
        <v>47</v>
      </c>
      <c r="C25" s="15" t="s">
        <v>45</v>
      </c>
    </row>
    <row r="26" spans="1:34" x14ac:dyDescent="0.25">
      <c r="B26" s="6" t="s">
        <v>47</v>
      </c>
      <c r="C26" s="15" t="s">
        <v>46</v>
      </c>
    </row>
    <row r="27" spans="1:34" x14ac:dyDescent="0.25">
      <c r="B27" s="6" t="s">
        <v>47</v>
      </c>
      <c r="C27" s="6" t="s">
        <v>48</v>
      </c>
    </row>
    <row r="29" spans="1:34" x14ac:dyDescent="0.25">
      <c r="B29" s="6" t="s">
        <v>47</v>
      </c>
      <c r="C29" s="6" t="s">
        <v>49</v>
      </c>
    </row>
    <row r="30" spans="1:34" x14ac:dyDescent="0.25">
      <c r="B30" s="6" t="s">
        <v>47</v>
      </c>
      <c r="C30" s="6" t="s">
        <v>50</v>
      </c>
    </row>
    <row r="31" spans="1:34" x14ac:dyDescent="0.25">
      <c r="B31" s="6" t="s">
        <v>47</v>
      </c>
      <c r="C31" s="15" t="s">
        <v>51</v>
      </c>
    </row>
    <row r="32" spans="1:34" x14ac:dyDescent="0.25">
      <c r="B32" s="6" t="s">
        <v>47</v>
      </c>
      <c r="C32" s="15" t="s">
        <v>51</v>
      </c>
    </row>
    <row r="35" spans="1:12" x14ac:dyDescent="0.25">
      <c r="A35" s="74" t="s">
        <v>69</v>
      </c>
    </row>
    <row r="36" spans="1:12" ht="15.75" thickBot="1" x14ac:dyDescent="0.3">
      <c r="A36" s="74"/>
    </row>
    <row r="37" spans="1:12" ht="15.75" thickBot="1" x14ac:dyDescent="0.3">
      <c r="B37" s="102" t="s">
        <v>17</v>
      </c>
      <c r="C37" s="103"/>
      <c r="D37" s="104"/>
      <c r="F37" s="105" t="e">
        <f>#REF!</f>
        <v>#REF!</v>
      </c>
      <c r="G37" s="101"/>
      <c r="H37" s="106"/>
    </row>
    <row r="38" spans="1:12" ht="75" x14ac:dyDescent="0.25">
      <c r="A38" s="78" t="str">
        <f>A6</f>
        <v>Class</v>
      </c>
      <c r="B38" s="84" t="str">
        <f>X5</f>
        <v>Actual 
calculated</v>
      </c>
      <c r="C38" s="84" t="str">
        <f t="shared" ref="C38" si="23">Z5</f>
        <v>Spec</v>
      </c>
      <c r="D38" s="84" t="str">
        <f>Y5</f>
        <v>Simulations</v>
      </c>
      <c r="E38" s="79" t="s">
        <v>73</v>
      </c>
      <c r="F38" s="83" t="s">
        <v>72</v>
      </c>
      <c r="G38" s="83" t="e">
        <f>#REF!</f>
        <v>#REF!</v>
      </c>
      <c r="H38" s="83" t="e">
        <f>#REF!</f>
        <v>#REF!</v>
      </c>
      <c r="I38" s="82" t="e">
        <f>#REF!</f>
        <v>#REF!</v>
      </c>
      <c r="J38" s="82" t="s">
        <v>74</v>
      </c>
      <c r="K38" s="12"/>
      <c r="L38" s="80" t="str">
        <f>AG6</f>
        <v>To change
 Icon-2P_unb in D3.0</v>
      </c>
    </row>
    <row r="39" spans="1:12" x14ac:dyDescent="0.25">
      <c r="A39" s="78"/>
      <c r="B39" s="78" t="s">
        <v>75</v>
      </c>
      <c r="C39" s="78" t="s">
        <v>75</v>
      </c>
      <c r="D39" s="78" t="s">
        <v>75</v>
      </c>
      <c r="E39" s="79"/>
      <c r="F39" s="78" t="s">
        <v>75</v>
      </c>
      <c r="G39" s="79" t="s">
        <v>76</v>
      </c>
      <c r="H39" s="79" t="s">
        <v>76</v>
      </c>
      <c r="I39" s="79" t="s">
        <v>76</v>
      </c>
      <c r="J39" s="78" t="s">
        <v>75</v>
      </c>
      <c r="K39" s="12"/>
      <c r="L39" s="79" t="s">
        <v>76</v>
      </c>
    </row>
    <row r="40" spans="1:12" x14ac:dyDescent="0.25">
      <c r="A40" s="96" t="s">
        <v>71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8.75" x14ac:dyDescent="0.3">
      <c r="A41" s="2">
        <f>A8</f>
        <v>5</v>
      </c>
      <c r="B41" s="22">
        <f>X8</f>
        <v>0.54924856290294521</v>
      </c>
      <c r="C41" s="81">
        <f t="shared" ref="C41" si="24">Z8</f>
        <v>0.55000000000000004</v>
      </c>
      <c r="D41" s="22">
        <f>Y8</f>
        <v>0.54700000000000004</v>
      </c>
      <c r="E41" s="2" t="str">
        <f>AA8</f>
        <v>PASS</v>
      </c>
      <c r="F41" s="22">
        <f>AB8</f>
        <v>-7.5143709705483008E-4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2">
        <f>AD8</f>
        <v>0.55424856290294522</v>
      </c>
      <c r="K41" s="26" t="str">
        <f t="shared" ref="K41:L44" si="25">AF8</f>
        <v>To change to</v>
      </c>
      <c r="L41" s="77">
        <f t="shared" si="25"/>
        <v>554</v>
      </c>
    </row>
    <row r="42" spans="1:12" ht="18.75" x14ac:dyDescent="0.3">
      <c r="A42" s="2">
        <f>A9</f>
        <v>6</v>
      </c>
      <c r="B42" s="22">
        <f t="shared" ref="B42:B44" si="26">X9</f>
        <v>0.68067281233912258</v>
      </c>
      <c r="C42" s="81">
        <f t="shared" ref="C42:C44" si="27">Z9</f>
        <v>0.68200000000000005</v>
      </c>
      <c r="D42" s="22">
        <f>Y9</f>
        <v>0.67900000000000005</v>
      </c>
      <c r="E42" s="2" t="str">
        <f t="shared" ref="E42:E44" si="28">AA9</f>
        <v>PASS</v>
      </c>
      <c r="F42" s="22">
        <f t="shared" ref="F42:F44" si="29">AB9</f>
        <v>-1.3271876608774713E-3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2">
        <f>AD9</f>
        <v>0.68567281233912258</v>
      </c>
      <c r="K42" s="26" t="str">
        <f t="shared" si="25"/>
        <v>To change to</v>
      </c>
      <c r="L42" s="77">
        <f t="shared" si="25"/>
        <v>686</v>
      </c>
    </row>
    <row r="43" spans="1:12" ht="18.75" x14ac:dyDescent="0.3">
      <c r="A43" s="2">
        <f>A10</f>
        <v>7</v>
      </c>
      <c r="B43" s="22">
        <f t="shared" si="26"/>
        <v>0.78341724221078213</v>
      </c>
      <c r="C43" s="81">
        <f t="shared" si="27"/>
        <v>0.78100000000000003</v>
      </c>
      <c r="D43" s="22">
        <f>Y10</f>
        <v>0.78600000000000003</v>
      </c>
      <c r="E43" s="2" t="str">
        <f t="shared" si="28"/>
        <v>FAIL</v>
      </c>
      <c r="F43" s="22">
        <f t="shared" si="29"/>
        <v>5.0000000000000044E-3</v>
      </c>
      <c r="G43" s="24" t="e">
        <f>#REF!</f>
        <v>#REF!</v>
      </c>
      <c r="H43" s="24" t="e">
        <f>#REF!</f>
        <v>#REF!</v>
      </c>
      <c r="I43" s="24" t="e">
        <f>#REF!</f>
        <v>#REF!</v>
      </c>
      <c r="J43" s="22">
        <f>AD10</f>
        <v>0.79100000000000004</v>
      </c>
      <c r="K43" s="26" t="str">
        <f t="shared" si="25"/>
        <v>To change to</v>
      </c>
      <c r="L43" s="77">
        <f t="shared" si="25"/>
        <v>793</v>
      </c>
    </row>
    <row r="44" spans="1:12" x14ac:dyDescent="0.25">
      <c r="A44" s="2">
        <f>A11</f>
        <v>8</v>
      </c>
      <c r="B44" s="22">
        <f t="shared" si="26"/>
        <v>0.88913716547063326</v>
      </c>
      <c r="C44" s="81">
        <f t="shared" si="27"/>
        <v>0.93200000000000005</v>
      </c>
      <c r="D44" s="22">
        <f>Y11</f>
        <v>0.86599999999999999</v>
      </c>
      <c r="E44" s="2" t="str">
        <f t="shared" si="28"/>
        <v>PASS</v>
      </c>
      <c r="F44" s="22">
        <f t="shared" si="29"/>
        <v>-4.2862834529366789E-2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2">
        <f>AD11</f>
        <v>0.89413716547063327</v>
      </c>
      <c r="K44" s="26" t="str">
        <f t="shared" si="25"/>
        <v>No change</v>
      </c>
      <c r="L44" s="76">
        <f t="shared" si="25"/>
        <v>932</v>
      </c>
    </row>
    <row r="45" spans="1:12" x14ac:dyDescent="0.25">
      <c r="A45" s="98" t="s">
        <v>70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00"/>
    </row>
    <row r="46" spans="1:12" x14ac:dyDescent="0.25">
      <c r="A46" s="2">
        <f>A15</f>
        <v>5</v>
      </c>
      <c r="B46" s="22">
        <f>X15</f>
        <v>0.48369239529491664</v>
      </c>
      <c r="C46" s="81">
        <f>Z15</f>
        <v>0.55000000000000004</v>
      </c>
      <c r="D46" s="22">
        <f>Y15</f>
        <v>0.48299999999999998</v>
      </c>
      <c r="E46" s="2" t="str">
        <f>AA15</f>
        <v>PASS</v>
      </c>
      <c r="F46" s="22">
        <f>AB15</f>
        <v>-6.6307604705083401E-2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2">
        <f>AD15</f>
        <v>0.48869239529491665</v>
      </c>
      <c r="K46" s="22" t="str">
        <f t="shared" ref="K46:L49" si="30">AF15</f>
        <v>No change</v>
      </c>
      <c r="L46" s="76" t="str">
        <f t="shared" si="30"/>
        <v>no change</v>
      </c>
    </row>
    <row r="47" spans="1:12" x14ac:dyDescent="0.25">
      <c r="A47" s="2">
        <f>A16</f>
        <v>6</v>
      </c>
      <c r="B47" s="22">
        <f t="shared" ref="B47:B49" si="31">X16</f>
        <v>0.63913977236788333</v>
      </c>
      <c r="C47" s="81">
        <f>Z16</f>
        <v>0.68200000000000005</v>
      </c>
      <c r="D47" s="22">
        <f>Y16</f>
        <v>0.63900000000000001</v>
      </c>
      <c r="E47" s="2" t="str">
        <f t="shared" ref="E47:F47" si="32">AA16</f>
        <v>PASS</v>
      </c>
      <c r="F47" s="22">
        <f t="shared" si="32"/>
        <v>-4.2860227632116721E-2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2">
        <f>AD16</f>
        <v>0.64413977236788333</v>
      </c>
      <c r="K47" s="22" t="str">
        <f t="shared" si="30"/>
        <v>No change</v>
      </c>
      <c r="L47" s="76" t="str">
        <f t="shared" si="30"/>
        <v>no change</v>
      </c>
    </row>
    <row r="48" spans="1:12" x14ac:dyDescent="0.25">
      <c r="A48" s="2">
        <f>A17</f>
        <v>7</v>
      </c>
      <c r="B48" s="22">
        <f t="shared" si="31"/>
        <v>0.78164270424036164</v>
      </c>
      <c r="C48" s="81">
        <f>Z17</f>
        <v>0.78100000000000003</v>
      </c>
      <c r="D48" s="22">
        <f>Y17</f>
        <v>0.76400000000000001</v>
      </c>
      <c r="E48" s="2" t="str">
        <f t="shared" ref="E48:F48" si="33">AA17</f>
        <v>FAIL</v>
      </c>
      <c r="F48" s="22">
        <f t="shared" si="33"/>
        <v>6.4270424036161344E-4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2">
        <f>AD17</f>
        <v>0.78664270424036165</v>
      </c>
      <c r="K48" s="22" t="str">
        <f t="shared" si="30"/>
        <v>To change to</v>
      </c>
      <c r="L48" s="76">
        <f t="shared" si="30"/>
        <v>788</v>
      </c>
    </row>
    <row r="49" spans="1:12" ht="18.75" x14ac:dyDescent="0.3">
      <c r="A49" s="2">
        <f>A18</f>
        <v>8</v>
      </c>
      <c r="B49" s="22">
        <f t="shared" si="31"/>
        <v>0.93002973722963422</v>
      </c>
      <c r="C49" s="81">
        <f>Z18</f>
        <v>0.93200000000000005</v>
      </c>
      <c r="D49" s="22">
        <f>Y18</f>
        <v>0.91200000000000003</v>
      </c>
      <c r="E49" s="2" t="str">
        <f t="shared" ref="E49:F49" si="34">AA18</f>
        <v>PASS</v>
      </c>
      <c r="F49" s="22">
        <f t="shared" si="34"/>
        <v>-1.9702627703658271E-3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2">
        <f>AD18</f>
        <v>0.93502973722963423</v>
      </c>
      <c r="K49" s="22" t="str">
        <f t="shared" si="30"/>
        <v>To change to</v>
      </c>
      <c r="L49" s="77">
        <f t="shared" si="30"/>
        <v>935</v>
      </c>
    </row>
    <row r="51" spans="1:12" x14ac:dyDescent="0.25">
      <c r="J51" s="75"/>
    </row>
    <row r="52" spans="1:12" x14ac:dyDescent="0.25">
      <c r="J52" s="75"/>
    </row>
    <row r="53" spans="1:12" x14ac:dyDescent="0.25">
      <c r="A53" s="2" t="str">
        <f>A38</f>
        <v>Class</v>
      </c>
      <c r="B53" s="2" t="s">
        <v>77</v>
      </c>
      <c r="C53" s="2"/>
      <c r="D53" s="2" t="s">
        <v>78</v>
      </c>
      <c r="J53" s="75"/>
    </row>
    <row r="54" spans="1:12" x14ac:dyDescent="0.25">
      <c r="A54" s="2">
        <f>A41</f>
        <v>5</v>
      </c>
      <c r="B54" s="22">
        <f>C41</f>
        <v>0.55000000000000004</v>
      </c>
      <c r="C54" s="2"/>
      <c r="D54" s="76">
        <f>L41</f>
        <v>554</v>
      </c>
      <c r="J54" s="75"/>
    </row>
    <row r="55" spans="1:12" x14ac:dyDescent="0.25">
      <c r="A55" s="2">
        <f t="shared" ref="A55:A57" si="35">A42</f>
        <v>6</v>
      </c>
      <c r="B55" s="22">
        <f t="shared" ref="B55:B57" si="36">C42</f>
        <v>0.68200000000000005</v>
      </c>
      <c r="C55" s="2"/>
      <c r="D55" s="76">
        <f t="shared" ref="D55:D56" si="37">L42</f>
        <v>686</v>
      </c>
    </row>
    <row r="56" spans="1:12" x14ac:dyDescent="0.25">
      <c r="A56" s="2">
        <f t="shared" si="35"/>
        <v>7</v>
      </c>
      <c r="B56" s="22">
        <f t="shared" si="36"/>
        <v>0.78100000000000003</v>
      </c>
      <c r="C56" s="2"/>
      <c r="D56" s="76">
        <f t="shared" si="37"/>
        <v>793</v>
      </c>
    </row>
    <row r="57" spans="1:12" x14ac:dyDescent="0.25">
      <c r="A57" s="2">
        <f t="shared" si="35"/>
        <v>8</v>
      </c>
      <c r="B57" s="22">
        <f t="shared" si="36"/>
        <v>0.93200000000000005</v>
      </c>
      <c r="C57" s="2"/>
      <c r="D57" s="76">
        <f>L49</f>
        <v>935</v>
      </c>
    </row>
  </sheetData>
  <mergeCells count="6">
    <mergeCell ref="B37:D37"/>
    <mergeCell ref="F37:H37"/>
    <mergeCell ref="X6:Z6"/>
    <mergeCell ref="X14:Z14"/>
    <mergeCell ref="A40:L40"/>
    <mergeCell ref="A45:L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topLeftCell="M7" workbookViewId="0">
      <selection activeCell="W22" sqref="W22"/>
    </sheetView>
  </sheetViews>
  <sheetFormatPr defaultRowHeight="15" x14ac:dyDescent="0.25"/>
  <cols>
    <col min="1" max="1" width="12.125" style="5" customWidth="1"/>
    <col min="2" max="2" width="13.625" style="6" customWidth="1"/>
    <col min="3" max="3" width="10.625" style="6" customWidth="1"/>
    <col min="4" max="4" width="7.5" bestFit="1" customWidth="1"/>
    <col min="5" max="5" width="11.875" style="6" customWidth="1"/>
    <col min="6" max="6" width="10.625" style="6" customWidth="1"/>
    <col min="7" max="7" width="12.625" style="6" bestFit="1" customWidth="1"/>
    <col min="8" max="8" width="8.125" style="6" bestFit="1" customWidth="1"/>
    <col min="9" max="9" width="4.75" style="6" bestFit="1" customWidth="1"/>
    <col min="10" max="10" width="5.625" style="6" bestFit="1" customWidth="1"/>
    <col min="11" max="11" width="8.625" style="6" bestFit="1" customWidth="1"/>
    <col min="12" max="12" width="4.75" bestFit="1" customWidth="1"/>
    <col min="13" max="13" width="10.375" bestFit="1" customWidth="1"/>
    <col min="14" max="14" width="11.375" bestFit="1" customWidth="1"/>
    <col min="15" max="15" width="16.75" bestFit="1" customWidth="1"/>
    <col min="16" max="16" width="4.875" bestFit="1" customWidth="1"/>
    <col min="17" max="17" width="14.625" style="6" bestFit="1" customWidth="1"/>
    <col min="18" max="18" width="9.625" style="6" bestFit="1" customWidth="1"/>
    <col min="19" max="19" width="8.75" customWidth="1"/>
    <col min="20" max="20" width="8.75" style="6" bestFit="1" customWidth="1"/>
    <col min="21" max="21" width="15.875" style="132" customWidth="1"/>
    <col min="22" max="22" width="2.125" customWidth="1"/>
    <col min="23" max="23" width="16" customWidth="1"/>
    <col min="24" max="24" width="9.25" bestFit="1" customWidth="1"/>
    <col min="25" max="26" width="8.5" bestFit="1" customWidth="1"/>
    <col min="27" max="27" width="9.25" bestFit="1" customWidth="1"/>
  </cols>
  <sheetData>
    <row r="1" spans="1:27" ht="15.75" thickBot="1" x14ac:dyDescent="0.3">
      <c r="A1" s="87" t="s">
        <v>4</v>
      </c>
      <c r="C1" s="113" t="s">
        <v>21</v>
      </c>
      <c r="D1" s="121">
        <v>7.0000000000000007E-2</v>
      </c>
      <c r="E1" s="118" t="s">
        <v>25</v>
      </c>
      <c r="F1" s="114">
        <f>D1*D2/(D1+D2)</f>
        <v>4.11764705882353E-2</v>
      </c>
      <c r="K1" s="32" t="s">
        <v>88</v>
      </c>
    </row>
    <row r="2" spans="1:27" ht="60.75" thickBot="1" x14ac:dyDescent="0.3">
      <c r="A2" s="109" t="s">
        <v>87</v>
      </c>
      <c r="B2" s="111">
        <v>0.70799999999999996</v>
      </c>
      <c r="C2" s="115" t="s">
        <v>22</v>
      </c>
      <c r="D2" s="122">
        <v>0.1</v>
      </c>
      <c r="E2" s="65" t="s">
        <v>26</v>
      </c>
      <c r="F2" s="116">
        <f>D3*D4/(D3+D4)</f>
        <v>0.12373737373737374</v>
      </c>
      <c r="G2" s="43"/>
      <c r="H2" s="110"/>
      <c r="K2" s="32"/>
    </row>
    <row r="3" spans="1:27" ht="15.75" thickBot="1" x14ac:dyDescent="0.3">
      <c r="C3" s="115" t="s">
        <v>23</v>
      </c>
      <c r="D3" s="122">
        <f>D4*0.98</f>
        <v>0.245</v>
      </c>
      <c r="E3" s="119" t="s">
        <v>20</v>
      </c>
      <c r="F3" s="117">
        <f>F1+F2</f>
        <v>0.16491384432560904</v>
      </c>
      <c r="G3" s="44"/>
      <c r="H3" s="110"/>
    </row>
    <row r="4" spans="1:27" ht="15.75" thickBot="1" x14ac:dyDescent="0.3">
      <c r="C4" s="123" t="s">
        <v>24</v>
      </c>
      <c r="D4" s="124">
        <v>0.25</v>
      </c>
      <c r="E4" s="120"/>
      <c r="F4" s="112"/>
      <c r="G4" s="66"/>
      <c r="H4" s="110"/>
      <c r="U4" s="133">
        <v>1</v>
      </c>
      <c r="V4" s="127"/>
    </row>
    <row r="5" spans="1:27" ht="15.75" customHeight="1" x14ac:dyDescent="0.25">
      <c r="E5" s="88"/>
      <c r="F5" s="89"/>
      <c r="J5" s="21"/>
      <c r="N5" s="20"/>
      <c r="O5" s="20"/>
      <c r="P5" s="20"/>
      <c r="Q5" s="91" t="s">
        <v>68</v>
      </c>
      <c r="R5" s="23" t="s">
        <v>67</v>
      </c>
      <c r="S5" s="23" t="s">
        <v>18</v>
      </c>
      <c r="U5" s="134"/>
      <c r="V5" s="127"/>
    </row>
    <row r="6" spans="1:27" ht="60" x14ac:dyDescent="0.25">
      <c r="A6" s="2" t="s">
        <v>6</v>
      </c>
      <c r="B6" s="2" t="s">
        <v>4</v>
      </c>
      <c r="C6" s="2" t="s">
        <v>5</v>
      </c>
      <c r="D6" s="8" t="s">
        <v>11</v>
      </c>
      <c r="E6" s="8" t="s">
        <v>79</v>
      </c>
      <c r="F6" s="2" t="s">
        <v>80</v>
      </c>
      <c r="G6" s="2" t="s">
        <v>7</v>
      </c>
      <c r="H6" s="2" t="s">
        <v>8</v>
      </c>
      <c r="I6" s="2" t="s">
        <v>83</v>
      </c>
      <c r="J6" s="33" t="s">
        <v>82</v>
      </c>
      <c r="K6" s="2" t="s">
        <v>9</v>
      </c>
      <c r="L6" s="2" t="s">
        <v>10</v>
      </c>
      <c r="M6" s="17" t="s">
        <v>56</v>
      </c>
      <c r="N6" s="57" t="s">
        <v>58</v>
      </c>
      <c r="O6" s="27" t="s">
        <v>41</v>
      </c>
      <c r="P6" s="90" t="s">
        <v>29</v>
      </c>
      <c r="Q6" s="129" t="s">
        <v>17</v>
      </c>
      <c r="R6" s="130"/>
      <c r="S6" s="131"/>
      <c r="T6" s="8" t="s">
        <v>19</v>
      </c>
      <c r="U6" s="135" t="s">
        <v>90</v>
      </c>
      <c r="V6" s="127"/>
      <c r="W6" s="61" t="s">
        <v>89</v>
      </c>
      <c r="Y6" s="61" t="s">
        <v>61</v>
      </c>
      <c r="Z6" s="61" t="s">
        <v>61</v>
      </c>
    </row>
    <row r="7" spans="1:27" ht="27" x14ac:dyDescent="0.3">
      <c r="A7" s="2"/>
      <c r="B7" s="2"/>
      <c r="C7" s="2"/>
      <c r="D7" s="1"/>
      <c r="E7" s="2"/>
      <c r="F7" s="2"/>
      <c r="G7" s="2" t="s">
        <v>12</v>
      </c>
      <c r="H7" s="2" t="s">
        <v>13</v>
      </c>
      <c r="I7" s="27"/>
      <c r="J7" s="8"/>
      <c r="K7" s="2"/>
      <c r="L7" s="2" t="s">
        <v>36</v>
      </c>
      <c r="M7" s="30" t="s">
        <v>40</v>
      </c>
      <c r="N7" s="59" t="s">
        <v>59</v>
      </c>
      <c r="O7" s="30" t="s">
        <v>42</v>
      </c>
      <c r="P7" s="62"/>
      <c r="Q7" s="24"/>
      <c r="R7" s="24"/>
      <c r="S7" s="24"/>
      <c r="T7" s="2"/>
      <c r="U7" s="136"/>
      <c r="V7" s="127"/>
      <c r="W7" s="125"/>
      <c r="X7" s="1"/>
      <c r="Y7" s="92" t="s">
        <v>85</v>
      </c>
      <c r="Z7" s="92" t="s">
        <v>86</v>
      </c>
      <c r="AA7" s="93" t="s">
        <v>84</v>
      </c>
    </row>
    <row r="8" spans="1:27" s="54" customFormat="1" ht="18.75" x14ac:dyDescent="0.3">
      <c r="A8" s="16">
        <v>5</v>
      </c>
      <c r="B8" s="16">
        <f>$U$4</f>
        <v>1</v>
      </c>
      <c r="C8" s="16">
        <f>2.17*B8+0.125</f>
        <v>2.2949999999999999</v>
      </c>
      <c r="D8" s="50">
        <f>B8*C8/(B8+C8)</f>
        <v>0.69650986342943855</v>
      </c>
      <c r="E8" s="16">
        <v>0.14499999999999999</v>
      </c>
      <c r="F8" s="53">
        <f>(-0.03*E8+1.324)*E8</f>
        <v>0.19134925</v>
      </c>
      <c r="G8" s="16">
        <f>B8+E8</f>
        <v>1.145</v>
      </c>
      <c r="H8" s="50">
        <f>C8+F8</f>
        <v>2.48634925</v>
      </c>
      <c r="I8" s="50">
        <f>G8*H8/(H8+G8)</f>
        <v>0.78397028081229037</v>
      </c>
      <c r="J8" s="16">
        <v>50</v>
      </c>
      <c r="K8" s="16">
        <v>40</v>
      </c>
      <c r="L8" s="50">
        <f>(J8-(J8^2-4*I8*K8)^0.5)/(2*I8)</f>
        <v>0.81029474612636299</v>
      </c>
      <c r="M8" s="50">
        <f>K8/L8</f>
        <v>49.364753000338624</v>
      </c>
      <c r="N8" s="52">
        <v>44.3</v>
      </c>
      <c r="O8" s="50">
        <f>K8-L8^2*D8</f>
        <v>39.542687242488022</v>
      </c>
      <c r="P8" s="63">
        <f>(H8-G8)/(H8+G8)</f>
        <v>0.36938040316557269</v>
      </c>
      <c r="Q8" s="52">
        <f>L8*(1+P8)/2</f>
        <v>0.5548008730667322</v>
      </c>
      <c r="R8" s="52">
        <v>0.54700000000000004</v>
      </c>
      <c r="S8" s="52">
        <v>0.55000000000000004</v>
      </c>
      <c r="T8" s="16" t="str">
        <f>IF(Q8&gt;S8,"FAIL","PASS")</f>
        <v>FAIL</v>
      </c>
      <c r="U8" s="137">
        <f>MAX(Q8,R8)-S8</f>
        <v>4.8008730667321586E-3</v>
      </c>
      <c r="V8" s="128"/>
      <c r="W8" s="126">
        <f>0.005+U8+S8</f>
        <v>0.55980087306673221</v>
      </c>
      <c r="X8" s="73" t="s">
        <v>65</v>
      </c>
      <c r="Y8" s="94">
        <f>W8</f>
        <v>0.55980087306673221</v>
      </c>
      <c r="Z8" s="72">
        <v>0.55400000000000005</v>
      </c>
      <c r="AA8" s="95">
        <f>MAX(Y8:Z9)</f>
        <v>0.55980087306673221</v>
      </c>
    </row>
    <row r="9" spans="1:27" ht="18.75" x14ac:dyDescent="0.3">
      <c r="A9" s="16">
        <v>5</v>
      </c>
      <c r="B9" s="16">
        <f>$U$4</f>
        <v>1</v>
      </c>
      <c r="C9" s="16">
        <f>2.17*B9+0.125</f>
        <v>2.2949999999999999</v>
      </c>
      <c r="D9" s="50">
        <f>B9*C9/(B9+C9)</f>
        <v>0.69650986342943855</v>
      </c>
      <c r="E9" s="2">
        <v>5.47</v>
      </c>
      <c r="F9" s="53">
        <f>(-0.03*E9+1.324)*E9</f>
        <v>6.344653000000001</v>
      </c>
      <c r="G9" s="16">
        <f>B9+E9</f>
        <v>6.47</v>
      </c>
      <c r="H9" s="50">
        <f>C9+F9</f>
        <v>8.6396530000000009</v>
      </c>
      <c r="I9" s="50">
        <f>G9*H9/(H9+G9)</f>
        <v>3.6995260519880899</v>
      </c>
      <c r="J9" s="16">
        <v>50</v>
      </c>
      <c r="K9" s="16">
        <v>40</v>
      </c>
      <c r="L9" s="50">
        <f>(J9-(J9^2-4*I9*K9)^0.5)/(2*I9)</f>
        <v>0.85395704214552282</v>
      </c>
      <c r="M9" s="50">
        <f>K9/L9</f>
        <v>46.84076367530394</v>
      </c>
      <c r="N9" s="52">
        <v>44.3</v>
      </c>
      <c r="O9" s="50">
        <f>K9-L9^2*D9</f>
        <v>39.492075315490233</v>
      </c>
      <c r="P9" s="63">
        <f>(H9-G9)/(H9+G9)</f>
        <v>0.14359383369029063</v>
      </c>
      <c r="Q9" s="52">
        <f>L9*(1+P9)/2</f>
        <v>0.48829000381700977</v>
      </c>
      <c r="R9" s="52">
        <v>0.54700000000000004</v>
      </c>
      <c r="S9" s="52">
        <v>0.55000000000000004</v>
      </c>
      <c r="T9" s="16" t="str">
        <f>IF(Q9&gt;S9,"FAIL","PASS")</f>
        <v>PASS</v>
      </c>
      <c r="U9" s="137">
        <f>MAX(Q9,R9)-S9</f>
        <v>-3.0000000000000027E-3</v>
      </c>
      <c r="V9" s="127"/>
      <c r="W9" s="126">
        <f>0.005+U9+S9</f>
        <v>0.55200000000000005</v>
      </c>
      <c r="X9" s="73" t="s">
        <v>65</v>
      </c>
      <c r="Y9" s="94">
        <f>W9</f>
        <v>0.55200000000000005</v>
      </c>
      <c r="Z9" s="72"/>
      <c r="AA9" s="93"/>
    </row>
    <row r="10" spans="1:27" ht="18.75" x14ac:dyDescent="0.3">
      <c r="A10" s="85"/>
      <c r="B10" s="85"/>
      <c r="C10" s="85"/>
      <c r="D10" s="38"/>
      <c r="E10" s="85"/>
      <c r="F10" s="85"/>
      <c r="G10" s="85"/>
      <c r="H10" s="38"/>
      <c r="I10" s="85"/>
      <c r="J10" s="85"/>
      <c r="K10" s="85"/>
      <c r="L10" s="13"/>
      <c r="M10" s="13"/>
      <c r="N10" s="13"/>
      <c r="O10" s="13"/>
      <c r="P10" s="13"/>
      <c r="Q10" s="85"/>
      <c r="R10" s="85"/>
      <c r="S10" s="85"/>
      <c r="T10" s="85"/>
      <c r="U10" s="138"/>
      <c r="V10" s="127"/>
      <c r="W10" s="126"/>
      <c r="AA10" s="93"/>
    </row>
    <row r="11" spans="1:27" s="54" customFormat="1" ht="19.5" customHeight="1" x14ac:dyDescent="0.3">
      <c r="A11" s="16">
        <v>6</v>
      </c>
      <c r="B11" s="16">
        <f>$U$4</f>
        <v>1</v>
      </c>
      <c r="C11" s="16">
        <f>1.988*B11+0.105</f>
        <v>2.093</v>
      </c>
      <c r="D11" s="50">
        <f>B11*C11/(B11+C11)</f>
        <v>0.67668929841577752</v>
      </c>
      <c r="E11" s="16">
        <v>0.14499999999999999</v>
      </c>
      <c r="F11" s="53">
        <f>(-0.03*E11+1.324)*E11</f>
        <v>0.19134925</v>
      </c>
      <c r="G11" s="16">
        <f>B11+E11</f>
        <v>1.145</v>
      </c>
      <c r="H11" s="50">
        <f>C11+F11</f>
        <v>2.28434925</v>
      </c>
      <c r="I11" s="50">
        <f>G11*H11/(H11+G11)</f>
        <v>0.76270443765679452</v>
      </c>
      <c r="J11" s="16">
        <v>50</v>
      </c>
      <c r="K11" s="16">
        <v>51</v>
      </c>
      <c r="L11" s="50">
        <f>(J11-(J11^2-4*I11*K11)^0.5)/(2*I11)</f>
        <v>1.036384301097045</v>
      </c>
      <c r="M11" s="50">
        <f>K11/L11</f>
        <v>49.209545094435448</v>
      </c>
      <c r="N11" s="52">
        <v>42.5</v>
      </c>
      <c r="O11" s="50">
        <f>K11-L11^2*D11</f>
        <v>50.273173154173961</v>
      </c>
      <c r="P11" s="63">
        <f>(H11-G11)/(H11+G11)</f>
        <v>0.33223482560138778</v>
      </c>
      <c r="Q11" s="52">
        <f>L11*(1+P11)/2</f>
        <v>0.690353629314019</v>
      </c>
      <c r="R11" s="52">
        <v>0.68200000000000005</v>
      </c>
      <c r="S11" s="52">
        <v>0.68200000000000005</v>
      </c>
      <c r="T11" s="16" t="str">
        <f>IF(Q11&gt;S11,"FAIL","PASS")</f>
        <v>FAIL</v>
      </c>
      <c r="U11" s="137">
        <f>MAX(Q11,R11)-S11</f>
        <v>8.353629314018951E-3</v>
      </c>
      <c r="V11" s="128"/>
      <c r="W11" s="126">
        <f>0.005+U11+S11</f>
        <v>0.69535362931401901</v>
      </c>
      <c r="X11" s="73" t="s">
        <v>65</v>
      </c>
      <c r="Y11" s="94">
        <f>W11</f>
        <v>0.69535362931401901</v>
      </c>
      <c r="Z11" s="72">
        <v>0.68600000000000005</v>
      </c>
      <c r="AA11" s="95">
        <f>MAX(Y11:Z12)</f>
        <v>0.69535362931401901</v>
      </c>
    </row>
    <row r="12" spans="1:27" s="54" customFormat="1" ht="19.5" customHeight="1" x14ac:dyDescent="0.3">
      <c r="A12" s="16">
        <v>6</v>
      </c>
      <c r="B12" s="16">
        <f>$U$4</f>
        <v>1</v>
      </c>
      <c r="C12" s="16">
        <f>1.988*B12+0.105</f>
        <v>2.093</v>
      </c>
      <c r="D12" s="50">
        <f>B12*C12/(B12+C12)</f>
        <v>0.67668929841577752</v>
      </c>
      <c r="E12" s="2">
        <v>5.47</v>
      </c>
      <c r="F12" s="53">
        <f>(-0.03*E12+1.324)*E12</f>
        <v>6.344653000000001</v>
      </c>
      <c r="G12" s="16">
        <f>B12+E12</f>
        <v>6.47</v>
      </c>
      <c r="H12" s="50">
        <f>C12+F12</f>
        <v>8.437653000000001</v>
      </c>
      <c r="I12" s="50">
        <f>G12*H12/(H12+G12)</f>
        <v>3.6619858880536063</v>
      </c>
      <c r="J12" s="16">
        <v>50</v>
      </c>
      <c r="K12" s="16">
        <v>51</v>
      </c>
      <c r="L12" s="50">
        <f>(J12-(J12^2-4*I12*K12)^0.5)/(2*I12)</f>
        <v>1.1102850011604728</v>
      </c>
      <c r="M12" s="50">
        <f>K12/L12</f>
        <v>45.93415199403276</v>
      </c>
      <c r="N12" s="52">
        <v>42.5</v>
      </c>
      <c r="O12" s="50">
        <f>K12-L12^2*D12</f>
        <v>50.165822917394955</v>
      </c>
      <c r="P12" s="63">
        <f>(H12-G12)/(H12+G12)</f>
        <v>0.13198945534887357</v>
      </c>
      <c r="Q12" s="52">
        <f>L12*(1+P12)/2</f>
        <v>0.62841545687283351</v>
      </c>
      <c r="R12" s="52">
        <v>0.68200000000000005</v>
      </c>
      <c r="S12" s="52">
        <v>0.68200000000000005</v>
      </c>
      <c r="T12" s="16" t="str">
        <f>IF(Q12&gt;S12,"FAIL","PASS")</f>
        <v>PASS</v>
      </c>
      <c r="U12" s="137">
        <f>MAX(Q12,R12)-S12</f>
        <v>0</v>
      </c>
      <c r="V12" s="128"/>
      <c r="W12" s="126">
        <f>0.005+U12+S12</f>
        <v>0.68700000000000006</v>
      </c>
      <c r="X12" s="73" t="s">
        <v>65</v>
      </c>
      <c r="Y12" s="94">
        <f>W12</f>
        <v>0.68700000000000006</v>
      </c>
      <c r="Z12" s="72"/>
      <c r="AA12" s="93"/>
    </row>
    <row r="13" spans="1:27" ht="18.75" x14ac:dyDescent="0.3">
      <c r="A13" s="85"/>
      <c r="B13" s="85"/>
      <c r="C13" s="85"/>
      <c r="D13" s="38"/>
      <c r="E13" s="85"/>
      <c r="F13" s="85"/>
      <c r="G13" s="85"/>
      <c r="H13" s="38"/>
      <c r="I13" s="85"/>
      <c r="J13" s="85"/>
      <c r="K13" s="85"/>
      <c r="L13" s="13"/>
      <c r="M13" s="13"/>
      <c r="N13" s="13"/>
      <c r="O13" s="13"/>
      <c r="P13" s="13"/>
      <c r="Q13" s="85"/>
      <c r="R13" s="85"/>
      <c r="S13" s="85"/>
      <c r="T13" s="85"/>
      <c r="U13" s="138"/>
      <c r="V13" s="127"/>
      <c r="W13" s="126"/>
      <c r="Z13" s="72"/>
      <c r="AA13" s="93"/>
    </row>
    <row r="14" spans="1:27" s="54" customFormat="1" ht="18.75" x14ac:dyDescent="0.3">
      <c r="A14" s="16">
        <v>7</v>
      </c>
      <c r="B14" s="16">
        <f>$U$4</f>
        <v>1</v>
      </c>
      <c r="C14" s="16">
        <f>1.784*B14+0.08</f>
        <v>1.8640000000000001</v>
      </c>
      <c r="D14" s="50">
        <f>B14*C14/(B14+C14)</f>
        <v>0.65083798882681565</v>
      </c>
      <c r="E14" s="16">
        <v>0.14499999999999999</v>
      </c>
      <c r="F14" s="53">
        <f>(-0.03*E14+1.324)*E14</f>
        <v>0.19134925</v>
      </c>
      <c r="G14" s="16">
        <f>B14+E14</f>
        <v>1.145</v>
      </c>
      <c r="H14" s="50">
        <f>C14+F14</f>
        <v>2.0553492499999999</v>
      </c>
      <c r="I14" s="50">
        <f>G14*H14/(H14+G14)</f>
        <v>0.73534939702284063</v>
      </c>
      <c r="J14" s="16">
        <v>52</v>
      </c>
      <c r="K14" s="48">
        <v>62</v>
      </c>
      <c r="L14" s="50">
        <f>(J14-(J14^2-4*I14*K14)^0.5)/(2*I14)</f>
        <v>1.2131188926299565</v>
      </c>
      <c r="M14" s="52">
        <f>I14+L14*H14</f>
        <v>3.2287324031506524</v>
      </c>
      <c r="N14" s="52">
        <v>42.9</v>
      </c>
      <c r="O14" s="50">
        <f>K14-L14^2*D14</f>
        <v>61.042189426525738</v>
      </c>
      <c r="P14" s="63">
        <f>(H14-G14)/(H14+G14)</f>
        <v>0.28445309523640266</v>
      </c>
      <c r="Q14" s="52">
        <f>L14*(1+P14)/2</f>
        <v>0.77909715826415238</v>
      </c>
      <c r="R14" s="52">
        <v>0.78100000000000003</v>
      </c>
      <c r="S14" s="52">
        <v>0.78100000000000003</v>
      </c>
      <c r="T14" s="16" t="str">
        <f>IF(Q14&gt;S14,"FAIL","PASS")</f>
        <v>PASS</v>
      </c>
      <c r="U14" s="137">
        <f>MAX(Q14,R14)-S14</f>
        <v>0</v>
      </c>
      <c r="V14" s="128"/>
      <c r="W14" s="126">
        <f>0.005+U14+S14</f>
        <v>0.78600000000000003</v>
      </c>
      <c r="X14" s="73" t="s">
        <v>65</v>
      </c>
      <c r="Y14" s="94">
        <f>W14</f>
        <v>0.78600000000000003</v>
      </c>
      <c r="Z14" s="72">
        <v>0.79300000000000004</v>
      </c>
      <c r="AA14" s="93">
        <f>MAX(Y14:Z15)</f>
        <v>0.79300000000000004</v>
      </c>
    </row>
    <row r="15" spans="1:27" ht="18.75" x14ac:dyDescent="0.3">
      <c r="A15" s="16">
        <v>7</v>
      </c>
      <c r="B15" s="16">
        <f>$U$4</f>
        <v>1</v>
      </c>
      <c r="C15" s="16">
        <f>1.784*B15+0.08</f>
        <v>1.8640000000000001</v>
      </c>
      <c r="D15" s="50">
        <f>B15*C15/(B15+C15)</f>
        <v>0.65083798882681565</v>
      </c>
      <c r="E15" s="2">
        <v>5.47</v>
      </c>
      <c r="F15" s="53">
        <f>(-0.03*E15+1.324)*E15</f>
        <v>6.344653000000001</v>
      </c>
      <c r="G15" s="16">
        <f>B15+E15</f>
        <v>6.47</v>
      </c>
      <c r="H15" s="50">
        <f>C15+F15</f>
        <v>8.2086530000000018</v>
      </c>
      <c r="I15" s="50">
        <f>G15*H15/(H15+G15)</f>
        <v>3.6181783784929045</v>
      </c>
      <c r="J15" s="16">
        <v>52</v>
      </c>
      <c r="K15" s="48">
        <v>62</v>
      </c>
      <c r="L15" s="50">
        <f>(J15-(J15^2-4*I15*K15)^0.5)/(2*I15)</f>
        <v>1.3120971553809564</v>
      </c>
      <c r="M15" s="52">
        <f>I15+L15*H15</f>
        <v>14.38872862930226</v>
      </c>
      <c r="N15" s="52">
        <v>42.9</v>
      </c>
      <c r="O15" s="50">
        <f>K15-L15^2*D15</f>
        <v>60.879518004966478</v>
      </c>
      <c r="P15" s="63">
        <f>(H15-G15)/(H15+G15)</f>
        <v>0.11844772132701835</v>
      </c>
      <c r="Q15" s="52">
        <f>L15*(1+P15)/2</f>
        <v>0.7337560367977467</v>
      </c>
      <c r="R15" s="52">
        <v>0.78100000000000003</v>
      </c>
      <c r="S15" s="52">
        <v>0.78100000000000003</v>
      </c>
      <c r="T15" s="16" t="str">
        <f>IF(Q15&gt;S15,"FAIL","PASS")</f>
        <v>PASS</v>
      </c>
      <c r="U15" s="137">
        <f>MAX(Q15,R15)-S15</f>
        <v>0</v>
      </c>
      <c r="V15" s="127"/>
      <c r="W15" s="126">
        <f>0.005+U15+S15</f>
        <v>0.78600000000000003</v>
      </c>
      <c r="X15" s="73" t="s">
        <v>65</v>
      </c>
      <c r="Y15" s="94">
        <f>W15</f>
        <v>0.78600000000000003</v>
      </c>
      <c r="Z15" s="72"/>
      <c r="AA15" s="93"/>
    </row>
    <row r="16" spans="1:27" ht="18.75" x14ac:dyDescent="0.3">
      <c r="A16" s="85"/>
      <c r="B16" s="85"/>
      <c r="C16" s="85"/>
      <c r="D16" s="38"/>
      <c r="E16" s="85"/>
      <c r="F16" s="85"/>
      <c r="G16" s="85"/>
      <c r="H16" s="38"/>
      <c r="I16" s="85"/>
      <c r="J16" s="85"/>
      <c r="K16" s="85"/>
      <c r="L16" s="13"/>
      <c r="M16" s="13"/>
      <c r="N16" s="13"/>
      <c r="O16" s="13"/>
      <c r="P16" s="13"/>
      <c r="Q16" s="85"/>
      <c r="R16" s="85"/>
      <c r="S16" s="85"/>
      <c r="T16" s="85"/>
      <c r="U16" s="138"/>
      <c r="V16" s="127"/>
      <c r="W16" s="126"/>
      <c r="AA16" s="93"/>
    </row>
    <row r="17" spans="1:27" s="54" customFormat="1" ht="18.75" x14ac:dyDescent="0.3">
      <c r="A17" s="16">
        <v>8</v>
      </c>
      <c r="B17" s="16">
        <f>$U$4</f>
        <v>1</v>
      </c>
      <c r="C17" s="16">
        <f>1.727*B17+0.074</f>
        <v>1.8010000000000002</v>
      </c>
      <c r="D17" s="50">
        <f>B17*C17/(B17+C17)</f>
        <v>0.64298464833987867</v>
      </c>
      <c r="E17" s="16">
        <v>0.14499999999999999</v>
      </c>
      <c r="F17" s="53">
        <f>(-0.03*E17+1.324)*E17</f>
        <v>0.19134925</v>
      </c>
      <c r="G17" s="16">
        <f>B17+E17</f>
        <v>1.145</v>
      </c>
      <c r="H17" s="50">
        <f>C17+F17</f>
        <v>1.9923492500000002</v>
      </c>
      <c r="I17" s="50">
        <f>G17*H17/(H17+G17)</f>
        <v>0.72712334823736957</v>
      </c>
      <c r="J17" s="16">
        <v>52</v>
      </c>
      <c r="K17" s="48">
        <v>71.3</v>
      </c>
      <c r="L17" s="50">
        <f>(J17-(J17^2-4*I17*K17)^0.5)/(2*I17)</f>
        <v>1.3985021910898734</v>
      </c>
      <c r="M17" s="52">
        <f>I17+L17*H17</f>
        <v>3.513428139778636</v>
      </c>
      <c r="N17" s="52">
        <v>41.1</v>
      </c>
      <c r="O17" s="50">
        <f>K17-L17^2*D17</f>
        <v>70.042445237540804</v>
      </c>
      <c r="P17" s="63">
        <f>(H17-G17)/(H17+G17)</f>
        <v>0.27008445106964107</v>
      </c>
      <c r="Q17" s="52">
        <f>L17*(1+P17)/2</f>
        <v>0.888107943845036</v>
      </c>
      <c r="R17" s="52">
        <v>0.93200000000000005</v>
      </c>
      <c r="S17" s="52">
        <v>0.93200000000000005</v>
      </c>
      <c r="T17" s="16" t="str">
        <f>IF(Q17&gt;S17,"FAIL","PASS")</f>
        <v>PASS</v>
      </c>
      <c r="U17" s="137">
        <f>MAX(Q17,R17)-S17</f>
        <v>0</v>
      </c>
      <c r="V17" s="128"/>
      <c r="W17" s="126">
        <f>0.005+U17+S17</f>
        <v>0.93700000000000006</v>
      </c>
      <c r="X17" s="53" t="s">
        <v>66</v>
      </c>
      <c r="Y17" s="94">
        <f>W17</f>
        <v>0.93700000000000006</v>
      </c>
      <c r="Z17" s="72">
        <v>0.93500000000000005</v>
      </c>
      <c r="AA17" s="93">
        <f>MAX(Y17:Z18)</f>
        <v>0.93700000000000006</v>
      </c>
    </row>
    <row r="18" spans="1:27" ht="18.75" x14ac:dyDescent="0.3">
      <c r="A18" s="16">
        <v>8</v>
      </c>
      <c r="B18" s="16">
        <f>$U$4</f>
        <v>1</v>
      </c>
      <c r="C18" s="16">
        <f>1.727*B18+0.074</f>
        <v>1.8010000000000002</v>
      </c>
      <c r="D18" s="50">
        <f>B18*C18/(B18+C18)</f>
        <v>0.64298464833987867</v>
      </c>
      <c r="E18" s="2">
        <v>5.47</v>
      </c>
      <c r="F18" s="53">
        <f>(-0.03*E18+1.324)*E18</f>
        <v>6.344653000000001</v>
      </c>
      <c r="G18" s="16">
        <f>B18+E18</f>
        <v>6.47</v>
      </c>
      <c r="H18" s="50">
        <f>C18+F18</f>
        <v>8.1456530000000011</v>
      </c>
      <c r="I18" s="50">
        <f>G18*H18/(H18+G18)</f>
        <v>3.6058857520768997</v>
      </c>
      <c r="J18" s="16">
        <v>52</v>
      </c>
      <c r="K18" s="48">
        <v>71.3</v>
      </c>
      <c r="L18" s="50">
        <f>(J18-(J18^2-4*I18*K18)^0.5)/(2*I18)</f>
        <v>1.5344204575410656</v>
      </c>
      <c r="M18" s="52">
        <f>I18+L18*H18</f>
        <v>16.104742355307657</v>
      </c>
      <c r="N18" s="52">
        <v>41.1</v>
      </c>
      <c r="O18" s="50">
        <f>K18-L18^2*D18</f>
        <v>69.786127276302224</v>
      </c>
      <c r="P18" s="63">
        <f>(H18-G18)/(H18+G18)</f>
        <v>0.11464783680893363</v>
      </c>
      <c r="Q18" s="52">
        <f>L18*(1+P18)/2</f>
        <v>0.85516922187676148</v>
      </c>
      <c r="R18" s="52">
        <v>0.93200000000000005</v>
      </c>
      <c r="S18" s="52">
        <v>0.93200000000000005</v>
      </c>
      <c r="T18" s="16" t="str">
        <f>IF(Q18&gt;S18,"FAIL","PASS")</f>
        <v>PASS</v>
      </c>
      <c r="U18" s="137">
        <f>MAX(Q18,R18)-S18</f>
        <v>0</v>
      </c>
      <c r="V18" s="127"/>
      <c r="W18" s="126">
        <f>0.005+U18+S18</f>
        <v>0.93700000000000006</v>
      </c>
      <c r="X18" s="53" t="s">
        <v>66</v>
      </c>
      <c r="Y18" s="94">
        <f>W18</f>
        <v>0.93700000000000006</v>
      </c>
      <c r="Z18" s="72"/>
      <c r="AA18" s="93"/>
    </row>
    <row r="19" spans="1:27" x14ac:dyDescent="0.25">
      <c r="A19" s="2"/>
      <c r="B19" s="2"/>
      <c r="C19" s="2"/>
      <c r="D19" s="1"/>
      <c r="E19" s="2"/>
      <c r="F19" s="2"/>
      <c r="G19" s="2"/>
      <c r="H19" s="2"/>
      <c r="I19" s="2"/>
      <c r="J19" s="2"/>
      <c r="K19" s="2"/>
      <c r="L19" s="1"/>
      <c r="M19" s="1"/>
      <c r="N19" s="1"/>
      <c r="O19" s="1"/>
      <c r="P19" s="1"/>
      <c r="Q19" s="2"/>
      <c r="R19" s="2"/>
      <c r="S19" s="1"/>
      <c r="T19" s="2"/>
      <c r="U19" s="28"/>
    </row>
    <row r="20" spans="1:27" x14ac:dyDescent="0.25">
      <c r="A20" s="2"/>
      <c r="B20" s="2"/>
      <c r="C20" s="2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2"/>
      <c r="R20" s="2"/>
      <c r="S20" s="1"/>
      <c r="T20" s="2"/>
      <c r="U20" s="28"/>
    </row>
    <row r="21" spans="1:27" x14ac:dyDescent="0.25">
      <c r="A21" s="2"/>
      <c r="B21" s="2"/>
      <c r="C21" s="2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2"/>
      <c r="R21" s="2"/>
      <c r="S21" s="1"/>
      <c r="T21" s="2"/>
      <c r="U21" s="28"/>
    </row>
    <row r="22" spans="1:27" x14ac:dyDescent="0.25">
      <c r="A22" s="2"/>
      <c r="B22" s="2"/>
      <c r="C22" s="2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2"/>
      <c r="R22" s="2"/>
      <c r="S22" s="1"/>
      <c r="T22" s="2"/>
      <c r="U22" s="28"/>
    </row>
    <row r="23" spans="1:27" x14ac:dyDescent="0.25">
      <c r="A23" s="2"/>
      <c r="B23" s="2"/>
      <c r="C23" s="2"/>
      <c r="D23" s="1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2"/>
      <c r="R23" s="2"/>
      <c r="S23" s="1"/>
      <c r="T23" s="2"/>
      <c r="U23" s="28"/>
    </row>
    <row r="24" spans="1:27" x14ac:dyDescent="0.25">
      <c r="A24" s="2"/>
      <c r="B24" s="2"/>
      <c r="C24" s="2"/>
      <c r="D24" s="1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2"/>
      <c r="R24" s="2"/>
      <c r="S24" s="1"/>
      <c r="T24" s="2"/>
      <c r="U24" s="28"/>
    </row>
    <row r="25" spans="1:27" x14ac:dyDescent="0.25">
      <c r="A25" s="2"/>
      <c r="B25" s="2"/>
      <c r="C25" s="2"/>
      <c r="D25" s="1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2"/>
      <c r="R25" s="2"/>
      <c r="S25" s="1"/>
      <c r="T25" s="2"/>
      <c r="U25" s="28"/>
    </row>
    <row r="26" spans="1:27" x14ac:dyDescent="0.25">
      <c r="A26" s="2"/>
      <c r="B26" s="2"/>
      <c r="C26" s="2"/>
      <c r="D26" s="1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2"/>
      <c r="R26" s="2"/>
      <c r="S26" s="1"/>
      <c r="T26" s="2"/>
      <c r="U26" s="28"/>
    </row>
  </sheetData>
  <mergeCells count="1">
    <mergeCell ref="Q6:S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PSE</vt:lpstr>
      <vt:lpstr>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2017-09-13T16:40:56Z</dcterms:modified>
</cp:coreProperties>
</file>