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040" windowHeight="7305" activeTab="3"/>
  </bookViews>
  <sheets>
    <sheet name="Power budget" sheetId="1" r:id="rId1"/>
    <sheet name="Launch powers - downstream" sheetId="2" r:id="rId2"/>
    <sheet name="Launch powers - upstream" sheetId="3" r:id="rId3"/>
    <sheet name="Companies" sheetId="4" r:id="rId4"/>
    <sheet name="Splitter comparison" sheetId="5" r:id="rId5"/>
    <sheet name="1x64 splitter" sheetId="6" r:id="rId6"/>
    <sheet name="1x128 splitter" sheetId="7" r:id="rId7"/>
    <sheet name="Loss budget" sheetId="8" r:id="rId8"/>
  </sheets>
  <definedNames/>
  <calcPr fullCalcOnLoad="1"/>
</workbook>
</file>

<file path=xl/sharedStrings.xml><?xml version="1.0" encoding="utf-8"?>
<sst xmlns="http://schemas.openxmlformats.org/spreadsheetml/2006/main" count="1340" uniqueCount="315">
  <si>
    <t>fibre length</t>
  </si>
  <si>
    <t>@</t>
  </si>
  <si>
    <t>1:2</t>
  </si>
  <si>
    <t>1:3</t>
  </si>
  <si>
    <t>1:4</t>
  </si>
  <si>
    <t>1:8</t>
  </si>
  <si>
    <t>1:16</t>
  </si>
  <si>
    <t>5.8</t>
  </si>
  <si>
    <t>7.4</t>
  </si>
  <si>
    <t>SM M DW[1310,1550]</t>
  </si>
  <si>
    <t>SM W DW[1310,1550]</t>
  </si>
  <si>
    <t xml:space="preserve">SM </t>
  </si>
  <si>
    <t xml:space="preserve"> Single Mode</t>
  </si>
  <si>
    <t xml:space="preserve"> Dual Window</t>
  </si>
  <si>
    <t xml:space="preserve">M </t>
  </si>
  <si>
    <t xml:space="preserve"> Monolithic</t>
  </si>
  <si>
    <t xml:space="preserve">W </t>
  </si>
  <si>
    <t xml:space="preserve"> Wideband</t>
  </si>
  <si>
    <t>SM M SW[1310/1550]</t>
  </si>
  <si>
    <t xml:space="preserve">SW </t>
  </si>
  <si>
    <t xml:space="preserve"> Single Window</t>
  </si>
  <si>
    <t>SM W SW[1310/1550]</t>
  </si>
  <si>
    <t>SM W DW[1310,1550] LGX</t>
  </si>
  <si>
    <t>SM W DW[1310,1550] Tree</t>
  </si>
  <si>
    <t>SM W SW[1310/1550] Tree</t>
  </si>
  <si>
    <t>SM PLC WW[1260-1550]</t>
  </si>
  <si>
    <t>SM PLC WW[1260-1650] LGX</t>
  </si>
  <si>
    <t>SM PLC WW[1260-1550] Premium</t>
  </si>
  <si>
    <t>SM PLC WW[1260-1550] Standard</t>
  </si>
  <si>
    <t>SM PLC DW[1310,1550]</t>
  </si>
  <si>
    <t>SM PLC DW[1310,1550] Standard</t>
  </si>
  <si>
    <t>SM PLC DW[1310,1550] Premium</t>
  </si>
  <si>
    <t>SM PLC DW[1310,1550] Rugged</t>
  </si>
  <si>
    <t>SM FBT DW[1310,1550] Rugged</t>
  </si>
  <si>
    <t>DW</t>
  </si>
  <si>
    <t>SM FBT DW[1310,1550]</t>
  </si>
  <si>
    <t>SM PDL DW[1310,1550]</t>
  </si>
  <si>
    <t>SM PDL DW[1310,1550] class A</t>
  </si>
  <si>
    <t>SM PDL DW[1310,1550] class B</t>
  </si>
  <si>
    <t>SM PDL DW[1310,1550] class C</t>
  </si>
  <si>
    <t>SM PDL DW[1310,1550] Initial</t>
  </si>
  <si>
    <t>1:64</t>
  </si>
  <si>
    <t>PLC</t>
  </si>
  <si>
    <t>PLC based</t>
  </si>
  <si>
    <t>FBT</t>
  </si>
  <si>
    <t>fused fibers</t>
  </si>
  <si>
    <t>SM PLC SW[1310/1550] class A</t>
  </si>
  <si>
    <t>SM PLC SW[1310/1550] class B</t>
  </si>
  <si>
    <t>SM PLC DW[1310,1550] class B</t>
  </si>
  <si>
    <t>SM PLC DW[1310,1550] class A</t>
  </si>
  <si>
    <t>64</t>
  </si>
  <si>
    <t>16</t>
  </si>
  <si>
    <t>8</t>
  </si>
  <si>
    <t>4</t>
  </si>
  <si>
    <t>2</t>
  </si>
  <si>
    <t>1x64</t>
  </si>
  <si>
    <t>1x32 + 1x2</t>
  </si>
  <si>
    <t>1x16 + 1x4</t>
  </si>
  <si>
    <t>1x8 + 1x8</t>
  </si>
  <si>
    <t>1x16 + 1x2 + 1x2</t>
  </si>
  <si>
    <t>1x8 + 1x4 + 1x2</t>
  </si>
  <si>
    <t>1x4 + 1x4 + 1x4</t>
  </si>
  <si>
    <t>1x8 + 1x2 + 1x2 + 1x2</t>
  </si>
  <si>
    <t>1x4 + 1x4 + 1x2 + 1x2</t>
  </si>
  <si>
    <t>5 stages</t>
  </si>
  <si>
    <t>1x4 + 4*1x2</t>
  </si>
  <si>
    <t>6 stages</t>
  </si>
  <si>
    <t>6*1x2</t>
  </si>
  <si>
    <t>1 stage</t>
  </si>
  <si>
    <t>2 stages</t>
  </si>
  <si>
    <t>3 stages</t>
  </si>
  <si>
    <t>4 stages</t>
  </si>
  <si>
    <t>128</t>
  </si>
  <si>
    <t>1x128</t>
  </si>
  <si>
    <t>1x64 + 1x2</t>
  </si>
  <si>
    <t>1x32 + 1x4</t>
  </si>
  <si>
    <t>1x16 + 1x8</t>
  </si>
  <si>
    <t>1x32 + 1x2 + 1x2</t>
  </si>
  <si>
    <t>1x16 + 1x4 + 1x2</t>
  </si>
  <si>
    <t>1x8 + 1x8 + 1x2</t>
  </si>
  <si>
    <t>1x4 + 1x4 + 1x8</t>
  </si>
  <si>
    <t>1x16 + 3*1x2</t>
  </si>
  <si>
    <t>1x8 + 1x4 + 2*1x2</t>
  </si>
  <si>
    <t>3*1x4 + 1x2</t>
  </si>
  <si>
    <t>1x8 + 4*1x2</t>
  </si>
  <si>
    <t>2*1x4+3*1x2</t>
  </si>
  <si>
    <t>1x4 + 5*1x2</t>
  </si>
  <si>
    <t>7 stages</t>
  </si>
  <si>
    <t>7*1x2</t>
  </si>
  <si>
    <t>SM PLC DW[1310,1550] modules</t>
  </si>
  <si>
    <t>7.4;0.8</t>
  </si>
  <si>
    <t>10.3;1.0</t>
  </si>
  <si>
    <t>14.0;1.3</t>
  </si>
  <si>
    <t>17.4;1.5</t>
  </si>
  <si>
    <t>SM FBT DW[1310,1550] class A</t>
  </si>
  <si>
    <t>3.6;0,8</t>
  </si>
  <si>
    <t>SM FBT DW[1310,1550] class B</t>
  </si>
  <si>
    <t>3.8;1.2</t>
  </si>
  <si>
    <t>6.7;0.8</t>
  </si>
  <si>
    <t>7.2;1.2</t>
  </si>
  <si>
    <t>10.0;1.2</t>
  </si>
  <si>
    <t>11.0;3.0</t>
  </si>
  <si>
    <t>13.0;2.4</t>
  </si>
  <si>
    <t>14.0;3.8</t>
  </si>
  <si>
    <t>17.0;3.2</t>
  </si>
  <si>
    <t>18.0;5.0</t>
  </si>
  <si>
    <t>7.3;0.75</t>
  </si>
  <si>
    <t>10.6;1.0</t>
  </si>
  <si>
    <t>14.0;1.5</t>
  </si>
  <si>
    <t>17.3;2.3</t>
  </si>
  <si>
    <t>7.2;1.5</t>
  </si>
  <si>
    <t>5.8;1.0</t>
  </si>
  <si>
    <t>3.6;1.0</t>
  </si>
  <si>
    <t>SM FBT DW[1310,1550] module</t>
  </si>
  <si>
    <t>6.7;1.2</t>
  </si>
  <si>
    <t>10.0;1.8</t>
  </si>
  <si>
    <t>13.3;2.4</t>
  </si>
  <si>
    <t>16.6;3.0</t>
  </si>
  <si>
    <t>SM PLC DW(1310,1550]</t>
  </si>
  <si>
    <t>6.64;0.36</t>
  </si>
  <si>
    <t>10.27;1.01</t>
  </si>
  <si>
    <t>13.58;1.01</t>
  </si>
  <si>
    <t>16.62;1.01</t>
  </si>
  <si>
    <t>7.0;0.8</t>
  </si>
  <si>
    <t>11.5;1.0</t>
  </si>
  <si>
    <t>14.5;1.5</t>
  </si>
  <si>
    <t>17.5;2.0</t>
  </si>
  <si>
    <t>0,8</t>
  </si>
  <si>
    <t>7.5;0.6</t>
  </si>
  <si>
    <t>11.0;0.8</t>
  </si>
  <si>
    <t>14.0;1.2</t>
  </si>
  <si>
    <t>18.0;1.7</t>
  </si>
  <si>
    <t>10.4;1.0</t>
  </si>
  <si>
    <t>13.8;1.3</t>
  </si>
  <si>
    <t>16.8;2.0</t>
  </si>
  <si>
    <t>SM PLC DW[1310,1550] Modules</t>
  </si>
  <si>
    <t>7.0;1.0</t>
  </si>
  <si>
    <t>10.4;1.6</t>
  </si>
  <si>
    <t>14.0;2.4</t>
  </si>
  <si>
    <t>17.5;3.0</t>
  </si>
  <si>
    <t>Comments</t>
  </si>
  <si>
    <t>including splices</t>
  </si>
  <si>
    <t>1:128</t>
  </si>
  <si>
    <t>11.5;1.2</t>
  </si>
  <si>
    <t>14.7;1.7</t>
  </si>
  <si>
    <t>18.3;2.2</t>
  </si>
  <si>
    <t>8.0;1.0</t>
  </si>
  <si>
    <t>7.5;1.0</t>
  </si>
  <si>
    <t>10.7;1.0</t>
  </si>
  <si>
    <t>14.2;1.5</t>
  </si>
  <si>
    <t>17.0;2.0</t>
  </si>
  <si>
    <t>11.0;1.0</t>
  </si>
  <si>
    <t>17.8;2.0</t>
  </si>
  <si>
    <t>17.3;2.0</t>
  </si>
  <si>
    <t>10.4;0.8</t>
  </si>
  <si>
    <t>16.8;1.5</t>
  </si>
  <si>
    <t>7.5;0.8</t>
  </si>
  <si>
    <t>10.8;1.0</t>
  </si>
  <si>
    <t>16.5;1.8</t>
  </si>
  <si>
    <t>3.6;0.8</t>
  </si>
  <si>
    <t>7.2;1.0</t>
  </si>
  <si>
    <t>10.7;1.3</t>
  </si>
  <si>
    <t>14.0;1.6</t>
  </si>
  <si>
    <t>17.6;1.9</t>
  </si>
  <si>
    <t>3.9;0.5</t>
  </si>
  <si>
    <t>7.3;1.0</t>
  </si>
  <si>
    <t>10.7;1.5</t>
  </si>
  <si>
    <t>14.5;2.0</t>
  </si>
  <si>
    <t>16.2;1.6</t>
  </si>
  <si>
    <t>17.2;1.8</t>
  </si>
  <si>
    <t>17.5;1.5</t>
  </si>
  <si>
    <t>7.3;0.5</t>
  </si>
  <si>
    <t>10.5;0.8</t>
  </si>
  <si>
    <t>13.8;1.0</t>
  </si>
  <si>
    <t>17.1;1.3</t>
  </si>
  <si>
    <t>20.5;2.0</t>
  </si>
  <si>
    <t>10.9;1.0</t>
  </si>
  <si>
    <t>14.0;1.1</t>
  </si>
  <si>
    <t>21.0;2.5</t>
  </si>
  <si>
    <t>8.0;0.8</t>
  </si>
  <si>
    <t>11.4;1.2</t>
  </si>
  <si>
    <t>14.5;1.4</t>
  </si>
  <si>
    <t>18.5;1.7</t>
  </si>
  <si>
    <t>22.0;3.0</t>
  </si>
  <si>
    <t>7.0;0.7</t>
  </si>
  <si>
    <t>13.8;1.6</t>
  </si>
  <si>
    <t>16.9;1.9</t>
  </si>
  <si>
    <t>3.4;0.5</t>
  </si>
  <si>
    <t>6.4;0.6</t>
  </si>
  <si>
    <t>9.7;1.0</t>
  </si>
  <si>
    <t>12.9;1.5</t>
  </si>
  <si>
    <t>6.6;1.0</t>
  </si>
  <si>
    <t>9.9;1.5</t>
  </si>
  <si>
    <t>13.3;2.1</t>
  </si>
  <si>
    <t>6.8;1.3</t>
  </si>
  <si>
    <t>10.3;2.0</t>
  </si>
  <si>
    <t>13.7;2.7</t>
  </si>
  <si>
    <t>7.1;1.7</t>
  </si>
  <si>
    <t>10.7;2.7</t>
  </si>
  <si>
    <t>14.4;3.7</t>
  </si>
  <si>
    <t>7.4;0.9</t>
  </si>
  <si>
    <t>14.1;1.3</t>
  </si>
  <si>
    <t>17.3;1.6</t>
  </si>
  <si>
    <t>7.0;0.5</t>
  </si>
  <si>
    <t>10.3;0.5</t>
  </si>
  <si>
    <t>13.4;0.8</t>
  </si>
  <si>
    <t>16.8;0.9</t>
  </si>
  <si>
    <t>11.6;2.0</t>
  </si>
  <si>
    <t>11.4;0.6</t>
  </si>
  <si>
    <t>10.2;0.9</t>
  </si>
  <si>
    <t>10.8;1.5</t>
  </si>
  <si>
    <t>14.4;2.0</t>
  </si>
  <si>
    <t>13.6;0.8</t>
  </si>
  <si>
    <t>14.5;0.5</t>
  </si>
  <si>
    <t>18;2.5</t>
  </si>
  <si>
    <t>17;1.5</t>
  </si>
  <si>
    <t>18.3;0.5</t>
  </si>
  <si>
    <t>7.2;0.8</t>
  </si>
  <si>
    <t>6.8;0.6</t>
  </si>
  <si>
    <t>7.4;0.2</t>
  </si>
  <si>
    <t>3.6;0.2</t>
  </si>
  <si>
    <t>3.5;0.2</t>
  </si>
  <si>
    <t>5.7;0.3</t>
  </si>
  <si>
    <t>5.8;0.2</t>
  </si>
  <si>
    <t>5.8;0.3</t>
  </si>
  <si>
    <t>6.1;0.4</t>
  </si>
  <si>
    <t>7.7;0.4</t>
  </si>
  <si>
    <t>7.3;0.4</t>
  </si>
  <si>
    <t>7.2;0.3</t>
  </si>
  <si>
    <t>11.0;0.6</t>
  </si>
  <si>
    <t>14.0;0.5</t>
  </si>
  <si>
    <t>11;0.8</t>
  </si>
  <si>
    <t>14;1.2</t>
  </si>
  <si>
    <t>18;1.7</t>
  </si>
  <si>
    <t>1x64 splitter</t>
  </si>
  <si>
    <t>1 stage, 1x64, PLC</t>
  </si>
  <si>
    <t>connectors</t>
  </si>
  <si>
    <t>SC, 0.2 dB typically</t>
  </si>
  <si>
    <t>=</t>
  </si>
  <si>
    <t>1x64 - single stage, 20 km</t>
  </si>
  <si>
    <t>1x64 - single stage, 10 km</t>
  </si>
  <si>
    <t>1x64 - dual stage, 20 km</t>
  </si>
  <si>
    <t>2 stages, 1x32 + 1x2, PLC</t>
  </si>
  <si>
    <t>1x64 - dual stage, 10 km</t>
  </si>
  <si>
    <t>2 stages, 1x16 + 1x4, PLC</t>
  </si>
  <si>
    <t>total loss</t>
  </si>
  <si>
    <t>1x64 system, PSC spliced</t>
  </si>
  <si>
    <t>2 stages, 1x8 + 1x8, PLC</t>
  </si>
  <si>
    <t>1x64 system, PSC connectorized</t>
  </si>
  <si>
    <t>1x128 system, PSC spliced</t>
  </si>
  <si>
    <t>1x128 system, PSC connectorized</t>
  </si>
  <si>
    <t>1 stage, 1x128, PLC</t>
  </si>
  <si>
    <t>1x128 splitter</t>
  </si>
  <si>
    <t>1x128 - single stage, 20 km</t>
  </si>
  <si>
    <t>1x128 - single stage, 10 km</t>
  </si>
  <si>
    <t>1x128 - dual stage, 20 km</t>
  </si>
  <si>
    <t>1x128 - dual stage, 10 km</t>
  </si>
  <si>
    <t>2 stages, 1x64 + 1x2, PLC</t>
  </si>
  <si>
    <t>2 stages, 1x32 + 1x4, PLC</t>
  </si>
  <si>
    <t>2 stages, 1x16 + 1x8, PLC</t>
  </si>
  <si>
    <t>1x64 - triple stage, 20 km</t>
  </si>
  <si>
    <t>1x64 - triple stage, 10 km</t>
  </si>
  <si>
    <t>3 stages, 1x8 + 1x8, PLC</t>
  </si>
  <si>
    <t>3 stages, 1x16 + 1x2 + 1x2, PLC</t>
  </si>
  <si>
    <t>3 stages, 1x8 + 1x4 + 1x2, PLC</t>
  </si>
  <si>
    <t>3 stages, 1x4 + 1x4 + 1x4, PLC</t>
  </si>
  <si>
    <t>1x128 - triple stage, 20 km</t>
  </si>
  <si>
    <t>1x128 - triple stage, 10 km</t>
  </si>
  <si>
    <t>3 stages, 1x32 + 1x2 + 1x2, PLC</t>
  </si>
  <si>
    <t>3 stages, 1x16 + 1x4 + 1x2, PLC</t>
  </si>
  <si>
    <t>3 stages, 1x8 + 1x8 + 1x2, PLC</t>
  </si>
  <si>
    <t>Approximated values</t>
  </si>
  <si>
    <t>dB/km</t>
  </si>
  <si>
    <t>dB/piece</t>
  </si>
  <si>
    <t>Port count</t>
  </si>
  <si>
    <t>Min loss</t>
  </si>
  <si>
    <t>Average loss</t>
  </si>
  <si>
    <t>Max loss</t>
  </si>
  <si>
    <t>spliced</t>
  </si>
  <si>
    <t>connectorized</t>
  </si>
  <si>
    <t>fibre loss [dB]</t>
  </si>
  <si>
    <t>spliced [dB]</t>
  </si>
  <si>
    <t>connectorized [dB]</t>
  </si>
  <si>
    <t>PLC PSCs</t>
  </si>
  <si>
    <t>Typ Sensitivity of PIN RX [dBm]</t>
  </si>
  <si>
    <t>Typ Sensitivity of APD RX [dBm]</t>
  </si>
  <si>
    <t>Launch power - PIN RX</t>
  </si>
  <si>
    <t>Launch power - APD RX</t>
  </si>
  <si>
    <t>10 km</t>
  </si>
  <si>
    <t>20 km</t>
  </si>
  <si>
    <t>10km</t>
  </si>
  <si>
    <t>20km</t>
  </si>
  <si>
    <t>Vendor1</t>
  </si>
  <si>
    <t>Vendor2</t>
  </si>
  <si>
    <t>Vendor3</t>
  </si>
  <si>
    <t>Vendor4</t>
  </si>
  <si>
    <t>Vendor5</t>
  </si>
  <si>
    <t>Vendor6</t>
  </si>
  <si>
    <t>Vendor7</t>
  </si>
  <si>
    <t>Vendor8</t>
  </si>
  <si>
    <t>Vendor9</t>
  </si>
  <si>
    <t>Vendor10</t>
  </si>
  <si>
    <t>Vendor11</t>
  </si>
  <si>
    <t>Vendor12</t>
  </si>
  <si>
    <t>Vendor13</t>
  </si>
  <si>
    <t>Vendor14</t>
  </si>
  <si>
    <t>Vendor16</t>
  </si>
  <si>
    <t>Vendor17</t>
  </si>
  <si>
    <t>Vendor18</t>
  </si>
  <si>
    <t>Vendor19</t>
  </si>
  <si>
    <t>Vendor20</t>
  </si>
  <si>
    <t>Vendor21</t>
  </si>
  <si>
    <t>Vendor22</t>
  </si>
  <si>
    <t>port count</t>
  </si>
  <si>
    <t>Theoretical loss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</si>
</sst>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8.75"/>
      <name val="Arial"/>
      <family val="0"/>
    </font>
    <font>
      <b/>
      <sz val="8.25"/>
      <name val="Arial"/>
      <family val="0"/>
    </font>
    <font>
      <sz val="9.25"/>
      <name val="Arial"/>
      <family val="0"/>
    </font>
    <font>
      <vertAlign val="superscript"/>
      <sz val="9.25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11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NumberFormat="1" applyFill="1" applyBorder="1" applyAlignment="1">
      <alignment horizontal="center" vertical="center"/>
    </xf>
    <xf numFmtId="49" fontId="0" fillId="1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2" borderId="2" xfId="0" applyNumberFormat="1" applyFill="1" applyBorder="1" applyAlignment="1" quotePrefix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6" borderId="16" xfId="0" applyNumberFormat="1" applyFill="1" applyBorder="1" applyAlignment="1">
      <alignment horizontal="center"/>
    </xf>
    <xf numFmtId="2" fontId="0" fillId="6" borderId="2" xfId="0" applyNumberFormat="1" applyFill="1" applyBorder="1" applyAlignment="1" quotePrefix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2" fontId="0" fillId="3" borderId="2" xfId="0" applyNumberFormat="1" applyFill="1" applyBorder="1" applyAlignment="1" quotePrefix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2" fontId="0" fillId="7" borderId="2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2" fontId="0" fillId="7" borderId="2" xfId="0" applyNumberFormat="1" applyFill="1" applyBorder="1" applyAlignment="1" quotePrefix="1">
      <alignment horizontal="center"/>
    </xf>
    <xf numFmtId="2" fontId="0" fillId="7" borderId="17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2" fontId="0" fillId="8" borderId="16" xfId="0" applyNumberForma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2" fontId="0" fillId="8" borderId="2" xfId="0" applyNumberFormat="1" applyFill="1" applyBorder="1" applyAlignment="1" quotePrefix="1">
      <alignment horizontal="center"/>
    </xf>
    <xf numFmtId="2" fontId="0" fillId="8" borderId="17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2" fontId="0" fillId="9" borderId="16" xfId="0" applyNumberForma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2" fontId="0" fillId="9" borderId="2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2" fontId="0" fillId="9" borderId="2" xfId="0" applyNumberFormat="1" applyFill="1" applyBorder="1" applyAlignment="1" quotePrefix="1">
      <alignment horizontal="center"/>
    </xf>
    <xf numFmtId="2" fontId="0" fillId="9" borderId="17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2" fontId="0" fillId="11" borderId="16" xfId="0" applyNumberForma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2" fontId="0" fillId="11" borderId="2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2" fontId="0" fillId="11" borderId="2" xfId="0" applyNumberFormat="1" applyFill="1" applyBorder="1" applyAlignment="1" quotePrefix="1">
      <alignment horizontal="center"/>
    </xf>
    <xf numFmtId="2" fontId="0" fillId="11" borderId="17" xfId="0" applyNumberFormat="1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2" fontId="0" fillId="5" borderId="0" xfId="0" applyNumberFormat="1" applyFill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2" fontId="0" fillId="12" borderId="0" xfId="0" applyNumberFormat="1" applyFill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0" fillId="10" borderId="18" xfId="0" applyNumberFormat="1" applyFill="1" applyBorder="1" applyAlignment="1">
      <alignment horizontal="center"/>
    </xf>
    <xf numFmtId="2" fontId="0" fillId="10" borderId="20" xfId="0" applyNumberFormat="1" applyFill="1" applyBorder="1" applyAlignment="1">
      <alignment horizontal="center"/>
    </xf>
    <xf numFmtId="2" fontId="0" fillId="10" borderId="19" xfId="0" applyNumberForma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 textRotation="255"/>
    </xf>
    <xf numFmtId="0" fontId="1" fillId="2" borderId="26" xfId="0" applyFont="1" applyFill="1" applyBorder="1" applyAlignment="1">
      <alignment horizontal="center" vertical="center" textRotation="255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27" xfId="0" applyFont="1" applyFill="1" applyBorder="1" applyAlignment="1">
      <alignment horizontal="center" vertical="center" textRotation="255"/>
    </xf>
    <xf numFmtId="0" fontId="1" fillId="2" borderId="28" xfId="0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3" borderId="29" xfId="0" applyNumberFormat="1" applyFill="1" applyBorder="1" applyAlignment="1">
      <alignment horizontal="center"/>
    </xf>
    <xf numFmtId="49" fontId="0" fillId="3" borderId="30" xfId="0" applyNumberForma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1"/>
          <c:h val="0.974"/>
        </c:manualLayout>
      </c:layout>
      <c:scatterChart>
        <c:scatterStyle val="smoothMarker"/>
        <c:varyColors val="0"/>
        <c:ser>
          <c:idx val="0"/>
          <c:order val="0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'Splitter comparison'!$A$47:$I$47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'Splitter comparison'!$A$48:$I$48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Worst-case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'Splitter comparison'!$A$47:$I$47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'Splitter comparison'!$A$49:$I$49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Best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'Splitter comparison'!$A$47:$I$47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'Splitter comparison'!$A$50:$I$50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axId val="14109110"/>
        <c:axId val="59873127"/>
      </c:scatterChart>
      <c:valAx>
        <c:axId val="141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Port count</a:t>
                </a:r>
              </a:p>
            </c:rich>
          </c:tx>
          <c:layout>
            <c:manualLayout>
              <c:xMode val="factor"/>
              <c:yMode val="factor"/>
              <c:x val="0.0475"/>
              <c:y val="-0.0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73127"/>
        <c:crosses val="autoZero"/>
        <c:crossBetween val="midCat"/>
        <c:dispUnits/>
      </c:valAx>
      <c:valAx>
        <c:axId val="5987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Excess loss</a:t>
                </a:r>
              </a:p>
            </c:rich>
          </c:tx>
          <c:layout>
            <c:manualLayout>
              <c:xMode val="factor"/>
              <c:yMode val="factor"/>
              <c:x val="0.034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091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5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1"/>
          <c:h val="0.974"/>
        </c:manualLayout>
      </c:layout>
      <c:scatterChart>
        <c:scatterStyle val="smoothMarker"/>
        <c:varyColors val="0"/>
        <c:ser>
          <c:idx val="0"/>
          <c:order val="0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'Splitter comparison'!$Q$47:$AA$47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'Splitter comparison'!$Q$48:$AA$48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Worst-case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'Splitter comparison'!$Q$47:$AA$47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'Splitter comparison'!$Q$49:$AA$49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Best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'Splitter comparison'!$Q$47:$AA$47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'Splitter comparison'!$Q$50:$AA$50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987232"/>
        <c:axId val="17885089"/>
      </c:scatterChart>
      <c:valAx>
        <c:axId val="19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Port count</a:t>
                </a:r>
              </a:p>
            </c:rich>
          </c:tx>
          <c:layout>
            <c:manualLayout>
              <c:xMode val="factor"/>
              <c:yMode val="factor"/>
              <c:x val="0.0475"/>
              <c:y val="-0.09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85089"/>
        <c:crosses val="autoZero"/>
        <c:crossBetween val="midCat"/>
        <c:dispUnits/>
      </c:valAx>
      <c:valAx>
        <c:axId val="1788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Excess loss</a:t>
                </a:r>
              </a:p>
            </c:rich>
          </c:tx>
          <c:layout>
            <c:manualLayout>
              <c:xMode val="factor"/>
              <c:yMode val="factor"/>
              <c:x val="0.034"/>
              <c:y val="0.08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872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75"/>
          <c:y val="0.6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FBT PSCs</a:t>
            </a:r>
          </a:p>
        </c:rich>
      </c:tx>
      <c:layout>
        <c:manualLayout>
          <c:xMode val="factor"/>
          <c:yMode val="factor"/>
          <c:x val="0.044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5"/>
          <c:h val="1"/>
        </c:manualLayout>
      </c:layout>
      <c:scatterChart>
        <c:scatterStyle val="smoothMarker"/>
        <c:varyColors val="0"/>
        <c:ser>
          <c:idx val="0"/>
          <c:order val="0"/>
          <c:tx>
            <c:v>Best case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'Splitter comparison'!$A$73:$G$73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'Splitter comparison'!$A$74:$G$74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'Splitter comparison'!$A$73:$G$73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'Splitter comparison'!$A$75:$G$75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Worst case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'Splitter comparison'!$A$73:$G$73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'Splitter comparison'!$A$76:$G$76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748074"/>
        <c:axId val="39406075"/>
      </c:scatterChart>
      <c:valAx>
        <c:axId val="26748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Port count</a:t>
                </a:r>
              </a:p>
            </c:rich>
          </c:tx>
          <c:layout>
            <c:manualLayout>
              <c:xMode val="factor"/>
              <c:yMode val="factor"/>
              <c:x val="0.042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39406075"/>
        <c:crosses val="autoZero"/>
        <c:crossBetween val="midCat"/>
        <c:dispUnits/>
      </c:valAx>
      <c:valAx>
        <c:axId val="39406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Loss [dB]</a:t>
                </a:r>
              </a:p>
            </c:rich>
          </c:tx>
          <c:layout>
            <c:manualLayout>
              <c:xMode val="factor"/>
              <c:yMode val="factor"/>
              <c:x val="0.0317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267480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"/>
          <c:y val="0.65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PLC PSCs</a:t>
            </a:r>
          </a:p>
        </c:rich>
      </c:tx>
      <c:layout>
        <c:manualLayout>
          <c:xMode val="factor"/>
          <c:yMode val="factor"/>
          <c:x val="0.044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875"/>
          <c:h val="1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'Splitter comparison'!$Q$73:$W$73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'Splitter comparison'!$Q$74:$W$74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'Splitter comparison'!$Q$73:$W$73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'Splitter comparison'!$Q$75:$W$75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'Splitter comparison'!$Q$73:$W$73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'Splitter comparison'!$Q$76:$W$76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19110356"/>
        <c:axId val="37775477"/>
      </c:scatterChart>
      <c:valAx>
        <c:axId val="19110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Port count</a:t>
                </a:r>
              </a:p>
            </c:rich>
          </c:tx>
          <c:layout>
            <c:manualLayout>
              <c:xMode val="factor"/>
              <c:yMode val="factor"/>
              <c:x val="0.042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37775477"/>
        <c:crosses val="autoZero"/>
        <c:crossBetween val="midCat"/>
        <c:dispUnits/>
      </c:valAx>
      <c:valAx>
        <c:axId val="37775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Loss [dB]</a:t>
                </a:r>
              </a:p>
            </c:rich>
          </c:tx>
          <c:layout>
            <c:manualLayout>
              <c:xMode val="factor"/>
              <c:yMode val="factor"/>
              <c:x val="0.0317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crossAx val="191103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5"/>
          <c:y val="0.66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13</xdr:col>
      <xdr:colOff>323850</xdr:colOff>
      <xdr:row>71</xdr:row>
      <xdr:rowOff>19050</xdr:rowOff>
    </xdr:to>
    <xdr:graphicFrame>
      <xdr:nvGraphicFramePr>
        <xdr:cNvPr id="1" name="Chart 1"/>
        <xdr:cNvGraphicFramePr/>
      </xdr:nvGraphicFramePr>
      <xdr:xfrm>
        <a:off x="0" y="8105775"/>
        <a:ext cx="57721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50</xdr:row>
      <xdr:rowOff>0</xdr:rowOff>
    </xdr:from>
    <xdr:to>
      <xdr:col>29</xdr:col>
      <xdr:colOff>161925</xdr:colOff>
      <xdr:row>71</xdr:row>
      <xdr:rowOff>19050</xdr:rowOff>
    </xdr:to>
    <xdr:graphicFrame>
      <xdr:nvGraphicFramePr>
        <xdr:cNvPr id="2" name="Chart 3"/>
        <xdr:cNvGraphicFramePr/>
      </xdr:nvGraphicFramePr>
      <xdr:xfrm>
        <a:off x="6915150" y="8105775"/>
        <a:ext cx="51435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77</xdr:row>
      <xdr:rowOff>0</xdr:rowOff>
    </xdr:from>
    <xdr:to>
      <xdr:col>16</xdr:col>
      <xdr:colOff>95250</xdr:colOff>
      <xdr:row>103</xdr:row>
      <xdr:rowOff>66675</xdr:rowOff>
    </xdr:to>
    <xdr:graphicFrame>
      <xdr:nvGraphicFramePr>
        <xdr:cNvPr id="3" name="Chart 4"/>
        <xdr:cNvGraphicFramePr/>
      </xdr:nvGraphicFramePr>
      <xdr:xfrm>
        <a:off x="104775" y="12477750"/>
        <a:ext cx="6896100" cy="4276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9525</xdr:colOff>
      <xdr:row>77</xdr:row>
      <xdr:rowOff>0</xdr:rowOff>
    </xdr:from>
    <xdr:to>
      <xdr:col>33</xdr:col>
      <xdr:colOff>161925</xdr:colOff>
      <xdr:row>103</xdr:row>
      <xdr:rowOff>66675</xdr:rowOff>
    </xdr:to>
    <xdr:graphicFrame>
      <xdr:nvGraphicFramePr>
        <xdr:cNvPr id="4" name="Chart 6"/>
        <xdr:cNvGraphicFramePr/>
      </xdr:nvGraphicFramePr>
      <xdr:xfrm>
        <a:off x="7229475" y="12477750"/>
        <a:ext cx="6896100" cy="4276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workbookViewId="0" topLeftCell="R70">
      <selection activeCell="S9" sqref="S9"/>
    </sheetView>
  </sheetViews>
  <sheetFormatPr defaultColWidth="9.140625" defaultRowHeight="12.75"/>
  <cols>
    <col min="1" max="1" width="5.57421875" style="2" bestFit="1" customWidth="1"/>
    <col min="2" max="2" width="11.140625" style="1" bestFit="1" customWidth="1"/>
    <col min="3" max="3" width="3.00390625" style="1" bestFit="1" customWidth="1"/>
    <col min="4" max="4" width="2.8515625" style="1" bestFit="1" customWidth="1"/>
    <col min="5" max="5" width="4.00390625" style="1" bestFit="1" customWidth="1"/>
    <col min="6" max="6" width="9.8515625" style="1" bestFit="1" customWidth="1"/>
    <col min="7" max="7" width="9.140625" style="1" customWidth="1"/>
    <col min="8" max="8" width="29.140625" style="1" bestFit="1" customWidth="1"/>
    <col min="9" max="9" width="9.140625" style="1" customWidth="1"/>
    <col min="10" max="10" width="5.57421875" style="2" bestFit="1" customWidth="1"/>
    <col min="11" max="11" width="11.140625" style="1" bestFit="1" customWidth="1"/>
    <col min="12" max="12" width="3.00390625" style="1" bestFit="1" customWidth="1"/>
    <col min="13" max="13" width="2.8515625" style="1" bestFit="1" customWidth="1"/>
    <col min="14" max="14" width="4.00390625" style="1" bestFit="1" customWidth="1"/>
    <col min="15" max="15" width="9.8515625" style="1" bestFit="1" customWidth="1"/>
    <col min="16" max="16" width="9.140625" style="1" customWidth="1"/>
    <col min="17" max="17" width="29.140625" style="1" bestFit="1" customWidth="1"/>
    <col min="18" max="18" width="9.140625" style="1" customWidth="1"/>
    <col min="19" max="19" width="5.57421875" style="2" bestFit="1" customWidth="1"/>
    <col min="20" max="20" width="11.140625" style="1" bestFit="1" customWidth="1"/>
    <col min="21" max="21" width="3.00390625" style="1" bestFit="1" customWidth="1"/>
    <col min="22" max="22" width="2.8515625" style="1" bestFit="1" customWidth="1"/>
    <col min="23" max="23" width="4.00390625" style="1" bestFit="1" customWidth="1"/>
    <col min="24" max="24" width="9.8515625" style="1" bestFit="1" customWidth="1"/>
    <col min="25" max="25" width="9.140625" style="1" customWidth="1"/>
    <col min="26" max="26" width="29.140625" style="1" bestFit="1" customWidth="1"/>
    <col min="27" max="27" width="9.140625" style="1" customWidth="1"/>
    <col min="28" max="28" width="5.57421875" style="2" bestFit="1" customWidth="1"/>
    <col min="29" max="29" width="11.140625" style="1" bestFit="1" customWidth="1"/>
    <col min="30" max="30" width="3.00390625" style="1" bestFit="1" customWidth="1"/>
    <col min="31" max="31" width="2.8515625" style="1" bestFit="1" customWidth="1"/>
    <col min="32" max="32" width="4.00390625" style="1" bestFit="1" customWidth="1"/>
    <col min="33" max="33" width="9.8515625" style="1" bestFit="1" customWidth="1"/>
    <col min="34" max="34" width="9.140625" style="1" customWidth="1"/>
    <col min="35" max="35" width="29.140625" style="1" bestFit="1" customWidth="1"/>
    <col min="36" max="16384" width="9.140625" style="1" customWidth="1"/>
  </cols>
  <sheetData>
    <row r="1" spans="1:35" ht="13.5" thickBot="1">
      <c r="A1" s="172" t="s">
        <v>246</v>
      </c>
      <c r="B1" s="173"/>
      <c r="C1" s="173"/>
      <c r="D1" s="173"/>
      <c r="E1" s="173"/>
      <c r="F1" s="173"/>
      <c r="G1" s="173"/>
      <c r="H1" s="174"/>
      <c r="J1" s="172" t="s">
        <v>248</v>
      </c>
      <c r="K1" s="173"/>
      <c r="L1" s="173"/>
      <c r="M1" s="173"/>
      <c r="N1" s="173"/>
      <c r="O1" s="173"/>
      <c r="P1" s="173"/>
      <c r="Q1" s="174"/>
      <c r="S1" s="172" t="s">
        <v>249</v>
      </c>
      <c r="T1" s="173"/>
      <c r="U1" s="173"/>
      <c r="V1" s="173"/>
      <c r="W1" s="173"/>
      <c r="X1" s="173"/>
      <c r="Y1" s="173"/>
      <c r="Z1" s="174"/>
      <c r="AB1" s="172" t="s">
        <v>250</v>
      </c>
      <c r="AC1" s="173"/>
      <c r="AD1" s="173"/>
      <c r="AE1" s="173"/>
      <c r="AF1" s="173"/>
      <c r="AG1" s="173"/>
      <c r="AH1" s="173"/>
      <c r="AI1" s="174"/>
    </row>
    <row r="2" ht="13.5" thickBot="1"/>
    <row r="3" spans="1:35" ht="13.5" thickBot="1">
      <c r="A3" s="178" t="s">
        <v>239</v>
      </c>
      <c r="B3" s="179"/>
      <c r="C3" s="179"/>
      <c r="D3" s="179"/>
      <c r="E3" s="179"/>
      <c r="F3" s="179"/>
      <c r="G3" s="179"/>
      <c r="H3" s="180"/>
      <c r="J3" s="178" t="s">
        <v>239</v>
      </c>
      <c r="K3" s="179"/>
      <c r="L3" s="179"/>
      <c r="M3" s="179"/>
      <c r="N3" s="179"/>
      <c r="O3" s="179"/>
      <c r="P3" s="179"/>
      <c r="Q3" s="180"/>
      <c r="S3" s="178" t="s">
        <v>253</v>
      </c>
      <c r="T3" s="179"/>
      <c r="U3" s="179"/>
      <c r="V3" s="179"/>
      <c r="W3" s="179"/>
      <c r="X3" s="179"/>
      <c r="Y3" s="179"/>
      <c r="Z3" s="180"/>
      <c r="AB3" s="178" t="s">
        <v>253</v>
      </c>
      <c r="AC3" s="179"/>
      <c r="AD3" s="179"/>
      <c r="AE3" s="179"/>
      <c r="AF3" s="179"/>
      <c r="AG3" s="179"/>
      <c r="AH3" s="179"/>
      <c r="AI3" s="180"/>
    </row>
    <row r="4" spans="1:35" ht="12.75">
      <c r="A4" s="93"/>
      <c r="B4" s="77"/>
      <c r="C4" s="77"/>
      <c r="D4" s="77"/>
      <c r="E4" s="77"/>
      <c r="F4" s="77"/>
      <c r="G4" s="77"/>
      <c r="H4" s="78" t="s">
        <v>140</v>
      </c>
      <c r="J4" s="93"/>
      <c r="K4" s="77"/>
      <c r="L4" s="77"/>
      <c r="M4" s="77"/>
      <c r="N4" s="77"/>
      <c r="O4" s="77"/>
      <c r="P4" s="77"/>
      <c r="Q4" s="78" t="s">
        <v>140</v>
      </c>
      <c r="S4" s="93"/>
      <c r="T4" s="77"/>
      <c r="U4" s="77"/>
      <c r="V4" s="77"/>
      <c r="W4" s="77"/>
      <c r="X4" s="77"/>
      <c r="Y4" s="77"/>
      <c r="Z4" s="78" t="s">
        <v>140</v>
      </c>
      <c r="AB4" s="93"/>
      <c r="AC4" s="77"/>
      <c r="AD4" s="77"/>
      <c r="AE4" s="77"/>
      <c r="AF4" s="77"/>
      <c r="AG4" s="77"/>
      <c r="AH4" s="77"/>
      <c r="AI4" s="78" t="s">
        <v>140</v>
      </c>
    </row>
    <row r="5" spans="1:35" ht="12.75">
      <c r="A5" s="79">
        <f>C5*E5</f>
        <v>10</v>
      </c>
      <c r="B5" s="3" t="s">
        <v>0</v>
      </c>
      <c r="C5" s="3">
        <v>20</v>
      </c>
      <c r="D5" s="3" t="s">
        <v>1</v>
      </c>
      <c r="E5" s="3">
        <v>0.5</v>
      </c>
      <c r="F5" s="3" t="s">
        <v>272</v>
      </c>
      <c r="G5" s="3"/>
      <c r="H5" s="10" t="s">
        <v>141</v>
      </c>
      <c r="J5" s="79">
        <f>L5*N5</f>
        <v>10</v>
      </c>
      <c r="K5" s="3" t="s">
        <v>0</v>
      </c>
      <c r="L5" s="3">
        <v>20</v>
      </c>
      <c r="M5" s="3" t="s">
        <v>1</v>
      </c>
      <c r="N5" s="3">
        <v>0.5</v>
      </c>
      <c r="O5" s="3" t="s">
        <v>272</v>
      </c>
      <c r="P5" s="3"/>
      <c r="Q5" s="10" t="s">
        <v>141</v>
      </c>
      <c r="S5" s="79">
        <f>U5*W5</f>
        <v>10</v>
      </c>
      <c r="T5" s="3" t="s">
        <v>0</v>
      </c>
      <c r="U5" s="3">
        <v>20</v>
      </c>
      <c r="V5" s="3" t="s">
        <v>1</v>
      </c>
      <c r="W5" s="3">
        <v>0.5</v>
      </c>
      <c r="X5" s="3" t="s">
        <v>272</v>
      </c>
      <c r="Y5" s="3"/>
      <c r="Z5" s="10" t="s">
        <v>141</v>
      </c>
      <c r="AB5" s="79">
        <f>AD5*AF5</f>
        <v>10</v>
      </c>
      <c r="AC5" s="3" t="s">
        <v>0</v>
      </c>
      <c r="AD5" s="3">
        <v>20</v>
      </c>
      <c r="AE5" s="3" t="s">
        <v>1</v>
      </c>
      <c r="AF5" s="3">
        <v>0.5</v>
      </c>
      <c r="AG5" s="3" t="s">
        <v>272</v>
      </c>
      <c r="AH5" s="3"/>
      <c r="AI5" s="10" t="s">
        <v>141</v>
      </c>
    </row>
    <row r="6" spans="1:35" ht="12.75">
      <c r="A6" s="79">
        <f>'1x64 splitter'!$E$4</f>
        <v>21.5</v>
      </c>
      <c r="B6" s="3" t="s">
        <v>234</v>
      </c>
      <c r="C6" s="3"/>
      <c r="D6" s="3"/>
      <c r="E6" s="3"/>
      <c r="F6" s="3"/>
      <c r="G6" s="3"/>
      <c r="H6" s="10" t="s">
        <v>235</v>
      </c>
      <c r="J6" s="79">
        <f>'1x64 splitter'!$E$4</f>
        <v>21.5</v>
      </c>
      <c r="K6" s="3" t="s">
        <v>234</v>
      </c>
      <c r="L6" s="3"/>
      <c r="M6" s="3"/>
      <c r="N6" s="3"/>
      <c r="O6" s="3"/>
      <c r="P6" s="3"/>
      <c r="Q6" s="10" t="s">
        <v>235</v>
      </c>
      <c r="S6" s="79">
        <f>'1x128 splitter'!$E$4</f>
        <v>24.647225630290013</v>
      </c>
      <c r="T6" s="3" t="s">
        <v>252</v>
      </c>
      <c r="U6" s="3"/>
      <c r="V6" s="3"/>
      <c r="W6" s="3"/>
      <c r="X6" s="3"/>
      <c r="Y6" s="3"/>
      <c r="Z6" s="10" t="s">
        <v>251</v>
      </c>
      <c r="AB6" s="79">
        <f>'1x128 splitter'!$E$4</f>
        <v>24.647225630290013</v>
      </c>
      <c r="AC6" s="3" t="s">
        <v>252</v>
      </c>
      <c r="AD6" s="3"/>
      <c r="AE6" s="3"/>
      <c r="AF6" s="3"/>
      <c r="AG6" s="3"/>
      <c r="AH6" s="3"/>
      <c r="AI6" s="10" t="s">
        <v>251</v>
      </c>
    </row>
    <row r="7" spans="1:35" ht="12.75">
      <c r="A7" s="79">
        <f>C7*E7</f>
        <v>0.4</v>
      </c>
      <c r="B7" s="3" t="s">
        <v>236</v>
      </c>
      <c r="C7" s="3">
        <v>2</v>
      </c>
      <c r="D7" s="3" t="s">
        <v>1</v>
      </c>
      <c r="E7" s="3">
        <v>0.2</v>
      </c>
      <c r="F7" s="3" t="s">
        <v>273</v>
      </c>
      <c r="G7" s="3"/>
      <c r="H7" s="10" t="s">
        <v>237</v>
      </c>
      <c r="J7" s="79">
        <f>L7*N7</f>
        <v>0.8</v>
      </c>
      <c r="K7" s="3" t="s">
        <v>236</v>
      </c>
      <c r="L7" s="3">
        <v>4</v>
      </c>
      <c r="M7" s="3" t="s">
        <v>1</v>
      </c>
      <c r="N7" s="3">
        <v>0.2</v>
      </c>
      <c r="O7" s="3" t="s">
        <v>273</v>
      </c>
      <c r="P7" s="3"/>
      <c r="Q7" s="10" t="s">
        <v>237</v>
      </c>
      <c r="S7" s="79">
        <f>U7*W7</f>
        <v>0.4</v>
      </c>
      <c r="T7" s="3" t="s">
        <v>236</v>
      </c>
      <c r="U7" s="3">
        <v>2</v>
      </c>
      <c r="V7" s="3" t="s">
        <v>1</v>
      </c>
      <c r="W7" s="3">
        <v>0.2</v>
      </c>
      <c r="X7" s="3" t="s">
        <v>273</v>
      </c>
      <c r="Y7" s="3"/>
      <c r="Z7" s="10" t="s">
        <v>237</v>
      </c>
      <c r="AB7" s="79">
        <f>AD7*AF7</f>
        <v>0.8</v>
      </c>
      <c r="AC7" s="3" t="s">
        <v>236</v>
      </c>
      <c r="AD7" s="3">
        <v>4</v>
      </c>
      <c r="AE7" s="3" t="s">
        <v>1</v>
      </c>
      <c r="AF7" s="3">
        <v>0.2</v>
      </c>
      <c r="AG7" s="3" t="s">
        <v>273</v>
      </c>
      <c r="AH7" s="3"/>
      <c r="AI7" s="10" t="s">
        <v>237</v>
      </c>
    </row>
    <row r="8" spans="1:35" ht="12.75">
      <c r="A8" s="94" t="s">
        <v>238</v>
      </c>
      <c r="B8" s="3"/>
      <c r="C8" s="3"/>
      <c r="D8" s="3"/>
      <c r="E8" s="3"/>
      <c r="F8" s="3"/>
      <c r="G8" s="3"/>
      <c r="H8" s="10"/>
      <c r="J8" s="94" t="s">
        <v>238</v>
      </c>
      <c r="K8" s="3"/>
      <c r="L8" s="3"/>
      <c r="M8" s="3"/>
      <c r="N8" s="3"/>
      <c r="O8" s="3"/>
      <c r="P8" s="3"/>
      <c r="Q8" s="10"/>
      <c r="S8" s="94" t="s">
        <v>238</v>
      </c>
      <c r="T8" s="3"/>
      <c r="U8" s="3"/>
      <c r="V8" s="3"/>
      <c r="W8" s="3"/>
      <c r="X8" s="3"/>
      <c r="Y8" s="3"/>
      <c r="Z8" s="10"/>
      <c r="AB8" s="94" t="s">
        <v>238</v>
      </c>
      <c r="AC8" s="3"/>
      <c r="AD8" s="3"/>
      <c r="AE8" s="3"/>
      <c r="AF8" s="3"/>
      <c r="AG8" s="3"/>
      <c r="AH8" s="3"/>
      <c r="AI8" s="10"/>
    </row>
    <row r="9" spans="1:35" ht="13.5" thickBot="1">
      <c r="A9" s="95">
        <f>SUM(A5:A7)</f>
        <v>31.9</v>
      </c>
      <c r="B9" s="80" t="s">
        <v>245</v>
      </c>
      <c r="C9" s="80"/>
      <c r="D9" s="80"/>
      <c r="E9" s="80"/>
      <c r="F9" s="80"/>
      <c r="G9" s="80"/>
      <c r="H9" s="81"/>
      <c r="J9" s="95">
        <f>SUM(J5:J7)</f>
        <v>32.3</v>
      </c>
      <c r="K9" s="80" t="s">
        <v>245</v>
      </c>
      <c r="L9" s="80"/>
      <c r="M9" s="80"/>
      <c r="N9" s="80"/>
      <c r="O9" s="80"/>
      <c r="P9" s="80"/>
      <c r="Q9" s="81"/>
      <c r="S9" s="95">
        <f>SUM(S5:S7)</f>
        <v>35.04722563029001</v>
      </c>
      <c r="T9" s="80" t="s">
        <v>245</v>
      </c>
      <c r="U9" s="80"/>
      <c r="V9" s="80"/>
      <c r="W9" s="80"/>
      <c r="X9" s="80"/>
      <c r="Y9" s="80"/>
      <c r="Z9" s="81"/>
      <c r="AB9" s="95">
        <f>SUM(AB5:AB7)</f>
        <v>35.447225630290006</v>
      </c>
      <c r="AC9" s="80" t="s">
        <v>245</v>
      </c>
      <c r="AD9" s="80"/>
      <c r="AE9" s="80"/>
      <c r="AF9" s="80"/>
      <c r="AG9" s="80"/>
      <c r="AH9" s="80"/>
      <c r="AI9" s="81"/>
    </row>
    <row r="10" ht="13.5" thickBot="1"/>
    <row r="11" spans="1:35" ht="13.5" thickBot="1">
      <c r="A11" s="178" t="s">
        <v>240</v>
      </c>
      <c r="B11" s="179"/>
      <c r="C11" s="179"/>
      <c r="D11" s="179"/>
      <c r="E11" s="179"/>
      <c r="F11" s="179"/>
      <c r="G11" s="179"/>
      <c r="H11" s="180"/>
      <c r="J11" s="178" t="s">
        <v>240</v>
      </c>
      <c r="K11" s="179"/>
      <c r="L11" s="179"/>
      <c r="M11" s="179"/>
      <c r="N11" s="179"/>
      <c r="O11" s="179"/>
      <c r="P11" s="179"/>
      <c r="Q11" s="180"/>
      <c r="S11" s="178" t="s">
        <v>254</v>
      </c>
      <c r="T11" s="179"/>
      <c r="U11" s="179"/>
      <c r="V11" s="179"/>
      <c r="W11" s="179"/>
      <c r="X11" s="179"/>
      <c r="Y11" s="179"/>
      <c r="Z11" s="180"/>
      <c r="AB11" s="178" t="s">
        <v>254</v>
      </c>
      <c r="AC11" s="179"/>
      <c r="AD11" s="179"/>
      <c r="AE11" s="179"/>
      <c r="AF11" s="179"/>
      <c r="AG11" s="179"/>
      <c r="AH11" s="179"/>
      <c r="AI11" s="180"/>
    </row>
    <row r="12" spans="1:35" ht="12.75">
      <c r="A12" s="93"/>
      <c r="B12" s="77"/>
      <c r="C12" s="77"/>
      <c r="D12" s="77"/>
      <c r="E12" s="77"/>
      <c r="F12" s="77"/>
      <c r="G12" s="77"/>
      <c r="H12" s="78" t="s">
        <v>140</v>
      </c>
      <c r="J12" s="93"/>
      <c r="K12" s="77"/>
      <c r="L12" s="77"/>
      <c r="M12" s="77"/>
      <c r="N12" s="77"/>
      <c r="O12" s="77"/>
      <c r="P12" s="77"/>
      <c r="Q12" s="78" t="s">
        <v>140</v>
      </c>
      <c r="S12" s="93"/>
      <c r="T12" s="77"/>
      <c r="U12" s="77"/>
      <c r="V12" s="77"/>
      <c r="W12" s="77"/>
      <c r="X12" s="77"/>
      <c r="Y12" s="77"/>
      <c r="Z12" s="78" t="s">
        <v>140</v>
      </c>
      <c r="AB12" s="93"/>
      <c r="AC12" s="77"/>
      <c r="AD12" s="77"/>
      <c r="AE12" s="77"/>
      <c r="AF12" s="77"/>
      <c r="AG12" s="77"/>
      <c r="AH12" s="77"/>
      <c r="AI12" s="78" t="s">
        <v>140</v>
      </c>
    </row>
    <row r="13" spans="1:35" ht="12.75">
      <c r="A13" s="79">
        <f>C13*E13</f>
        <v>5</v>
      </c>
      <c r="B13" s="3" t="s">
        <v>0</v>
      </c>
      <c r="C13" s="3">
        <v>10</v>
      </c>
      <c r="D13" s="3" t="s">
        <v>1</v>
      </c>
      <c r="E13" s="3">
        <v>0.5</v>
      </c>
      <c r="F13" s="3" t="s">
        <v>272</v>
      </c>
      <c r="G13" s="3"/>
      <c r="H13" s="10" t="s">
        <v>141</v>
      </c>
      <c r="J13" s="79">
        <f>L13*N13</f>
        <v>5</v>
      </c>
      <c r="K13" s="3" t="s">
        <v>0</v>
      </c>
      <c r="L13" s="3">
        <v>10</v>
      </c>
      <c r="M13" s="3" t="s">
        <v>1</v>
      </c>
      <c r="N13" s="3">
        <v>0.5</v>
      </c>
      <c r="O13" s="3" t="s">
        <v>272</v>
      </c>
      <c r="P13" s="3"/>
      <c r="Q13" s="10" t="s">
        <v>141</v>
      </c>
      <c r="S13" s="79">
        <f>U13*W13</f>
        <v>5</v>
      </c>
      <c r="T13" s="3" t="s">
        <v>0</v>
      </c>
      <c r="U13" s="3">
        <v>10</v>
      </c>
      <c r="V13" s="3" t="s">
        <v>1</v>
      </c>
      <c r="W13" s="3">
        <v>0.5</v>
      </c>
      <c r="X13" s="3" t="s">
        <v>272</v>
      </c>
      <c r="Y13" s="3"/>
      <c r="Z13" s="10" t="s">
        <v>141</v>
      </c>
      <c r="AB13" s="79">
        <f>AD13*AF13</f>
        <v>5</v>
      </c>
      <c r="AC13" s="3" t="s">
        <v>0</v>
      </c>
      <c r="AD13" s="3">
        <v>10</v>
      </c>
      <c r="AE13" s="3" t="s">
        <v>1</v>
      </c>
      <c r="AF13" s="3">
        <v>0.5</v>
      </c>
      <c r="AG13" s="3" t="s">
        <v>272</v>
      </c>
      <c r="AH13" s="3"/>
      <c r="AI13" s="10" t="s">
        <v>141</v>
      </c>
    </row>
    <row r="14" spans="1:35" ht="12.75">
      <c r="A14" s="79">
        <f>'1x64 splitter'!$E$4</f>
        <v>21.5</v>
      </c>
      <c r="B14" s="3" t="s">
        <v>234</v>
      </c>
      <c r="C14" s="3"/>
      <c r="D14" s="3"/>
      <c r="E14" s="3"/>
      <c r="F14" s="3"/>
      <c r="G14" s="3"/>
      <c r="H14" s="10" t="s">
        <v>235</v>
      </c>
      <c r="J14" s="79">
        <f>'1x64 splitter'!$E$4</f>
        <v>21.5</v>
      </c>
      <c r="K14" s="3" t="s">
        <v>234</v>
      </c>
      <c r="L14" s="3"/>
      <c r="M14" s="3"/>
      <c r="N14" s="3"/>
      <c r="O14" s="3"/>
      <c r="P14" s="3"/>
      <c r="Q14" s="10" t="s">
        <v>235</v>
      </c>
      <c r="S14" s="79">
        <f>'1x128 splitter'!$E$4</f>
        <v>24.647225630290013</v>
      </c>
      <c r="T14" s="3" t="s">
        <v>252</v>
      </c>
      <c r="U14" s="3"/>
      <c r="V14" s="3"/>
      <c r="W14" s="3"/>
      <c r="X14" s="3"/>
      <c r="Y14" s="3"/>
      <c r="Z14" s="10" t="s">
        <v>251</v>
      </c>
      <c r="AB14" s="79">
        <f>'1x128 splitter'!$E$4</f>
        <v>24.647225630290013</v>
      </c>
      <c r="AC14" s="3" t="s">
        <v>252</v>
      </c>
      <c r="AD14" s="3"/>
      <c r="AE14" s="3"/>
      <c r="AF14" s="3"/>
      <c r="AG14" s="3"/>
      <c r="AH14" s="3"/>
      <c r="AI14" s="10" t="s">
        <v>251</v>
      </c>
    </row>
    <row r="15" spans="1:35" ht="12.75">
      <c r="A15" s="79">
        <f>C15*E15</f>
        <v>0.4</v>
      </c>
      <c r="B15" s="3" t="s">
        <v>236</v>
      </c>
      <c r="C15" s="3">
        <v>2</v>
      </c>
      <c r="D15" s="3" t="s">
        <v>1</v>
      </c>
      <c r="E15" s="3">
        <v>0.2</v>
      </c>
      <c r="F15" s="3" t="s">
        <v>273</v>
      </c>
      <c r="G15" s="3"/>
      <c r="H15" s="10" t="s">
        <v>237</v>
      </c>
      <c r="J15" s="79">
        <f>L15*N15</f>
        <v>0.8</v>
      </c>
      <c r="K15" s="3" t="s">
        <v>236</v>
      </c>
      <c r="L15" s="3">
        <v>4</v>
      </c>
      <c r="M15" s="3" t="s">
        <v>1</v>
      </c>
      <c r="N15" s="3">
        <v>0.2</v>
      </c>
      <c r="O15" s="3" t="s">
        <v>273</v>
      </c>
      <c r="P15" s="3"/>
      <c r="Q15" s="10" t="s">
        <v>237</v>
      </c>
      <c r="S15" s="79">
        <f>U15*W15</f>
        <v>0.4</v>
      </c>
      <c r="T15" s="3" t="s">
        <v>236</v>
      </c>
      <c r="U15" s="3">
        <v>2</v>
      </c>
      <c r="V15" s="3" t="s">
        <v>1</v>
      </c>
      <c r="W15" s="3">
        <v>0.2</v>
      </c>
      <c r="X15" s="3" t="s">
        <v>273</v>
      </c>
      <c r="Y15" s="3"/>
      <c r="Z15" s="10" t="s">
        <v>237</v>
      </c>
      <c r="AB15" s="79">
        <f>AD15*AF15</f>
        <v>0.8</v>
      </c>
      <c r="AC15" s="3" t="s">
        <v>236</v>
      </c>
      <c r="AD15" s="3">
        <v>4</v>
      </c>
      <c r="AE15" s="3" t="s">
        <v>1</v>
      </c>
      <c r="AF15" s="3">
        <v>0.2</v>
      </c>
      <c r="AG15" s="3" t="s">
        <v>273</v>
      </c>
      <c r="AH15" s="3"/>
      <c r="AI15" s="10" t="s">
        <v>237</v>
      </c>
    </row>
    <row r="16" spans="1:35" ht="12.75">
      <c r="A16" s="94" t="s">
        <v>238</v>
      </c>
      <c r="B16" s="3"/>
      <c r="C16" s="3"/>
      <c r="D16" s="3"/>
      <c r="E16" s="3"/>
      <c r="F16" s="3"/>
      <c r="G16" s="3"/>
      <c r="H16" s="10"/>
      <c r="J16" s="94" t="s">
        <v>238</v>
      </c>
      <c r="K16" s="3"/>
      <c r="L16" s="3"/>
      <c r="M16" s="3"/>
      <c r="N16" s="3"/>
      <c r="O16" s="3"/>
      <c r="P16" s="3"/>
      <c r="Q16" s="10"/>
      <c r="S16" s="94" t="s">
        <v>238</v>
      </c>
      <c r="T16" s="3"/>
      <c r="U16" s="3"/>
      <c r="V16" s="3"/>
      <c r="W16" s="3"/>
      <c r="X16" s="3"/>
      <c r="Y16" s="3"/>
      <c r="Z16" s="10"/>
      <c r="AB16" s="94" t="s">
        <v>238</v>
      </c>
      <c r="AC16" s="3"/>
      <c r="AD16" s="3"/>
      <c r="AE16" s="3"/>
      <c r="AF16" s="3"/>
      <c r="AG16" s="3"/>
      <c r="AH16" s="3"/>
      <c r="AI16" s="10"/>
    </row>
    <row r="17" spans="1:35" ht="13.5" thickBot="1">
      <c r="A17" s="95">
        <f>SUM(A13:A15)</f>
        <v>26.9</v>
      </c>
      <c r="B17" s="80" t="s">
        <v>245</v>
      </c>
      <c r="C17" s="80"/>
      <c r="D17" s="80"/>
      <c r="E17" s="80"/>
      <c r="F17" s="80"/>
      <c r="G17" s="80"/>
      <c r="H17" s="81"/>
      <c r="J17" s="95">
        <f>SUM(J13:J15)</f>
        <v>27.3</v>
      </c>
      <c r="K17" s="80" t="s">
        <v>245</v>
      </c>
      <c r="L17" s="80"/>
      <c r="M17" s="80"/>
      <c r="N17" s="80"/>
      <c r="O17" s="80"/>
      <c r="P17" s="80"/>
      <c r="Q17" s="81"/>
      <c r="S17" s="95">
        <f>SUM(S13:S15)</f>
        <v>30.04722563029001</v>
      </c>
      <c r="T17" s="80" t="s">
        <v>245</v>
      </c>
      <c r="U17" s="80"/>
      <c r="V17" s="80"/>
      <c r="W17" s="80"/>
      <c r="X17" s="80"/>
      <c r="Y17" s="80"/>
      <c r="Z17" s="81"/>
      <c r="AB17" s="95">
        <f>SUM(AB13:AB15)</f>
        <v>30.447225630290013</v>
      </c>
      <c r="AC17" s="80" t="s">
        <v>245</v>
      </c>
      <c r="AD17" s="80"/>
      <c r="AE17" s="80"/>
      <c r="AF17" s="80"/>
      <c r="AG17" s="80"/>
      <c r="AH17" s="80"/>
      <c r="AI17" s="81"/>
    </row>
    <row r="18" ht="13.5" thickBot="1"/>
    <row r="19" spans="1:35" ht="13.5" thickBot="1">
      <c r="A19" s="181" t="s">
        <v>241</v>
      </c>
      <c r="B19" s="182"/>
      <c r="C19" s="182"/>
      <c r="D19" s="182"/>
      <c r="E19" s="182"/>
      <c r="F19" s="182"/>
      <c r="G19" s="182"/>
      <c r="H19" s="183"/>
      <c r="J19" s="181" t="s">
        <v>241</v>
      </c>
      <c r="K19" s="182"/>
      <c r="L19" s="182"/>
      <c r="M19" s="182"/>
      <c r="N19" s="182"/>
      <c r="O19" s="182"/>
      <c r="P19" s="182"/>
      <c r="Q19" s="183"/>
      <c r="S19" s="181" t="s">
        <v>255</v>
      </c>
      <c r="T19" s="182"/>
      <c r="U19" s="182"/>
      <c r="V19" s="182"/>
      <c r="W19" s="182"/>
      <c r="X19" s="182"/>
      <c r="Y19" s="182"/>
      <c r="Z19" s="183"/>
      <c r="AB19" s="181" t="s">
        <v>255</v>
      </c>
      <c r="AC19" s="182"/>
      <c r="AD19" s="182"/>
      <c r="AE19" s="182"/>
      <c r="AF19" s="182"/>
      <c r="AG19" s="182"/>
      <c r="AH19" s="182"/>
      <c r="AI19" s="183"/>
    </row>
    <row r="20" spans="1:35" ht="12.75">
      <c r="A20" s="96"/>
      <c r="B20" s="82"/>
      <c r="C20" s="82"/>
      <c r="D20" s="82"/>
      <c r="E20" s="82"/>
      <c r="F20" s="82"/>
      <c r="G20" s="82"/>
      <c r="H20" s="83" t="s">
        <v>140</v>
      </c>
      <c r="J20" s="96"/>
      <c r="K20" s="82"/>
      <c r="L20" s="82"/>
      <c r="M20" s="82"/>
      <c r="N20" s="82"/>
      <c r="O20" s="82"/>
      <c r="P20" s="82"/>
      <c r="Q20" s="83" t="s">
        <v>140</v>
      </c>
      <c r="S20" s="96"/>
      <c r="T20" s="82"/>
      <c r="U20" s="82"/>
      <c r="V20" s="82"/>
      <c r="W20" s="82"/>
      <c r="X20" s="82"/>
      <c r="Y20" s="82"/>
      <c r="Z20" s="83" t="s">
        <v>140</v>
      </c>
      <c r="AB20" s="96"/>
      <c r="AC20" s="82"/>
      <c r="AD20" s="82"/>
      <c r="AE20" s="82"/>
      <c r="AF20" s="82"/>
      <c r="AG20" s="82"/>
      <c r="AH20" s="82"/>
      <c r="AI20" s="83" t="s">
        <v>140</v>
      </c>
    </row>
    <row r="21" spans="1:35" ht="12.75">
      <c r="A21" s="85">
        <f>C21*E21</f>
        <v>10</v>
      </c>
      <c r="B21" s="37" t="s">
        <v>0</v>
      </c>
      <c r="C21" s="37">
        <v>20</v>
      </c>
      <c r="D21" s="37" t="s">
        <v>1</v>
      </c>
      <c r="E21" s="37">
        <v>0.5</v>
      </c>
      <c r="F21" s="37" t="s">
        <v>272</v>
      </c>
      <c r="G21" s="37"/>
      <c r="H21" s="84" t="s">
        <v>141</v>
      </c>
      <c r="J21" s="85">
        <f>L21*N21</f>
        <v>10</v>
      </c>
      <c r="K21" s="37" t="s">
        <v>0</v>
      </c>
      <c r="L21" s="37">
        <v>20</v>
      </c>
      <c r="M21" s="37" t="s">
        <v>1</v>
      </c>
      <c r="N21" s="37">
        <v>0.5</v>
      </c>
      <c r="O21" s="37" t="s">
        <v>272</v>
      </c>
      <c r="P21" s="37"/>
      <c r="Q21" s="84" t="s">
        <v>141</v>
      </c>
      <c r="S21" s="85">
        <f>U21*W21</f>
        <v>10</v>
      </c>
      <c r="T21" s="37" t="s">
        <v>0</v>
      </c>
      <c r="U21" s="37">
        <v>20</v>
      </c>
      <c r="V21" s="37" t="s">
        <v>1</v>
      </c>
      <c r="W21" s="37">
        <v>0.5</v>
      </c>
      <c r="X21" s="37" t="s">
        <v>272</v>
      </c>
      <c r="Y21" s="37"/>
      <c r="Z21" s="84" t="s">
        <v>141</v>
      </c>
      <c r="AB21" s="85">
        <f>AD21*AF21</f>
        <v>10</v>
      </c>
      <c r="AC21" s="37" t="s">
        <v>0</v>
      </c>
      <c r="AD21" s="37">
        <v>20</v>
      </c>
      <c r="AE21" s="37" t="s">
        <v>1</v>
      </c>
      <c r="AF21" s="37">
        <v>0.5</v>
      </c>
      <c r="AG21" s="37" t="s">
        <v>272</v>
      </c>
      <c r="AH21" s="37"/>
      <c r="AI21" s="84" t="s">
        <v>141</v>
      </c>
    </row>
    <row r="22" spans="1:35" ht="12.75">
      <c r="A22" s="85">
        <f>'1x64 splitter'!$E$7</f>
        <v>21.113333333333337</v>
      </c>
      <c r="B22" s="37" t="s">
        <v>234</v>
      </c>
      <c r="C22" s="37"/>
      <c r="D22" s="37"/>
      <c r="E22" s="37"/>
      <c r="F22" s="37"/>
      <c r="G22" s="37"/>
      <c r="H22" s="84" t="s">
        <v>242</v>
      </c>
      <c r="J22" s="85">
        <f>'1x64 splitter'!$E$7</f>
        <v>21.113333333333337</v>
      </c>
      <c r="K22" s="37" t="s">
        <v>234</v>
      </c>
      <c r="L22" s="37"/>
      <c r="M22" s="37"/>
      <c r="N22" s="37"/>
      <c r="O22" s="37"/>
      <c r="P22" s="37"/>
      <c r="Q22" s="84" t="s">
        <v>242</v>
      </c>
      <c r="S22" s="85">
        <f>'1x128 splitter'!$E$7</f>
        <v>25.28</v>
      </c>
      <c r="T22" s="37" t="s">
        <v>252</v>
      </c>
      <c r="U22" s="37"/>
      <c r="V22" s="37"/>
      <c r="W22" s="37"/>
      <c r="X22" s="37"/>
      <c r="Y22" s="37"/>
      <c r="Z22" s="84" t="s">
        <v>257</v>
      </c>
      <c r="AB22" s="85">
        <f>'1x128 splitter'!$E$7</f>
        <v>25.28</v>
      </c>
      <c r="AC22" s="37" t="s">
        <v>252</v>
      </c>
      <c r="AD22" s="37"/>
      <c r="AE22" s="37"/>
      <c r="AF22" s="37"/>
      <c r="AG22" s="37"/>
      <c r="AH22" s="37"/>
      <c r="AI22" s="84" t="s">
        <v>257</v>
      </c>
    </row>
    <row r="23" spans="1:35" ht="12.75">
      <c r="A23" s="85">
        <f>C23*E23</f>
        <v>0.4</v>
      </c>
      <c r="B23" s="37" t="s">
        <v>236</v>
      </c>
      <c r="C23" s="37">
        <v>2</v>
      </c>
      <c r="D23" s="37" t="s">
        <v>1</v>
      </c>
      <c r="E23" s="37">
        <v>0.2</v>
      </c>
      <c r="F23" s="37" t="s">
        <v>273</v>
      </c>
      <c r="G23" s="37"/>
      <c r="H23" s="84" t="s">
        <v>237</v>
      </c>
      <c r="J23" s="85">
        <f>L23*N23</f>
        <v>1.2000000000000002</v>
      </c>
      <c r="K23" s="37" t="s">
        <v>236</v>
      </c>
      <c r="L23" s="37">
        <v>6</v>
      </c>
      <c r="M23" s="37" t="s">
        <v>1</v>
      </c>
      <c r="N23" s="37">
        <v>0.2</v>
      </c>
      <c r="O23" s="37" t="s">
        <v>273</v>
      </c>
      <c r="P23" s="37"/>
      <c r="Q23" s="84" t="s">
        <v>237</v>
      </c>
      <c r="S23" s="85">
        <f>U23*W23</f>
        <v>0.4</v>
      </c>
      <c r="T23" s="37" t="s">
        <v>236</v>
      </c>
      <c r="U23" s="37">
        <v>2</v>
      </c>
      <c r="V23" s="37" t="s">
        <v>1</v>
      </c>
      <c r="W23" s="37">
        <v>0.2</v>
      </c>
      <c r="X23" s="37" t="s">
        <v>273</v>
      </c>
      <c r="Y23" s="37"/>
      <c r="Z23" s="84" t="s">
        <v>237</v>
      </c>
      <c r="AB23" s="85">
        <f>AD23*AF23</f>
        <v>1.2000000000000002</v>
      </c>
      <c r="AC23" s="37" t="s">
        <v>236</v>
      </c>
      <c r="AD23" s="37">
        <v>6</v>
      </c>
      <c r="AE23" s="37" t="s">
        <v>1</v>
      </c>
      <c r="AF23" s="37">
        <v>0.2</v>
      </c>
      <c r="AG23" s="37" t="s">
        <v>273</v>
      </c>
      <c r="AH23" s="37"/>
      <c r="AI23" s="84" t="s">
        <v>237</v>
      </c>
    </row>
    <row r="24" spans="1:35" ht="12.75">
      <c r="A24" s="97" t="s">
        <v>238</v>
      </c>
      <c r="B24" s="37"/>
      <c r="C24" s="37"/>
      <c r="D24" s="37"/>
      <c r="E24" s="37"/>
      <c r="F24" s="37"/>
      <c r="G24" s="37"/>
      <c r="H24" s="84"/>
      <c r="J24" s="97" t="s">
        <v>238</v>
      </c>
      <c r="K24" s="37"/>
      <c r="L24" s="37"/>
      <c r="M24" s="37"/>
      <c r="N24" s="37"/>
      <c r="O24" s="37"/>
      <c r="P24" s="37"/>
      <c r="Q24" s="84"/>
      <c r="S24" s="97" t="s">
        <v>238</v>
      </c>
      <c r="T24" s="37"/>
      <c r="U24" s="37"/>
      <c r="V24" s="37"/>
      <c r="W24" s="37"/>
      <c r="X24" s="37"/>
      <c r="Y24" s="37"/>
      <c r="Z24" s="84"/>
      <c r="AB24" s="97" t="s">
        <v>238</v>
      </c>
      <c r="AC24" s="37"/>
      <c r="AD24" s="37"/>
      <c r="AE24" s="37"/>
      <c r="AF24" s="37"/>
      <c r="AG24" s="37"/>
      <c r="AH24" s="37"/>
      <c r="AI24" s="84"/>
    </row>
    <row r="25" spans="1:35" ht="13.5" thickBot="1">
      <c r="A25" s="98">
        <f>SUM(A21:A23)</f>
        <v>31.513333333333335</v>
      </c>
      <c r="B25" s="86" t="s">
        <v>245</v>
      </c>
      <c r="C25" s="86"/>
      <c r="D25" s="86"/>
      <c r="E25" s="86"/>
      <c r="F25" s="86"/>
      <c r="G25" s="86"/>
      <c r="H25" s="87"/>
      <c r="J25" s="98">
        <f>SUM(J21:J23)</f>
        <v>32.31333333333334</v>
      </c>
      <c r="K25" s="86" t="s">
        <v>245</v>
      </c>
      <c r="L25" s="86"/>
      <c r="M25" s="86"/>
      <c r="N25" s="86"/>
      <c r="O25" s="86"/>
      <c r="P25" s="86"/>
      <c r="Q25" s="87"/>
      <c r="S25" s="98">
        <f>SUM(S21:S23)</f>
        <v>35.68</v>
      </c>
      <c r="T25" s="86" t="s">
        <v>245</v>
      </c>
      <c r="U25" s="86"/>
      <c r="V25" s="86"/>
      <c r="W25" s="86"/>
      <c r="X25" s="86"/>
      <c r="Y25" s="86"/>
      <c r="Z25" s="87"/>
      <c r="AB25" s="98">
        <f>SUM(AB21:AB23)</f>
        <v>36.480000000000004</v>
      </c>
      <c r="AC25" s="86" t="s">
        <v>245</v>
      </c>
      <c r="AD25" s="86"/>
      <c r="AE25" s="86"/>
      <c r="AF25" s="86"/>
      <c r="AG25" s="86"/>
      <c r="AH25" s="86"/>
      <c r="AI25" s="87"/>
    </row>
    <row r="26" ht="13.5" thickBot="1"/>
    <row r="27" spans="1:35" ht="13.5" thickBot="1">
      <c r="A27" s="181" t="s">
        <v>243</v>
      </c>
      <c r="B27" s="182"/>
      <c r="C27" s="182"/>
      <c r="D27" s="182"/>
      <c r="E27" s="182"/>
      <c r="F27" s="182"/>
      <c r="G27" s="182"/>
      <c r="H27" s="183"/>
      <c r="J27" s="181" t="s">
        <v>243</v>
      </c>
      <c r="K27" s="182"/>
      <c r="L27" s="182"/>
      <c r="M27" s="182"/>
      <c r="N27" s="182"/>
      <c r="O27" s="182"/>
      <c r="P27" s="182"/>
      <c r="Q27" s="183"/>
      <c r="S27" s="181" t="s">
        <v>256</v>
      </c>
      <c r="T27" s="182"/>
      <c r="U27" s="182"/>
      <c r="V27" s="182"/>
      <c r="W27" s="182"/>
      <c r="X27" s="182"/>
      <c r="Y27" s="182"/>
      <c r="Z27" s="183"/>
      <c r="AB27" s="181" t="s">
        <v>256</v>
      </c>
      <c r="AC27" s="182"/>
      <c r="AD27" s="182"/>
      <c r="AE27" s="182"/>
      <c r="AF27" s="182"/>
      <c r="AG27" s="182"/>
      <c r="AH27" s="182"/>
      <c r="AI27" s="183"/>
    </row>
    <row r="28" spans="1:35" ht="12.75">
      <c r="A28" s="96"/>
      <c r="B28" s="82"/>
      <c r="C28" s="82"/>
      <c r="D28" s="82"/>
      <c r="E28" s="82"/>
      <c r="F28" s="82"/>
      <c r="G28" s="82"/>
      <c r="H28" s="83" t="s">
        <v>140</v>
      </c>
      <c r="J28" s="96"/>
      <c r="K28" s="82"/>
      <c r="L28" s="82"/>
      <c r="M28" s="82"/>
      <c r="N28" s="82"/>
      <c r="O28" s="82"/>
      <c r="P28" s="82"/>
      <c r="Q28" s="83" t="s">
        <v>140</v>
      </c>
      <c r="S28" s="96"/>
      <c r="T28" s="82"/>
      <c r="U28" s="82"/>
      <c r="V28" s="82"/>
      <c r="W28" s="82"/>
      <c r="X28" s="82"/>
      <c r="Y28" s="82"/>
      <c r="Z28" s="83" t="s">
        <v>140</v>
      </c>
      <c r="AB28" s="96"/>
      <c r="AC28" s="82"/>
      <c r="AD28" s="82"/>
      <c r="AE28" s="82"/>
      <c r="AF28" s="82"/>
      <c r="AG28" s="82"/>
      <c r="AH28" s="82"/>
      <c r="AI28" s="83" t="s">
        <v>140</v>
      </c>
    </row>
    <row r="29" spans="1:35" ht="12.75">
      <c r="A29" s="85">
        <f>C29*E29</f>
        <v>5</v>
      </c>
      <c r="B29" s="37" t="s">
        <v>0</v>
      </c>
      <c r="C29" s="37">
        <v>10</v>
      </c>
      <c r="D29" s="37" t="s">
        <v>1</v>
      </c>
      <c r="E29" s="37">
        <v>0.5</v>
      </c>
      <c r="F29" s="37" t="s">
        <v>272</v>
      </c>
      <c r="G29" s="37"/>
      <c r="H29" s="84" t="s">
        <v>141</v>
      </c>
      <c r="J29" s="85">
        <f>L29*N29</f>
        <v>5</v>
      </c>
      <c r="K29" s="37" t="s">
        <v>0</v>
      </c>
      <c r="L29" s="37">
        <v>10</v>
      </c>
      <c r="M29" s="37" t="s">
        <v>1</v>
      </c>
      <c r="N29" s="37">
        <v>0.5</v>
      </c>
      <c r="O29" s="37" t="s">
        <v>272</v>
      </c>
      <c r="P29" s="37"/>
      <c r="Q29" s="84" t="s">
        <v>141</v>
      </c>
      <c r="S29" s="85">
        <f>U29*W29</f>
        <v>5</v>
      </c>
      <c r="T29" s="37" t="s">
        <v>0</v>
      </c>
      <c r="U29" s="37">
        <v>10</v>
      </c>
      <c r="V29" s="37" t="s">
        <v>1</v>
      </c>
      <c r="W29" s="37">
        <v>0.5</v>
      </c>
      <c r="X29" s="37" t="s">
        <v>272</v>
      </c>
      <c r="Y29" s="37"/>
      <c r="Z29" s="84" t="s">
        <v>141</v>
      </c>
      <c r="AB29" s="85">
        <f>AD29*AF29</f>
        <v>5</v>
      </c>
      <c r="AC29" s="37" t="s">
        <v>0</v>
      </c>
      <c r="AD29" s="37">
        <v>10</v>
      </c>
      <c r="AE29" s="37" t="s">
        <v>1</v>
      </c>
      <c r="AF29" s="37">
        <v>0.5</v>
      </c>
      <c r="AG29" s="37" t="s">
        <v>272</v>
      </c>
      <c r="AH29" s="37"/>
      <c r="AI29" s="84" t="s">
        <v>141</v>
      </c>
    </row>
    <row r="30" spans="1:35" ht="12.75">
      <c r="A30" s="85">
        <f>'1x64 splitter'!$E$7</f>
        <v>21.113333333333337</v>
      </c>
      <c r="B30" s="37" t="s">
        <v>234</v>
      </c>
      <c r="C30" s="37"/>
      <c r="D30" s="37"/>
      <c r="E30" s="37"/>
      <c r="F30" s="37"/>
      <c r="G30" s="37"/>
      <c r="H30" s="84" t="s">
        <v>242</v>
      </c>
      <c r="J30" s="85">
        <f>'1x64 splitter'!$E$7</f>
        <v>21.113333333333337</v>
      </c>
      <c r="K30" s="37" t="s">
        <v>234</v>
      </c>
      <c r="L30" s="37"/>
      <c r="M30" s="37"/>
      <c r="N30" s="37"/>
      <c r="O30" s="37"/>
      <c r="P30" s="37"/>
      <c r="Q30" s="84" t="s">
        <v>242</v>
      </c>
      <c r="S30" s="85">
        <f>'1x128 splitter'!$E$7</f>
        <v>25.28</v>
      </c>
      <c r="T30" s="37" t="s">
        <v>252</v>
      </c>
      <c r="U30" s="37"/>
      <c r="V30" s="37"/>
      <c r="W30" s="37"/>
      <c r="X30" s="37"/>
      <c r="Y30" s="37"/>
      <c r="Z30" s="84" t="s">
        <v>257</v>
      </c>
      <c r="AB30" s="85">
        <f>'1x128 splitter'!$E$7</f>
        <v>25.28</v>
      </c>
      <c r="AC30" s="37" t="s">
        <v>252</v>
      </c>
      <c r="AD30" s="37"/>
      <c r="AE30" s="37"/>
      <c r="AF30" s="37"/>
      <c r="AG30" s="37"/>
      <c r="AH30" s="37"/>
      <c r="AI30" s="84" t="s">
        <v>257</v>
      </c>
    </row>
    <row r="31" spans="1:35" ht="12.75">
      <c r="A31" s="85">
        <f>C31*E31</f>
        <v>0.4</v>
      </c>
      <c r="B31" s="37" t="s">
        <v>236</v>
      </c>
      <c r="C31" s="37">
        <v>2</v>
      </c>
      <c r="D31" s="37" t="s">
        <v>1</v>
      </c>
      <c r="E31" s="37">
        <v>0.2</v>
      </c>
      <c r="F31" s="37" t="s">
        <v>273</v>
      </c>
      <c r="G31" s="37"/>
      <c r="H31" s="84" t="s">
        <v>237</v>
      </c>
      <c r="J31" s="85">
        <f>L31*N31</f>
        <v>1.2000000000000002</v>
      </c>
      <c r="K31" s="37" t="s">
        <v>236</v>
      </c>
      <c r="L31" s="37">
        <v>6</v>
      </c>
      <c r="M31" s="37" t="s">
        <v>1</v>
      </c>
      <c r="N31" s="37">
        <v>0.2</v>
      </c>
      <c r="O31" s="37" t="s">
        <v>273</v>
      </c>
      <c r="P31" s="37"/>
      <c r="Q31" s="84" t="s">
        <v>237</v>
      </c>
      <c r="S31" s="85">
        <f>U31*W31</f>
        <v>0.4</v>
      </c>
      <c r="T31" s="37" t="s">
        <v>236</v>
      </c>
      <c r="U31" s="37">
        <v>2</v>
      </c>
      <c r="V31" s="37" t="s">
        <v>1</v>
      </c>
      <c r="W31" s="37">
        <v>0.2</v>
      </c>
      <c r="X31" s="37" t="s">
        <v>273</v>
      </c>
      <c r="Y31" s="37"/>
      <c r="Z31" s="84" t="s">
        <v>237</v>
      </c>
      <c r="AB31" s="85">
        <f>AD31*AF31</f>
        <v>1.2000000000000002</v>
      </c>
      <c r="AC31" s="37" t="s">
        <v>236</v>
      </c>
      <c r="AD31" s="37">
        <v>6</v>
      </c>
      <c r="AE31" s="37" t="s">
        <v>1</v>
      </c>
      <c r="AF31" s="37">
        <v>0.2</v>
      </c>
      <c r="AG31" s="37" t="s">
        <v>273</v>
      </c>
      <c r="AH31" s="37"/>
      <c r="AI31" s="84" t="s">
        <v>237</v>
      </c>
    </row>
    <row r="32" spans="1:35" ht="12.75">
      <c r="A32" s="97" t="s">
        <v>238</v>
      </c>
      <c r="B32" s="37"/>
      <c r="C32" s="37"/>
      <c r="D32" s="37"/>
      <c r="E32" s="37"/>
      <c r="F32" s="37"/>
      <c r="G32" s="37"/>
      <c r="H32" s="84"/>
      <c r="J32" s="97" t="s">
        <v>238</v>
      </c>
      <c r="K32" s="37"/>
      <c r="L32" s="37"/>
      <c r="M32" s="37"/>
      <c r="N32" s="37"/>
      <c r="O32" s="37"/>
      <c r="P32" s="37"/>
      <c r="Q32" s="84"/>
      <c r="S32" s="97" t="s">
        <v>238</v>
      </c>
      <c r="T32" s="37"/>
      <c r="U32" s="37"/>
      <c r="V32" s="37"/>
      <c r="W32" s="37"/>
      <c r="X32" s="37"/>
      <c r="Y32" s="37"/>
      <c r="Z32" s="84"/>
      <c r="AB32" s="97" t="s">
        <v>238</v>
      </c>
      <c r="AC32" s="37"/>
      <c r="AD32" s="37"/>
      <c r="AE32" s="37"/>
      <c r="AF32" s="37"/>
      <c r="AG32" s="37"/>
      <c r="AH32" s="37"/>
      <c r="AI32" s="84"/>
    </row>
    <row r="33" spans="1:35" ht="13.5" thickBot="1">
      <c r="A33" s="98">
        <f>SUM(A29:A31)</f>
        <v>26.513333333333335</v>
      </c>
      <c r="B33" s="86" t="s">
        <v>245</v>
      </c>
      <c r="C33" s="86"/>
      <c r="D33" s="86"/>
      <c r="E33" s="86"/>
      <c r="F33" s="86"/>
      <c r="G33" s="86"/>
      <c r="H33" s="87"/>
      <c r="J33" s="98">
        <f>SUM(J29:J31)</f>
        <v>27.313333333333336</v>
      </c>
      <c r="K33" s="86" t="s">
        <v>245</v>
      </c>
      <c r="L33" s="86"/>
      <c r="M33" s="86"/>
      <c r="N33" s="86"/>
      <c r="O33" s="86"/>
      <c r="P33" s="86"/>
      <c r="Q33" s="87"/>
      <c r="S33" s="98">
        <f>SUM(S29:S31)</f>
        <v>30.68</v>
      </c>
      <c r="T33" s="86" t="s">
        <v>245</v>
      </c>
      <c r="U33" s="86"/>
      <c r="V33" s="86"/>
      <c r="W33" s="86"/>
      <c r="X33" s="86"/>
      <c r="Y33" s="86"/>
      <c r="Z33" s="87"/>
      <c r="AB33" s="98">
        <f>SUM(AB29:AB31)</f>
        <v>31.48</v>
      </c>
      <c r="AC33" s="86" t="s">
        <v>245</v>
      </c>
      <c r="AD33" s="86"/>
      <c r="AE33" s="86"/>
      <c r="AF33" s="86"/>
      <c r="AG33" s="86"/>
      <c r="AH33" s="86"/>
      <c r="AI33" s="87"/>
    </row>
    <row r="34" ht="13.5" thickBot="1"/>
    <row r="35" spans="1:35" ht="13.5" thickBot="1">
      <c r="A35" s="169" t="s">
        <v>241</v>
      </c>
      <c r="B35" s="170"/>
      <c r="C35" s="170"/>
      <c r="D35" s="170"/>
      <c r="E35" s="170"/>
      <c r="F35" s="170"/>
      <c r="G35" s="170"/>
      <c r="H35" s="171"/>
      <c r="J35" s="169" t="s">
        <v>241</v>
      </c>
      <c r="K35" s="170"/>
      <c r="L35" s="170"/>
      <c r="M35" s="170"/>
      <c r="N35" s="170"/>
      <c r="O35" s="170"/>
      <c r="P35" s="170"/>
      <c r="Q35" s="171"/>
      <c r="S35" s="169" t="s">
        <v>255</v>
      </c>
      <c r="T35" s="170"/>
      <c r="U35" s="170"/>
      <c r="V35" s="170"/>
      <c r="W35" s="170"/>
      <c r="X35" s="170"/>
      <c r="Y35" s="170"/>
      <c r="Z35" s="171"/>
      <c r="AB35" s="169" t="s">
        <v>255</v>
      </c>
      <c r="AC35" s="170"/>
      <c r="AD35" s="170"/>
      <c r="AE35" s="170"/>
      <c r="AF35" s="170"/>
      <c r="AG35" s="170"/>
      <c r="AH35" s="170"/>
      <c r="AI35" s="171"/>
    </row>
    <row r="36" spans="1:35" ht="12.75">
      <c r="A36" s="99"/>
      <c r="B36" s="88"/>
      <c r="C36" s="88"/>
      <c r="D36" s="88"/>
      <c r="E36" s="88"/>
      <c r="F36" s="88"/>
      <c r="G36" s="88"/>
      <c r="H36" s="89" t="s">
        <v>140</v>
      </c>
      <c r="J36" s="99"/>
      <c r="K36" s="88"/>
      <c r="L36" s="88"/>
      <c r="M36" s="88"/>
      <c r="N36" s="88"/>
      <c r="O36" s="88"/>
      <c r="P36" s="88"/>
      <c r="Q36" s="89" t="s">
        <v>140</v>
      </c>
      <c r="S36" s="99"/>
      <c r="T36" s="88"/>
      <c r="U36" s="88"/>
      <c r="V36" s="88"/>
      <c r="W36" s="88"/>
      <c r="X36" s="88"/>
      <c r="Y36" s="88"/>
      <c r="Z36" s="89" t="s">
        <v>140</v>
      </c>
      <c r="AB36" s="99"/>
      <c r="AC36" s="88"/>
      <c r="AD36" s="88"/>
      <c r="AE36" s="88"/>
      <c r="AF36" s="88"/>
      <c r="AG36" s="88"/>
      <c r="AH36" s="88"/>
      <c r="AI36" s="89" t="s">
        <v>140</v>
      </c>
    </row>
    <row r="37" spans="1:35" ht="12.75">
      <c r="A37" s="35">
        <f>C37*E37</f>
        <v>10</v>
      </c>
      <c r="B37" s="4" t="s">
        <v>0</v>
      </c>
      <c r="C37" s="4">
        <v>20</v>
      </c>
      <c r="D37" s="4" t="s">
        <v>1</v>
      </c>
      <c r="E37" s="4">
        <v>0.5</v>
      </c>
      <c r="F37" s="4" t="s">
        <v>272</v>
      </c>
      <c r="G37" s="4"/>
      <c r="H37" s="90" t="s">
        <v>141</v>
      </c>
      <c r="J37" s="35">
        <f>L37*N37</f>
        <v>10</v>
      </c>
      <c r="K37" s="4" t="s">
        <v>0</v>
      </c>
      <c r="L37" s="4">
        <v>20</v>
      </c>
      <c r="M37" s="4" t="s">
        <v>1</v>
      </c>
      <c r="N37" s="4">
        <v>0.5</v>
      </c>
      <c r="O37" s="4" t="s">
        <v>272</v>
      </c>
      <c r="P37" s="4"/>
      <c r="Q37" s="90" t="s">
        <v>141</v>
      </c>
      <c r="S37" s="35">
        <f>U37*W37</f>
        <v>10</v>
      </c>
      <c r="T37" s="4" t="s">
        <v>0</v>
      </c>
      <c r="U37" s="4">
        <v>20</v>
      </c>
      <c r="V37" s="4" t="s">
        <v>1</v>
      </c>
      <c r="W37" s="4">
        <v>0.5</v>
      </c>
      <c r="X37" s="4" t="s">
        <v>272</v>
      </c>
      <c r="Y37" s="4"/>
      <c r="Z37" s="90" t="s">
        <v>141</v>
      </c>
      <c r="AB37" s="35">
        <f>AD37*AF37</f>
        <v>10</v>
      </c>
      <c r="AC37" s="4" t="s">
        <v>0</v>
      </c>
      <c r="AD37" s="4">
        <v>20</v>
      </c>
      <c r="AE37" s="4" t="s">
        <v>1</v>
      </c>
      <c r="AF37" s="4">
        <v>0.5</v>
      </c>
      <c r="AG37" s="4" t="s">
        <v>272</v>
      </c>
      <c r="AH37" s="4"/>
      <c r="AI37" s="90" t="s">
        <v>141</v>
      </c>
    </row>
    <row r="38" spans="1:35" ht="12.75">
      <c r="A38" s="35">
        <f>'1x64 splitter'!$E$8</f>
        <v>21.332</v>
      </c>
      <c r="B38" s="4" t="s">
        <v>234</v>
      </c>
      <c r="C38" s="4"/>
      <c r="D38" s="4"/>
      <c r="E38" s="4"/>
      <c r="F38" s="4"/>
      <c r="G38" s="4"/>
      <c r="H38" s="90" t="s">
        <v>244</v>
      </c>
      <c r="J38" s="35">
        <f>'1x64 splitter'!$E$8</f>
        <v>21.332</v>
      </c>
      <c r="K38" s="4" t="s">
        <v>234</v>
      </c>
      <c r="L38" s="4"/>
      <c r="M38" s="4"/>
      <c r="N38" s="4"/>
      <c r="O38" s="4"/>
      <c r="P38" s="4"/>
      <c r="Q38" s="90" t="s">
        <v>244</v>
      </c>
      <c r="S38" s="35">
        <f>'1x128 splitter'!$E$8</f>
        <v>24.633333333333336</v>
      </c>
      <c r="T38" s="4" t="s">
        <v>252</v>
      </c>
      <c r="U38" s="4"/>
      <c r="V38" s="4"/>
      <c r="W38" s="4"/>
      <c r="X38" s="4"/>
      <c r="Y38" s="4"/>
      <c r="Z38" s="90" t="s">
        <v>258</v>
      </c>
      <c r="AB38" s="35">
        <f>'1x128 splitter'!$E$8</f>
        <v>24.633333333333336</v>
      </c>
      <c r="AC38" s="4" t="s">
        <v>252</v>
      </c>
      <c r="AD38" s="4"/>
      <c r="AE38" s="4"/>
      <c r="AF38" s="4"/>
      <c r="AG38" s="4"/>
      <c r="AH38" s="4"/>
      <c r="AI38" s="90" t="s">
        <v>258</v>
      </c>
    </row>
    <row r="39" spans="1:35" ht="12.75">
      <c r="A39" s="35">
        <f>C39*E39</f>
        <v>0.4</v>
      </c>
      <c r="B39" s="4" t="s">
        <v>236</v>
      </c>
      <c r="C39" s="4">
        <v>2</v>
      </c>
      <c r="D39" s="4" t="s">
        <v>1</v>
      </c>
      <c r="E39" s="4">
        <v>0.2</v>
      </c>
      <c r="F39" s="4" t="s">
        <v>273</v>
      </c>
      <c r="G39" s="4"/>
      <c r="H39" s="90" t="s">
        <v>237</v>
      </c>
      <c r="J39" s="35">
        <f>L39*N39</f>
        <v>1.2000000000000002</v>
      </c>
      <c r="K39" s="4" t="s">
        <v>236</v>
      </c>
      <c r="L39" s="4">
        <v>6</v>
      </c>
      <c r="M39" s="4" t="s">
        <v>1</v>
      </c>
      <c r="N39" s="4">
        <v>0.2</v>
      </c>
      <c r="O39" s="4" t="s">
        <v>273</v>
      </c>
      <c r="P39" s="4"/>
      <c r="Q39" s="90" t="s">
        <v>237</v>
      </c>
      <c r="S39" s="35">
        <f>U39*W39</f>
        <v>0.4</v>
      </c>
      <c r="T39" s="4" t="s">
        <v>236</v>
      </c>
      <c r="U39" s="4">
        <v>2</v>
      </c>
      <c r="V39" s="4" t="s">
        <v>1</v>
      </c>
      <c r="W39" s="4">
        <v>0.2</v>
      </c>
      <c r="X39" s="4" t="s">
        <v>273</v>
      </c>
      <c r="Y39" s="4"/>
      <c r="Z39" s="90" t="s">
        <v>237</v>
      </c>
      <c r="AB39" s="35">
        <f>AD39*AF39</f>
        <v>1.2000000000000002</v>
      </c>
      <c r="AC39" s="4" t="s">
        <v>236</v>
      </c>
      <c r="AD39" s="4">
        <v>6</v>
      </c>
      <c r="AE39" s="4" t="s">
        <v>1</v>
      </c>
      <c r="AF39" s="4">
        <v>0.2</v>
      </c>
      <c r="AG39" s="4" t="s">
        <v>273</v>
      </c>
      <c r="AH39" s="4"/>
      <c r="AI39" s="90" t="s">
        <v>237</v>
      </c>
    </row>
    <row r="40" spans="1:35" ht="12.75">
      <c r="A40" s="100" t="s">
        <v>238</v>
      </c>
      <c r="B40" s="4"/>
      <c r="C40" s="4"/>
      <c r="D40" s="4"/>
      <c r="E40" s="4"/>
      <c r="F40" s="4"/>
      <c r="G40" s="4"/>
      <c r="H40" s="90"/>
      <c r="J40" s="100" t="s">
        <v>238</v>
      </c>
      <c r="K40" s="4"/>
      <c r="L40" s="4"/>
      <c r="M40" s="4"/>
      <c r="N40" s="4"/>
      <c r="O40" s="4"/>
      <c r="P40" s="4"/>
      <c r="Q40" s="90"/>
      <c r="S40" s="100" t="s">
        <v>238</v>
      </c>
      <c r="T40" s="4"/>
      <c r="U40" s="4"/>
      <c r="V40" s="4"/>
      <c r="W40" s="4"/>
      <c r="X40" s="4"/>
      <c r="Y40" s="4"/>
      <c r="Z40" s="90"/>
      <c r="AB40" s="100" t="s">
        <v>238</v>
      </c>
      <c r="AC40" s="4"/>
      <c r="AD40" s="4"/>
      <c r="AE40" s="4"/>
      <c r="AF40" s="4"/>
      <c r="AG40" s="4"/>
      <c r="AH40" s="4"/>
      <c r="AI40" s="90"/>
    </row>
    <row r="41" spans="1:35" ht="13.5" thickBot="1">
      <c r="A41" s="101">
        <f>SUM(A37:A39)</f>
        <v>31.732</v>
      </c>
      <c r="B41" s="91" t="s">
        <v>245</v>
      </c>
      <c r="C41" s="91"/>
      <c r="D41" s="91"/>
      <c r="E41" s="91"/>
      <c r="F41" s="91"/>
      <c r="G41" s="91"/>
      <c r="H41" s="92"/>
      <c r="J41" s="101">
        <f>SUM(J37:J39)</f>
        <v>32.532000000000004</v>
      </c>
      <c r="K41" s="91" t="s">
        <v>245</v>
      </c>
      <c r="L41" s="91"/>
      <c r="M41" s="91"/>
      <c r="N41" s="91"/>
      <c r="O41" s="91"/>
      <c r="P41" s="91"/>
      <c r="Q41" s="92"/>
      <c r="S41" s="101">
        <f>SUM(S37:S39)</f>
        <v>35.03333333333334</v>
      </c>
      <c r="T41" s="91" t="s">
        <v>245</v>
      </c>
      <c r="U41" s="91"/>
      <c r="V41" s="91"/>
      <c r="W41" s="91"/>
      <c r="X41" s="91"/>
      <c r="Y41" s="91"/>
      <c r="Z41" s="92"/>
      <c r="AB41" s="101">
        <f>SUM(AB37:AB39)</f>
        <v>35.83333333333334</v>
      </c>
      <c r="AC41" s="91" t="s">
        <v>245</v>
      </c>
      <c r="AD41" s="91"/>
      <c r="AE41" s="91"/>
      <c r="AF41" s="91"/>
      <c r="AG41" s="91"/>
      <c r="AH41" s="91"/>
      <c r="AI41" s="92"/>
    </row>
    <row r="42" ht="13.5" thickBot="1"/>
    <row r="43" spans="1:35" ht="13.5" thickBot="1">
      <c r="A43" s="169" t="s">
        <v>243</v>
      </c>
      <c r="B43" s="170"/>
      <c r="C43" s="170"/>
      <c r="D43" s="170"/>
      <c r="E43" s="170"/>
      <c r="F43" s="170"/>
      <c r="G43" s="170"/>
      <c r="H43" s="171"/>
      <c r="J43" s="169" t="s">
        <v>243</v>
      </c>
      <c r="K43" s="170"/>
      <c r="L43" s="170"/>
      <c r="M43" s="170"/>
      <c r="N43" s="170"/>
      <c r="O43" s="170"/>
      <c r="P43" s="170"/>
      <c r="Q43" s="171"/>
      <c r="S43" s="169" t="s">
        <v>256</v>
      </c>
      <c r="T43" s="170"/>
      <c r="U43" s="170"/>
      <c r="V43" s="170"/>
      <c r="W43" s="170"/>
      <c r="X43" s="170"/>
      <c r="Y43" s="170"/>
      <c r="Z43" s="171"/>
      <c r="AB43" s="169" t="s">
        <v>256</v>
      </c>
      <c r="AC43" s="170"/>
      <c r="AD43" s="170"/>
      <c r="AE43" s="170"/>
      <c r="AF43" s="170"/>
      <c r="AG43" s="170"/>
      <c r="AH43" s="170"/>
      <c r="AI43" s="171"/>
    </row>
    <row r="44" spans="1:35" ht="12.75">
      <c r="A44" s="99"/>
      <c r="B44" s="88"/>
      <c r="C44" s="88"/>
      <c r="D44" s="88"/>
      <c r="E44" s="88"/>
      <c r="F44" s="88"/>
      <c r="G44" s="88"/>
      <c r="H44" s="89" t="s">
        <v>140</v>
      </c>
      <c r="J44" s="99"/>
      <c r="K44" s="88"/>
      <c r="L44" s="88"/>
      <c r="M44" s="88"/>
      <c r="N44" s="88"/>
      <c r="O44" s="88"/>
      <c r="P44" s="88"/>
      <c r="Q44" s="89" t="s">
        <v>140</v>
      </c>
      <c r="S44" s="99"/>
      <c r="T44" s="88"/>
      <c r="U44" s="88"/>
      <c r="V44" s="88"/>
      <c r="W44" s="88"/>
      <c r="X44" s="88"/>
      <c r="Y44" s="88"/>
      <c r="Z44" s="89" t="s">
        <v>140</v>
      </c>
      <c r="AB44" s="99"/>
      <c r="AC44" s="88"/>
      <c r="AD44" s="88"/>
      <c r="AE44" s="88"/>
      <c r="AF44" s="88"/>
      <c r="AG44" s="88"/>
      <c r="AH44" s="88"/>
      <c r="AI44" s="89" t="s">
        <v>140</v>
      </c>
    </row>
    <row r="45" spans="1:35" ht="12.75">
      <c r="A45" s="35">
        <f>C45*E45</f>
        <v>5</v>
      </c>
      <c r="B45" s="4" t="s">
        <v>0</v>
      </c>
      <c r="C45" s="4">
        <v>10</v>
      </c>
      <c r="D45" s="4" t="s">
        <v>1</v>
      </c>
      <c r="E45" s="4">
        <v>0.5</v>
      </c>
      <c r="F45" s="4" t="s">
        <v>272</v>
      </c>
      <c r="G45" s="4"/>
      <c r="H45" s="90" t="s">
        <v>141</v>
      </c>
      <c r="J45" s="35">
        <f>L45*N45</f>
        <v>5</v>
      </c>
      <c r="K45" s="4" t="s">
        <v>0</v>
      </c>
      <c r="L45" s="4">
        <v>10</v>
      </c>
      <c r="M45" s="4" t="s">
        <v>1</v>
      </c>
      <c r="N45" s="4">
        <v>0.5</v>
      </c>
      <c r="O45" s="4" t="s">
        <v>272</v>
      </c>
      <c r="P45" s="4"/>
      <c r="Q45" s="90" t="s">
        <v>141</v>
      </c>
      <c r="S45" s="35">
        <f>U45*W45</f>
        <v>5</v>
      </c>
      <c r="T45" s="4" t="s">
        <v>0</v>
      </c>
      <c r="U45" s="4">
        <v>10</v>
      </c>
      <c r="V45" s="4" t="s">
        <v>1</v>
      </c>
      <c r="W45" s="4">
        <v>0.5</v>
      </c>
      <c r="X45" s="4" t="s">
        <v>272</v>
      </c>
      <c r="Y45" s="4"/>
      <c r="Z45" s="90" t="s">
        <v>141</v>
      </c>
      <c r="AB45" s="35">
        <f>AD45*AF45</f>
        <v>5</v>
      </c>
      <c r="AC45" s="4" t="s">
        <v>0</v>
      </c>
      <c r="AD45" s="4">
        <v>10</v>
      </c>
      <c r="AE45" s="4" t="s">
        <v>1</v>
      </c>
      <c r="AF45" s="4">
        <v>0.5</v>
      </c>
      <c r="AG45" s="4" t="s">
        <v>272</v>
      </c>
      <c r="AH45" s="4"/>
      <c r="AI45" s="90" t="s">
        <v>141</v>
      </c>
    </row>
    <row r="46" spans="1:35" ht="12.75">
      <c r="A46" s="35">
        <f>'1x64 splitter'!$E$8</f>
        <v>21.332</v>
      </c>
      <c r="B46" s="4" t="s">
        <v>234</v>
      </c>
      <c r="C46" s="4"/>
      <c r="D46" s="4"/>
      <c r="E46" s="4"/>
      <c r="F46" s="4"/>
      <c r="G46" s="4"/>
      <c r="H46" s="90" t="s">
        <v>244</v>
      </c>
      <c r="J46" s="35">
        <f>'1x64 splitter'!$E$8</f>
        <v>21.332</v>
      </c>
      <c r="K46" s="4" t="s">
        <v>234</v>
      </c>
      <c r="L46" s="4"/>
      <c r="M46" s="4"/>
      <c r="N46" s="4"/>
      <c r="O46" s="4"/>
      <c r="P46" s="4"/>
      <c r="Q46" s="90" t="s">
        <v>244</v>
      </c>
      <c r="S46" s="35">
        <f>'1x128 splitter'!$E$8</f>
        <v>24.633333333333336</v>
      </c>
      <c r="T46" s="4" t="s">
        <v>252</v>
      </c>
      <c r="U46" s="4"/>
      <c r="V46" s="4"/>
      <c r="W46" s="4"/>
      <c r="X46" s="4"/>
      <c r="Y46" s="4"/>
      <c r="Z46" s="90" t="s">
        <v>258</v>
      </c>
      <c r="AB46" s="35">
        <f>'1x128 splitter'!$E$8</f>
        <v>24.633333333333336</v>
      </c>
      <c r="AC46" s="4" t="s">
        <v>252</v>
      </c>
      <c r="AD46" s="4"/>
      <c r="AE46" s="4"/>
      <c r="AF46" s="4"/>
      <c r="AG46" s="4"/>
      <c r="AH46" s="4"/>
      <c r="AI46" s="90" t="s">
        <v>258</v>
      </c>
    </row>
    <row r="47" spans="1:35" ht="12.75">
      <c r="A47" s="35">
        <f>C47*E47</f>
        <v>0.4</v>
      </c>
      <c r="B47" s="4" t="s">
        <v>236</v>
      </c>
      <c r="C47" s="4">
        <v>2</v>
      </c>
      <c r="D47" s="4" t="s">
        <v>1</v>
      </c>
      <c r="E47" s="4">
        <v>0.2</v>
      </c>
      <c r="F47" s="4" t="s">
        <v>273</v>
      </c>
      <c r="G47" s="4"/>
      <c r="H47" s="90" t="s">
        <v>237</v>
      </c>
      <c r="J47" s="35">
        <f>L47*N47</f>
        <v>1.2000000000000002</v>
      </c>
      <c r="K47" s="4" t="s">
        <v>236</v>
      </c>
      <c r="L47" s="4">
        <v>6</v>
      </c>
      <c r="M47" s="4" t="s">
        <v>1</v>
      </c>
      <c r="N47" s="4">
        <v>0.2</v>
      </c>
      <c r="O47" s="4" t="s">
        <v>273</v>
      </c>
      <c r="P47" s="4"/>
      <c r="Q47" s="90" t="s">
        <v>237</v>
      </c>
      <c r="S47" s="35">
        <f>U47*W47</f>
        <v>0.4</v>
      </c>
      <c r="T47" s="4" t="s">
        <v>236</v>
      </c>
      <c r="U47" s="4">
        <v>2</v>
      </c>
      <c r="V47" s="4" t="s">
        <v>1</v>
      </c>
      <c r="W47" s="4">
        <v>0.2</v>
      </c>
      <c r="X47" s="4" t="s">
        <v>273</v>
      </c>
      <c r="Y47" s="4"/>
      <c r="Z47" s="90" t="s">
        <v>237</v>
      </c>
      <c r="AB47" s="35">
        <f>AD47*AF47</f>
        <v>1.2000000000000002</v>
      </c>
      <c r="AC47" s="4" t="s">
        <v>236</v>
      </c>
      <c r="AD47" s="4">
        <v>6</v>
      </c>
      <c r="AE47" s="4" t="s">
        <v>1</v>
      </c>
      <c r="AF47" s="4">
        <v>0.2</v>
      </c>
      <c r="AG47" s="4" t="s">
        <v>273</v>
      </c>
      <c r="AH47" s="4"/>
      <c r="AI47" s="90" t="s">
        <v>237</v>
      </c>
    </row>
    <row r="48" spans="1:35" ht="12.75">
      <c r="A48" s="100" t="s">
        <v>238</v>
      </c>
      <c r="B48" s="4"/>
      <c r="C48" s="4"/>
      <c r="D48" s="4"/>
      <c r="E48" s="4"/>
      <c r="F48" s="4"/>
      <c r="G48" s="4"/>
      <c r="H48" s="90"/>
      <c r="J48" s="100" t="s">
        <v>238</v>
      </c>
      <c r="K48" s="4"/>
      <c r="L48" s="4"/>
      <c r="M48" s="4"/>
      <c r="N48" s="4"/>
      <c r="O48" s="4"/>
      <c r="P48" s="4"/>
      <c r="Q48" s="90"/>
      <c r="S48" s="100" t="s">
        <v>238</v>
      </c>
      <c r="T48" s="4"/>
      <c r="U48" s="4"/>
      <c r="V48" s="4"/>
      <c r="W48" s="4"/>
      <c r="X48" s="4"/>
      <c r="Y48" s="4"/>
      <c r="Z48" s="90"/>
      <c r="AB48" s="100" t="s">
        <v>238</v>
      </c>
      <c r="AC48" s="4"/>
      <c r="AD48" s="4"/>
      <c r="AE48" s="4"/>
      <c r="AF48" s="4"/>
      <c r="AG48" s="4"/>
      <c r="AH48" s="4"/>
      <c r="AI48" s="90"/>
    </row>
    <row r="49" spans="1:35" ht="13.5" thickBot="1">
      <c r="A49" s="101">
        <f>SUM(A45:A47)</f>
        <v>26.732</v>
      </c>
      <c r="B49" s="91" t="s">
        <v>245</v>
      </c>
      <c r="C49" s="91"/>
      <c r="D49" s="91"/>
      <c r="E49" s="91"/>
      <c r="F49" s="91"/>
      <c r="G49" s="91"/>
      <c r="H49" s="92"/>
      <c r="J49" s="101">
        <f>SUM(J45:J47)</f>
        <v>27.532</v>
      </c>
      <c r="K49" s="91" t="s">
        <v>245</v>
      </c>
      <c r="L49" s="91"/>
      <c r="M49" s="91"/>
      <c r="N49" s="91"/>
      <c r="O49" s="91"/>
      <c r="P49" s="91"/>
      <c r="Q49" s="92"/>
      <c r="S49" s="101">
        <f>SUM(S45:S47)</f>
        <v>30.033333333333335</v>
      </c>
      <c r="T49" s="91" t="s">
        <v>245</v>
      </c>
      <c r="U49" s="91"/>
      <c r="V49" s="91"/>
      <c r="W49" s="91"/>
      <c r="X49" s="91"/>
      <c r="Y49" s="91"/>
      <c r="Z49" s="92"/>
      <c r="AB49" s="101">
        <f>SUM(AB45:AB47)</f>
        <v>30.833333333333336</v>
      </c>
      <c r="AC49" s="91" t="s">
        <v>245</v>
      </c>
      <c r="AD49" s="91"/>
      <c r="AE49" s="91"/>
      <c r="AF49" s="91"/>
      <c r="AG49" s="91"/>
      <c r="AH49" s="91"/>
      <c r="AI49" s="92"/>
    </row>
    <row r="50" ht="13.5" thickBot="1"/>
    <row r="51" spans="1:35" ht="13.5" thickBot="1">
      <c r="A51" s="175" t="s">
        <v>241</v>
      </c>
      <c r="B51" s="176"/>
      <c r="C51" s="176"/>
      <c r="D51" s="176"/>
      <c r="E51" s="176"/>
      <c r="F51" s="176"/>
      <c r="G51" s="176"/>
      <c r="H51" s="177"/>
      <c r="J51" s="175" t="s">
        <v>241</v>
      </c>
      <c r="K51" s="176"/>
      <c r="L51" s="176"/>
      <c r="M51" s="176"/>
      <c r="N51" s="176"/>
      <c r="O51" s="176"/>
      <c r="P51" s="176"/>
      <c r="Q51" s="177"/>
      <c r="S51" s="175" t="s">
        <v>255</v>
      </c>
      <c r="T51" s="176"/>
      <c r="U51" s="176"/>
      <c r="V51" s="176"/>
      <c r="W51" s="176"/>
      <c r="X51" s="176"/>
      <c r="Y51" s="176"/>
      <c r="Z51" s="177"/>
      <c r="AB51" s="175" t="s">
        <v>255</v>
      </c>
      <c r="AC51" s="176"/>
      <c r="AD51" s="176"/>
      <c r="AE51" s="176"/>
      <c r="AF51" s="176"/>
      <c r="AG51" s="176"/>
      <c r="AH51" s="176"/>
      <c r="AI51" s="177"/>
    </row>
    <row r="52" spans="1:35" ht="12.75">
      <c r="A52" s="102"/>
      <c r="B52" s="103"/>
      <c r="C52" s="103"/>
      <c r="D52" s="103"/>
      <c r="E52" s="103"/>
      <c r="F52" s="103"/>
      <c r="G52" s="103"/>
      <c r="H52" s="104" t="s">
        <v>140</v>
      </c>
      <c r="J52" s="102"/>
      <c r="K52" s="103"/>
      <c r="L52" s="103"/>
      <c r="M52" s="103"/>
      <c r="N52" s="103"/>
      <c r="O52" s="103"/>
      <c r="P52" s="103"/>
      <c r="Q52" s="104" t="s">
        <v>140</v>
      </c>
      <c r="S52" s="102"/>
      <c r="T52" s="103"/>
      <c r="U52" s="103"/>
      <c r="V52" s="103"/>
      <c r="W52" s="103"/>
      <c r="X52" s="103"/>
      <c r="Y52" s="103"/>
      <c r="Z52" s="104" t="s">
        <v>140</v>
      </c>
      <c r="AB52" s="102"/>
      <c r="AC52" s="103"/>
      <c r="AD52" s="103"/>
      <c r="AE52" s="103"/>
      <c r="AF52" s="103"/>
      <c r="AG52" s="103"/>
      <c r="AH52" s="103"/>
      <c r="AI52" s="104" t="s">
        <v>140</v>
      </c>
    </row>
    <row r="53" spans="1:35" ht="12.75">
      <c r="A53" s="105">
        <f>C53*E53</f>
        <v>10</v>
      </c>
      <c r="B53" s="38" t="s">
        <v>0</v>
      </c>
      <c r="C53" s="38">
        <v>20</v>
      </c>
      <c r="D53" s="38" t="s">
        <v>1</v>
      </c>
      <c r="E53" s="38">
        <v>0.5</v>
      </c>
      <c r="F53" s="38" t="s">
        <v>272</v>
      </c>
      <c r="G53" s="38"/>
      <c r="H53" s="106" t="s">
        <v>141</v>
      </c>
      <c r="J53" s="105">
        <f>L53*N53</f>
        <v>10</v>
      </c>
      <c r="K53" s="38" t="s">
        <v>0</v>
      </c>
      <c r="L53" s="38">
        <v>20</v>
      </c>
      <c r="M53" s="38" t="s">
        <v>1</v>
      </c>
      <c r="N53" s="38">
        <v>0.5</v>
      </c>
      <c r="O53" s="38" t="s">
        <v>272</v>
      </c>
      <c r="P53" s="38"/>
      <c r="Q53" s="106" t="s">
        <v>141</v>
      </c>
      <c r="S53" s="105">
        <f>U53*W53</f>
        <v>10</v>
      </c>
      <c r="T53" s="38" t="s">
        <v>0</v>
      </c>
      <c r="U53" s="38">
        <v>20</v>
      </c>
      <c r="V53" s="38" t="s">
        <v>1</v>
      </c>
      <c r="W53" s="38">
        <v>0.5</v>
      </c>
      <c r="X53" s="38" t="s">
        <v>272</v>
      </c>
      <c r="Y53" s="38"/>
      <c r="Z53" s="106" t="s">
        <v>141</v>
      </c>
      <c r="AB53" s="105">
        <f>AD53*AF53</f>
        <v>10</v>
      </c>
      <c r="AC53" s="38" t="s">
        <v>0</v>
      </c>
      <c r="AD53" s="38">
        <v>20</v>
      </c>
      <c r="AE53" s="38" t="s">
        <v>1</v>
      </c>
      <c r="AF53" s="38">
        <v>0.5</v>
      </c>
      <c r="AG53" s="38" t="s">
        <v>272</v>
      </c>
      <c r="AH53" s="38"/>
      <c r="AI53" s="106" t="s">
        <v>141</v>
      </c>
    </row>
    <row r="54" spans="1:35" ht="12.75">
      <c r="A54" s="105">
        <f>'1x64 splitter'!$E$9</f>
        <v>21.499999999999996</v>
      </c>
      <c r="B54" s="38" t="s">
        <v>234</v>
      </c>
      <c r="C54" s="38"/>
      <c r="D54" s="38"/>
      <c r="E54" s="38"/>
      <c r="F54" s="38"/>
      <c r="G54" s="38"/>
      <c r="H54" s="106" t="s">
        <v>247</v>
      </c>
      <c r="J54" s="105">
        <f>'1x64 splitter'!$E$9</f>
        <v>21.499999999999996</v>
      </c>
      <c r="K54" s="38" t="s">
        <v>234</v>
      </c>
      <c r="L54" s="38"/>
      <c r="M54" s="38"/>
      <c r="N54" s="38"/>
      <c r="O54" s="38"/>
      <c r="P54" s="38"/>
      <c r="Q54" s="106" t="s">
        <v>247</v>
      </c>
      <c r="S54" s="105">
        <f>'1x128 splitter'!$E$9</f>
        <v>24.781999999999996</v>
      </c>
      <c r="T54" s="38" t="s">
        <v>252</v>
      </c>
      <c r="U54" s="38"/>
      <c r="V54" s="38"/>
      <c r="W54" s="38"/>
      <c r="X54" s="38"/>
      <c r="Y54" s="38"/>
      <c r="Z54" s="106" t="s">
        <v>259</v>
      </c>
      <c r="AB54" s="105">
        <f>'1x128 splitter'!$E$9</f>
        <v>24.781999999999996</v>
      </c>
      <c r="AC54" s="38" t="s">
        <v>252</v>
      </c>
      <c r="AD54" s="38"/>
      <c r="AE54" s="38"/>
      <c r="AF54" s="38"/>
      <c r="AG54" s="38"/>
      <c r="AH54" s="38"/>
      <c r="AI54" s="106" t="s">
        <v>259</v>
      </c>
    </row>
    <row r="55" spans="1:35" ht="12.75">
      <c r="A55" s="105">
        <f>C55*E55</f>
        <v>0.4</v>
      </c>
      <c r="B55" s="38" t="s">
        <v>236</v>
      </c>
      <c r="C55" s="38">
        <v>2</v>
      </c>
      <c r="D55" s="38" t="s">
        <v>1</v>
      </c>
      <c r="E55" s="38">
        <v>0.2</v>
      </c>
      <c r="F55" s="38" t="s">
        <v>273</v>
      </c>
      <c r="G55" s="38"/>
      <c r="H55" s="106" t="s">
        <v>237</v>
      </c>
      <c r="J55" s="105">
        <f>L55*N55</f>
        <v>1.2000000000000002</v>
      </c>
      <c r="K55" s="38" t="s">
        <v>236</v>
      </c>
      <c r="L55" s="38">
        <v>6</v>
      </c>
      <c r="M55" s="38" t="s">
        <v>1</v>
      </c>
      <c r="N55" s="38">
        <v>0.2</v>
      </c>
      <c r="O55" s="38" t="s">
        <v>273</v>
      </c>
      <c r="P55" s="38"/>
      <c r="Q55" s="106" t="s">
        <v>237</v>
      </c>
      <c r="S55" s="105">
        <f>U55*W55</f>
        <v>0.4</v>
      </c>
      <c r="T55" s="38" t="s">
        <v>236</v>
      </c>
      <c r="U55" s="38">
        <v>2</v>
      </c>
      <c r="V55" s="38" t="s">
        <v>1</v>
      </c>
      <c r="W55" s="38">
        <v>0.2</v>
      </c>
      <c r="X55" s="38" t="s">
        <v>273</v>
      </c>
      <c r="Y55" s="38"/>
      <c r="Z55" s="106" t="s">
        <v>237</v>
      </c>
      <c r="AB55" s="105">
        <f>AD55*AF55</f>
        <v>1.2000000000000002</v>
      </c>
      <c r="AC55" s="38" t="s">
        <v>236</v>
      </c>
      <c r="AD55" s="38">
        <v>6</v>
      </c>
      <c r="AE55" s="38" t="s">
        <v>1</v>
      </c>
      <c r="AF55" s="38">
        <v>0.2</v>
      </c>
      <c r="AG55" s="38" t="s">
        <v>273</v>
      </c>
      <c r="AH55" s="38"/>
      <c r="AI55" s="106" t="s">
        <v>237</v>
      </c>
    </row>
    <row r="56" spans="1:35" ht="12.75">
      <c r="A56" s="107" t="s">
        <v>238</v>
      </c>
      <c r="B56" s="38"/>
      <c r="C56" s="38"/>
      <c r="D56" s="38"/>
      <c r="E56" s="38"/>
      <c r="F56" s="38"/>
      <c r="G56" s="38"/>
      <c r="H56" s="106"/>
      <c r="J56" s="107" t="s">
        <v>238</v>
      </c>
      <c r="K56" s="38"/>
      <c r="L56" s="38"/>
      <c r="M56" s="38"/>
      <c r="N56" s="38"/>
      <c r="O56" s="38"/>
      <c r="P56" s="38"/>
      <c r="Q56" s="106"/>
      <c r="S56" s="107" t="s">
        <v>238</v>
      </c>
      <c r="T56" s="38"/>
      <c r="U56" s="38"/>
      <c r="V56" s="38"/>
      <c r="W56" s="38"/>
      <c r="X56" s="38"/>
      <c r="Y56" s="38"/>
      <c r="Z56" s="106"/>
      <c r="AB56" s="107" t="s">
        <v>238</v>
      </c>
      <c r="AC56" s="38"/>
      <c r="AD56" s="38"/>
      <c r="AE56" s="38"/>
      <c r="AF56" s="38"/>
      <c r="AG56" s="38"/>
      <c r="AH56" s="38"/>
      <c r="AI56" s="106"/>
    </row>
    <row r="57" spans="1:35" ht="13.5" thickBot="1">
      <c r="A57" s="108">
        <f>SUM(A53:A55)</f>
        <v>31.899999999999995</v>
      </c>
      <c r="B57" s="109" t="s">
        <v>245</v>
      </c>
      <c r="C57" s="109"/>
      <c r="D57" s="109"/>
      <c r="E57" s="109"/>
      <c r="F57" s="109"/>
      <c r="G57" s="109"/>
      <c r="H57" s="110"/>
      <c r="J57" s="108">
        <f>SUM(J53:J55)</f>
        <v>32.699999999999996</v>
      </c>
      <c r="K57" s="109" t="s">
        <v>245</v>
      </c>
      <c r="L57" s="109"/>
      <c r="M57" s="109"/>
      <c r="N57" s="109"/>
      <c r="O57" s="109"/>
      <c r="P57" s="109"/>
      <c r="Q57" s="110"/>
      <c r="S57" s="108">
        <f>SUM(S53:S55)</f>
        <v>35.181999999999995</v>
      </c>
      <c r="T57" s="109" t="s">
        <v>245</v>
      </c>
      <c r="U57" s="109"/>
      <c r="V57" s="109"/>
      <c r="W57" s="109"/>
      <c r="X57" s="109"/>
      <c r="Y57" s="109"/>
      <c r="Z57" s="110"/>
      <c r="AB57" s="108">
        <f>SUM(AB53:AB55)</f>
        <v>35.982</v>
      </c>
      <c r="AC57" s="109" t="s">
        <v>245</v>
      </c>
      <c r="AD57" s="109"/>
      <c r="AE57" s="109"/>
      <c r="AF57" s="109"/>
      <c r="AG57" s="109"/>
      <c r="AH57" s="109"/>
      <c r="AI57" s="110"/>
    </row>
    <row r="58" ht="13.5" thickBot="1"/>
    <row r="59" spans="1:35" ht="13.5" thickBot="1">
      <c r="A59" s="175" t="s">
        <v>243</v>
      </c>
      <c r="B59" s="176"/>
      <c r="C59" s="176"/>
      <c r="D59" s="176"/>
      <c r="E59" s="176"/>
      <c r="F59" s="176"/>
      <c r="G59" s="176"/>
      <c r="H59" s="177"/>
      <c r="J59" s="175" t="s">
        <v>243</v>
      </c>
      <c r="K59" s="176"/>
      <c r="L59" s="176"/>
      <c r="M59" s="176"/>
      <c r="N59" s="176"/>
      <c r="O59" s="176"/>
      <c r="P59" s="176"/>
      <c r="Q59" s="177"/>
      <c r="S59" s="175" t="s">
        <v>256</v>
      </c>
      <c r="T59" s="176"/>
      <c r="U59" s="176"/>
      <c r="V59" s="176"/>
      <c r="W59" s="176"/>
      <c r="X59" s="176"/>
      <c r="Y59" s="176"/>
      <c r="Z59" s="177"/>
      <c r="AB59" s="175" t="s">
        <v>256</v>
      </c>
      <c r="AC59" s="176"/>
      <c r="AD59" s="176"/>
      <c r="AE59" s="176"/>
      <c r="AF59" s="176"/>
      <c r="AG59" s="176"/>
      <c r="AH59" s="176"/>
      <c r="AI59" s="177"/>
    </row>
    <row r="60" spans="1:35" ht="12.75">
      <c r="A60" s="102"/>
      <c r="B60" s="103"/>
      <c r="C60" s="103"/>
      <c r="D60" s="103"/>
      <c r="E60" s="103"/>
      <c r="F60" s="103"/>
      <c r="G60" s="103"/>
      <c r="H60" s="104" t="s">
        <v>140</v>
      </c>
      <c r="J60" s="102"/>
      <c r="K60" s="103"/>
      <c r="L60" s="103"/>
      <c r="M60" s="103"/>
      <c r="N60" s="103"/>
      <c r="O60" s="103"/>
      <c r="P60" s="103"/>
      <c r="Q60" s="104" t="s">
        <v>140</v>
      </c>
      <c r="S60" s="102"/>
      <c r="T60" s="103"/>
      <c r="U60" s="103"/>
      <c r="V60" s="103"/>
      <c r="W60" s="103"/>
      <c r="X60" s="103"/>
      <c r="Y60" s="103"/>
      <c r="Z60" s="104" t="s">
        <v>140</v>
      </c>
      <c r="AB60" s="102"/>
      <c r="AC60" s="103"/>
      <c r="AD60" s="103"/>
      <c r="AE60" s="103"/>
      <c r="AF60" s="103"/>
      <c r="AG60" s="103"/>
      <c r="AH60" s="103"/>
      <c r="AI60" s="104" t="s">
        <v>140</v>
      </c>
    </row>
    <row r="61" spans="1:35" ht="12.75">
      <c r="A61" s="105">
        <f>C61*E61</f>
        <v>5</v>
      </c>
      <c r="B61" s="38" t="s">
        <v>0</v>
      </c>
      <c r="C61" s="38">
        <v>10</v>
      </c>
      <c r="D61" s="38" t="s">
        <v>1</v>
      </c>
      <c r="E61" s="38">
        <v>0.5</v>
      </c>
      <c r="F61" s="38" t="s">
        <v>272</v>
      </c>
      <c r="G61" s="38"/>
      <c r="H61" s="106" t="s">
        <v>141</v>
      </c>
      <c r="J61" s="105">
        <f>L61*N61</f>
        <v>5</v>
      </c>
      <c r="K61" s="38" t="s">
        <v>0</v>
      </c>
      <c r="L61" s="38">
        <v>10</v>
      </c>
      <c r="M61" s="38" t="s">
        <v>1</v>
      </c>
      <c r="N61" s="38">
        <v>0.5</v>
      </c>
      <c r="O61" s="38" t="s">
        <v>272</v>
      </c>
      <c r="P61" s="38"/>
      <c r="Q61" s="106" t="s">
        <v>141</v>
      </c>
      <c r="S61" s="105">
        <f>U61*W61</f>
        <v>5</v>
      </c>
      <c r="T61" s="38" t="s">
        <v>0</v>
      </c>
      <c r="U61" s="38">
        <v>10</v>
      </c>
      <c r="V61" s="38" t="s">
        <v>1</v>
      </c>
      <c r="W61" s="38">
        <v>0.5</v>
      </c>
      <c r="X61" s="38" t="s">
        <v>272</v>
      </c>
      <c r="Y61" s="38"/>
      <c r="Z61" s="106" t="s">
        <v>141</v>
      </c>
      <c r="AB61" s="105">
        <f>AD61*AF61</f>
        <v>5</v>
      </c>
      <c r="AC61" s="38" t="s">
        <v>0</v>
      </c>
      <c r="AD61" s="38">
        <v>10</v>
      </c>
      <c r="AE61" s="38" t="s">
        <v>1</v>
      </c>
      <c r="AF61" s="38">
        <v>0.5</v>
      </c>
      <c r="AG61" s="38" t="s">
        <v>272</v>
      </c>
      <c r="AH61" s="38"/>
      <c r="AI61" s="106" t="s">
        <v>141</v>
      </c>
    </row>
    <row r="62" spans="1:35" ht="12.75">
      <c r="A62" s="105">
        <f>'1x64 splitter'!$E$9</f>
        <v>21.499999999999996</v>
      </c>
      <c r="B62" s="38" t="s">
        <v>234</v>
      </c>
      <c r="C62" s="38"/>
      <c r="D62" s="38"/>
      <c r="E62" s="38"/>
      <c r="F62" s="38"/>
      <c r="G62" s="38"/>
      <c r="H62" s="106" t="s">
        <v>262</v>
      </c>
      <c r="J62" s="105">
        <f>'1x64 splitter'!$E$9</f>
        <v>21.499999999999996</v>
      </c>
      <c r="K62" s="38" t="s">
        <v>234</v>
      </c>
      <c r="L62" s="38"/>
      <c r="M62" s="38"/>
      <c r="N62" s="38"/>
      <c r="O62" s="38"/>
      <c r="P62" s="38"/>
      <c r="Q62" s="106" t="s">
        <v>262</v>
      </c>
      <c r="S62" s="105">
        <f>'1x128 splitter'!$E$9</f>
        <v>24.781999999999996</v>
      </c>
      <c r="T62" s="38" t="s">
        <v>252</v>
      </c>
      <c r="U62" s="38"/>
      <c r="V62" s="38"/>
      <c r="W62" s="38"/>
      <c r="X62" s="38"/>
      <c r="Y62" s="38"/>
      <c r="Z62" s="106" t="s">
        <v>259</v>
      </c>
      <c r="AB62" s="105">
        <f>'1x128 splitter'!$E$9</f>
        <v>24.781999999999996</v>
      </c>
      <c r="AC62" s="38" t="s">
        <v>252</v>
      </c>
      <c r="AD62" s="38"/>
      <c r="AE62" s="38"/>
      <c r="AF62" s="38"/>
      <c r="AG62" s="38"/>
      <c r="AH62" s="38"/>
      <c r="AI62" s="106" t="s">
        <v>259</v>
      </c>
    </row>
    <row r="63" spans="1:35" ht="12.75">
      <c r="A63" s="105">
        <f>C63*E63</f>
        <v>0.4</v>
      </c>
      <c r="B63" s="38" t="s">
        <v>236</v>
      </c>
      <c r="C63" s="38">
        <v>2</v>
      </c>
      <c r="D63" s="38" t="s">
        <v>1</v>
      </c>
      <c r="E63" s="38">
        <v>0.2</v>
      </c>
      <c r="F63" s="38" t="s">
        <v>273</v>
      </c>
      <c r="G63" s="38"/>
      <c r="H63" s="106" t="s">
        <v>237</v>
      </c>
      <c r="J63" s="105">
        <f>L63*N63</f>
        <v>1.2000000000000002</v>
      </c>
      <c r="K63" s="38" t="s">
        <v>236</v>
      </c>
      <c r="L63" s="38">
        <v>6</v>
      </c>
      <c r="M63" s="38" t="s">
        <v>1</v>
      </c>
      <c r="N63" s="38">
        <v>0.2</v>
      </c>
      <c r="O63" s="38" t="s">
        <v>273</v>
      </c>
      <c r="P63" s="38"/>
      <c r="Q63" s="106" t="s">
        <v>237</v>
      </c>
      <c r="S63" s="105">
        <f>U63*W63</f>
        <v>0.4</v>
      </c>
      <c r="T63" s="38" t="s">
        <v>236</v>
      </c>
      <c r="U63" s="38">
        <v>2</v>
      </c>
      <c r="V63" s="38" t="s">
        <v>1</v>
      </c>
      <c r="W63" s="38">
        <v>0.2</v>
      </c>
      <c r="X63" s="38" t="s">
        <v>273</v>
      </c>
      <c r="Y63" s="38"/>
      <c r="Z63" s="106" t="s">
        <v>237</v>
      </c>
      <c r="AB63" s="105">
        <f>AD63*AF63</f>
        <v>1.2000000000000002</v>
      </c>
      <c r="AC63" s="38" t="s">
        <v>236</v>
      </c>
      <c r="AD63" s="38">
        <v>6</v>
      </c>
      <c r="AE63" s="38" t="s">
        <v>1</v>
      </c>
      <c r="AF63" s="38">
        <v>0.2</v>
      </c>
      <c r="AG63" s="38" t="s">
        <v>273</v>
      </c>
      <c r="AH63" s="38"/>
      <c r="AI63" s="106" t="s">
        <v>237</v>
      </c>
    </row>
    <row r="64" spans="1:35" ht="12.75">
      <c r="A64" s="107" t="s">
        <v>238</v>
      </c>
      <c r="B64" s="38"/>
      <c r="C64" s="38"/>
      <c r="D64" s="38"/>
      <c r="E64" s="38"/>
      <c r="F64" s="38"/>
      <c r="G64" s="38"/>
      <c r="H64" s="106"/>
      <c r="J64" s="107" t="s">
        <v>238</v>
      </c>
      <c r="K64" s="38"/>
      <c r="L64" s="38"/>
      <c r="M64" s="38"/>
      <c r="N64" s="38"/>
      <c r="O64" s="38"/>
      <c r="P64" s="38"/>
      <c r="Q64" s="106"/>
      <c r="S64" s="107" t="s">
        <v>238</v>
      </c>
      <c r="T64" s="38"/>
      <c r="U64" s="38"/>
      <c r="V64" s="38"/>
      <c r="W64" s="38"/>
      <c r="X64" s="38"/>
      <c r="Y64" s="38"/>
      <c r="Z64" s="106"/>
      <c r="AB64" s="107" t="s">
        <v>238</v>
      </c>
      <c r="AC64" s="38"/>
      <c r="AD64" s="38"/>
      <c r="AE64" s="38"/>
      <c r="AF64" s="38"/>
      <c r="AG64" s="38"/>
      <c r="AH64" s="38"/>
      <c r="AI64" s="106"/>
    </row>
    <row r="65" spans="1:35" ht="13.5" thickBot="1">
      <c r="A65" s="108">
        <f>SUM(A61:A63)</f>
        <v>26.899999999999995</v>
      </c>
      <c r="B65" s="109" t="s">
        <v>245</v>
      </c>
      <c r="C65" s="109"/>
      <c r="D65" s="109"/>
      <c r="E65" s="109"/>
      <c r="F65" s="109"/>
      <c r="G65" s="109"/>
      <c r="H65" s="110"/>
      <c r="J65" s="108">
        <f>SUM(J61:J63)</f>
        <v>27.699999999999996</v>
      </c>
      <c r="K65" s="109" t="s">
        <v>245</v>
      </c>
      <c r="L65" s="109"/>
      <c r="M65" s="109"/>
      <c r="N65" s="109"/>
      <c r="O65" s="109"/>
      <c r="P65" s="109"/>
      <c r="Q65" s="110"/>
      <c r="S65" s="108">
        <f>SUM(S61:S63)</f>
        <v>30.181999999999995</v>
      </c>
      <c r="T65" s="109" t="s">
        <v>245</v>
      </c>
      <c r="U65" s="109"/>
      <c r="V65" s="109"/>
      <c r="W65" s="109"/>
      <c r="X65" s="109"/>
      <c r="Y65" s="109"/>
      <c r="Z65" s="110"/>
      <c r="AB65" s="108">
        <f>SUM(AB61:AB63)</f>
        <v>30.981999999999996</v>
      </c>
      <c r="AC65" s="109" t="s">
        <v>245</v>
      </c>
      <c r="AD65" s="109"/>
      <c r="AE65" s="109"/>
      <c r="AF65" s="109"/>
      <c r="AG65" s="109"/>
      <c r="AH65" s="109"/>
      <c r="AI65" s="110"/>
    </row>
    <row r="66" ht="13.5" thickBot="1"/>
    <row r="67" spans="1:35" ht="13.5" thickBot="1">
      <c r="A67" s="184" t="s">
        <v>260</v>
      </c>
      <c r="B67" s="185"/>
      <c r="C67" s="185"/>
      <c r="D67" s="185"/>
      <c r="E67" s="185"/>
      <c r="F67" s="185"/>
      <c r="G67" s="185"/>
      <c r="H67" s="163"/>
      <c r="J67" s="184" t="s">
        <v>260</v>
      </c>
      <c r="K67" s="185"/>
      <c r="L67" s="185"/>
      <c r="M67" s="185"/>
      <c r="N67" s="185"/>
      <c r="O67" s="185"/>
      <c r="P67" s="185"/>
      <c r="Q67" s="163"/>
      <c r="S67" s="184" t="s">
        <v>266</v>
      </c>
      <c r="T67" s="185"/>
      <c r="U67" s="185"/>
      <c r="V67" s="185"/>
      <c r="W67" s="185"/>
      <c r="X67" s="185"/>
      <c r="Y67" s="185"/>
      <c r="Z67" s="163"/>
      <c r="AB67" s="184" t="s">
        <v>266</v>
      </c>
      <c r="AC67" s="185"/>
      <c r="AD67" s="185"/>
      <c r="AE67" s="185"/>
      <c r="AF67" s="185"/>
      <c r="AG67" s="185"/>
      <c r="AH67" s="185"/>
      <c r="AI67" s="163"/>
    </row>
    <row r="68" spans="1:35" ht="12.75">
      <c r="A68" s="111"/>
      <c r="B68" s="112"/>
      <c r="C68" s="112"/>
      <c r="D68" s="112"/>
      <c r="E68" s="112"/>
      <c r="F68" s="112"/>
      <c r="G68" s="112"/>
      <c r="H68" s="113" t="s">
        <v>140</v>
      </c>
      <c r="J68" s="111"/>
      <c r="K68" s="112"/>
      <c r="L68" s="112"/>
      <c r="M68" s="112"/>
      <c r="N68" s="112"/>
      <c r="O68" s="112"/>
      <c r="P68" s="112"/>
      <c r="Q68" s="113" t="s">
        <v>140</v>
      </c>
      <c r="S68" s="111"/>
      <c r="T68" s="112"/>
      <c r="U68" s="112"/>
      <c r="V68" s="112"/>
      <c r="W68" s="112"/>
      <c r="X68" s="112"/>
      <c r="Y68" s="112"/>
      <c r="Z68" s="113" t="s">
        <v>140</v>
      </c>
      <c r="AB68" s="111"/>
      <c r="AC68" s="112"/>
      <c r="AD68" s="112"/>
      <c r="AE68" s="112"/>
      <c r="AF68" s="112"/>
      <c r="AG68" s="112"/>
      <c r="AH68" s="112"/>
      <c r="AI68" s="113" t="s">
        <v>140</v>
      </c>
    </row>
    <row r="69" spans="1:35" ht="12.75">
      <c r="A69" s="114">
        <f>C69*E69</f>
        <v>10</v>
      </c>
      <c r="B69" s="39" t="s">
        <v>0</v>
      </c>
      <c r="C69" s="39">
        <v>20</v>
      </c>
      <c r="D69" s="39" t="s">
        <v>1</v>
      </c>
      <c r="E69" s="39">
        <v>0.5</v>
      </c>
      <c r="F69" s="39" t="s">
        <v>272</v>
      </c>
      <c r="G69" s="39"/>
      <c r="H69" s="115" t="s">
        <v>141</v>
      </c>
      <c r="J69" s="114">
        <f>L69*N69</f>
        <v>10</v>
      </c>
      <c r="K69" s="39" t="s">
        <v>0</v>
      </c>
      <c r="L69" s="39">
        <v>20</v>
      </c>
      <c r="M69" s="39" t="s">
        <v>1</v>
      </c>
      <c r="N69" s="39">
        <v>0.5</v>
      </c>
      <c r="O69" s="39" t="s">
        <v>272</v>
      </c>
      <c r="P69" s="39"/>
      <c r="Q69" s="115" t="s">
        <v>141</v>
      </c>
      <c r="S69" s="114">
        <f>U69*W69</f>
        <v>10</v>
      </c>
      <c r="T69" s="39" t="s">
        <v>0</v>
      </c>
      <c r="U69" s="39">
        <v>20</v>
      </c>
      <c r="V69" s="39" t="s">
        <v>1</v>
      </c>
      <c r="W69" s="39">
        <v>0.5</v>
      </c>
      <c r="X69" s="39" t="s">
        <v>272</v>
      </c>
      <c r="Y69" s="39"/>
      <c r="Z69" s="115" t="s">
        <v>141</v>
      </c>
      <c r="AB69" s="114">
        <f>AD69*AF69</f>
        <v>10</v>
      </c>
      <c r="AC69" s="39" t="s">
        <v>0</v>
      </c>
      <c r="AD69" s="39">
        <v>20</v>
      </c>
      <c r="AE69" s="39" t="s">
        <v>1</v>
      </c>
      <c r="AF69" s="39">
        <v>0.5</v>
      </c>
      <c r="AG69" s="39" t="s">
        <v>272</v>
      </c>
      <c r="AH69" s="39"/>
      <c r="AI69" s="115" t="s">
        <v>141</v>
      </c>
    </row>
    <row r="70" spans="1:35" ht="12.75">
      <c r="A70" s="114">
        <f>'1x64 splitter'!$E$12</f>
        <v>21.592</v>
      </c>
      <c r="B70" s="39" t="s">
        <v>234</v>
      </c>
      <c r="C70" s="39"/>
      <c r="D70" s="39"/>
      <c r="E70" s="39"/>
      <c r="F70" s="39"/>
      <c r="G70" s="39"/>
      <c r="H70" s="115" t="s">
        <v>263</v>
      </c>
      <c r="J70" s="114">
        <f>'1x64 splitter'!$E$12</f>
        <v>21.592</v>
      </c>
      <c r="K70" s="39" t="s">
        <v>234</v>
      </c>
      <c r="L70" s="39"/>
      <c r="M70" s="39"/>
      <c r="N70" s="39"/>
      <c r="O70" s="39"/>
      <c r="P70" s="39"/>
      <c r="Q70" s="115" t="s">
        <v>263</v>
      </c>
      <c r="S70" s="114">
        <f>'1x128 splitter'!$E$12</f>
        <v>24.893333333333338</v>
      </c>
      <c r="T70" s="39" t="s">
        <v>252</v>
      </c>
      <c r="U70" s="39"/>
      <c r="V70" s="39"/>
      <c r="W70" s="39"/>
      <c r="X70" s="39"/>
      <c r="Y70" s="39"/>
      <c r="Z70" s="115" t="s">
        <v>268</v>
      </c>
      <c r="AB70" s="114">
        <f>'1x128 splitter'!$E$12</f>
        <v>24.893333333333338</v>
      </c>
      <c r="AC70" s="39" t="s">
        <v>252</v>
      </c>
      <c r="AD70" s="39"/>
      <c r="AE70" s="39"/>
      <c r="AF70" s="39"/>
      <c r="AG70" s="39"/>
      <c r="AH70" s="39"/>
      <c r="AI70" s="115" t="s">
        <v>268</v>
      </c>
    </row>
    <row r="71" spans="1:35" ht="12.75">
      <c r="A71" s="114">
        <f>C71*E71</f>
        <v>0.4</v>
      </c>
      <c r="B71" s="39" t="s">
        <v>236</v>
      </c>
      <c r="C71" s="39">
        <v>2</v>
      </c>
      <c r="D71" s="39" t="s">
        <v>1</v>
      </c>
      <c r="E71" s="39">
        <v>0.2</v>
      </c>
      <c r="F71" s="39" t="s">
        <v>273</v>
      </c>
      <c r="G71" s="39"/>
      <c r="H71" s="115" t="s">
        <v>237</v>
      </c>
      <c r="J71" s="114">
        <f>L71*N71</f>
        <v>1.6</v>
      </c>
      <c r="K71" s="39" t="s">
        <v>236</v>
      </c>
      <c r="L71" s="39">
        <v>8</v>
      </c>
      <c r="M71" s="39" t="s">
        <v>1</v>
      </c>
      <c r="N71" s="39">
        <v>0.2</v>
      </c>
      <c r="O71" s="39" t="s">
        <v>273</v>
      </c>
      <c r="P71" s="39"/>
      <c r="Q71" s="115" t="s">
        <v>237</v>
      </c>
      <c r="S71" s="114">
        <f>U71*W71</f>
        <v>0.4</v>
      </c>
      <c r="T71" s="39" t="s">
        <v>236</v>
      </c>
      <c r="U71" s="39">
        <v>2</v>
      </c>
      <c r="V71" s="39" t="s">
        <v>1</v>
      </c>
      <c r="W71" s="39">
        <v>0.2</v>
      </c>
      <c r="X71" s="39" t="s">
        <v>273</v>
      </c>
      <c r="Y71" s="39"/>
      <c r="Z71" s="115" t="s">
        <v>237</v>
      </c>
      <c r="AB71" s="114">
        <f>AD71*AF71</f>
        <v>1.6</v>
      </c>
      <c r="AC71" s="39" t="s">
        <v>236</v>
      </c>
      <c r="AD71" s="39">
        <v>8</v>
      </c>
      <c r="AE71" s="39" t="s">
        <v>1</v>
      </c>
      <c r="AF71" s="39">
        <v>0.2</v>
      </c>
      <c r="AG71" s="39" t="s">
        <v>273</v>
      </c>
      <c r="AH71" s="39"/>
      <c r="AI71" s="115" t="s">
        <v>237</v>
      </c>
    </row>
    <row r="72" spans="1:35" ht="12.75">
      <c r="A72" s="116" t="s">
        <v>238</v>
      </c>
      <c r="B72" s="39"/>
      <c r="C72" s="39"/>
      <c r="D72" s="39"/>
      <c r="E72" s="39"/>
      <c r="F72" s="39"/>
      <c r="G72" s="39"/>
      <c r="H72" s="115"/>
      <c r="J72" s="116" t="s">
        <v>238</v>
      </c>
      <c r="K72" s="39"/>
      <c r="L72" s="39"/>
      <c r="M72" s="39"/>
      <c r="N72" s="39"/>
      <c r="O72" s="39"/>
      <c r="P72" s="39"/>
      <c r="Q72" s="115"/>
      <c r="S72" s="116" t="s">
        <v>238</v>
      </c>
      <c r="T72" s="39"/>
      <c r="U72" s="39"/>
      <c r="V72" s="39"/>
      <c r="W72" s="39"/>
      <c r="X72" s="39"/>
      <c r="Y72" s="39"/>
      <c r="Z72" s="115"/>
      <c r="AB72" s="116" t="s">
        <v>238</v>
      </c>
      <c r="AC72" s="39"/>
      <c r="AD72" s="39"/>
      <c r="AE72" s="39"/>
      <c r="AF72" s="39"/>
      <c r="AG72" s="39"/>
      <c r="AH72" s="39"/>
      <c r="AI72" s="115"/>
    </row>
    <row r="73" spans="1:35" ht="13.5" thickBot="1">
      <c r="A73" s="117">
        <f>SUM(A69:A71)</f>
        <v>31.991999999999997</v>
      </c>
      <c r="B73" s="118" t="s">
        <v>245</v>
      </c>
      <c r="C73" s="118"/>
      <c r="D73" s="118"/>
      <c r="E73" s="118"/>
      <c r="F73" s="118"/>
      <c r="G73" s="118"/>
      <c r="H73" s="119"/>
      <c r="J73" s="117">
        <f>SUM(J69:J71)</f>
        <v>33.192</v>
      </c>
      <c r="K73" s="118" t="s">
        <v>245</v>
      </c>
      <c r="L73" s="118"/>
      <c r="M73" s="118"/>
      <c r="N73" s="118"/>
      <c r="O73" s="118"/>
      <c r="P73" s="118"/>
      <c r="Q73" s="119"/>
      <c r="S73" s="117">
        <f>SUM(S69:S71)</f>
        <v>35.29333333333334</v>
      </c>
      <c r="T73" s="118" t="s">
        <v>245</v>
      </c>
      <c r="U73" s="118"/>
      <c r="V73" s="118"/>
      <c r="W73" s="118"/>
      <c r="X73" s="118"/>
      <c r="Y73" s="118"/>
      <c r="Z73" s="119"/>
      <c r="AB73" s="117">
        <f>SUM(AB69:AB71)</f>
        <v>36.49333333333334</v>
      </c>
      <c r="AC73" s="118" t="s">
        <v>245</v>
      </c>
      <c r="AD73" s="118"/>
      <c r="AE73" s="118"/>
      <c r="AF73" s="118"/>
      <c r="AG73" s="118"/>
      <c r="AH73" s="118"/>
      <c r="AI73" s="119"/>
    </row>
    <row r="74" ht="13.5" thickBot="1"/>
    <row r="75" spans="1:35" ht="13.5" thickBot="1">
      <c r="A75" s="184" t="s">
        <v>261</v>
      </c>
      <c r="B75" s="185"/>
      <c r="C75" s="185"/>
      <c r="D75" s="185"/>
      <c r="E75" s="185"/>
      <c r="F75" s="185"/>
      <c r="G75" s="185"/>
      <c r="H75" s="163"/>
      <c r="J75" s="184" t="s">
        <v>261</v>
      </c>
      <c r="K75" s="185"/>
      <c r="L75" s="185"/>
      <c r="M75" s="185"/>
      <c r="N75" s="185"/>
      <c r="O75" s="185"/>
      <c r="P75" s="185"/>
      <c r="Q75" s="163"/>
      <c r="S75" s="184" t="s">
        <v>267</v>
      </c>
      <c r="T75" s="185"/>
      <c r="U75" s="185"/>
      <c r="V75" s="185"/>
      <c r="W75" s="185"/>
      <c r="X75" s="185"/>
      <c r="Y75" s="185"/>
      <c r="Z75" s="163"/>
      <c r="AB75" s="184" t="s">
        <v>267</v>
      </c>
      <c r="AC75" s="185"/>
      <c r="AD75" s="185"/>
      <c r="AE75" s="185"/>
      <c r="AF75" s="185"/>
      <c r="AG75" s="185"/>
      <c r="AH75" s="185"/>
      <c r="AI75" s="163"/>
    </row>
    <row r="76" spans="1:35" ht="12.75">
      <c r="A76" s="111"/>
      <c r="B76" s="112"/>
      <c r="C76" s="112"/>
      <c r="D76" s="112"/>
      <c r="E76" s="112"/>
      <c r="F76" s="112"/>
      <c r="G76" s="112"/>
      <c r="H76" s="113" t="s">
        <v>140</v>
      </c>
      <c r="J76" s="111"/>
      <c r="K76" s="112"/>
      <c r="L76" s="112"/>
      <c r="M76" s="112"/>
      <c r="N76" s="112"/>
      <c r="O76" s="112"/>
      <c r="P76" s="112"/>
      <c r="Q76" s="113" t="s">
        <v>140</v>
      </c>
      <c r="S76" s="111"/>
      <c r="T76" s="112"/>
      <c r="U76" s="112"/>
      <c r="V76" s="112"/>
      <c r="W76" s="112"/>
      <c r="X76" s="112"/>
      <c r="Y76" s="112"/>
      <c r="Z76" s="113" t="s">
        <v>140</v>
      </c>
      <c r="AB76" s="111"/>
      <c r="AC76" s="112"/>
      <c r="AD76" s="112"/>
      <c r="AE76" s="112"/>
      <c r="AF76" s="112"/>
      <c r="AG76" s="112"/>
      <c r="AH76" s="112"/>
      <c r="AI76" s="113" t="s">
        <v>140</v>
      </c>
    </row>
    <row r="77" spans="1:35" ht="12.75">
      <c r="A77" s="114">
        <f>C77*E77</f>
        <v>5</v>
      </c>
      <c r="B77" s="39" t="s">
        <v>0</v>
      </c>
      <c r="C77" s="39">
        <v>10</v>
      </c>
      <c r="D77" s="39" t="s">
        <v>1</v>
      </c>
      <c r="E77" s="39">
        <v>0.5</v>
      </c>
      <c r="F77" s="39" t="s">
        <v>272</v>
      </c>
      <c r="G77" s="39"/>
      <c r="H77" s="115" t="s">
        <v>141</v>
      </c>
      <c r="J77" s="114">
        <f>L77*N77</f>
        <v>5</v>
      </c>
      <c r="K77" s="39" t="s">
        <v>0</v>
      </c>
      <c r="L77" s="39">
        <v>10</v>
      </c>
      <c r="M77" s="39" t="s">
        <v>1</v>
      </c>
      <c r="N77" s="39">
        <v>0.5</v>
      </c>
      <c r="O77" s="39" t="s">
        <v>272</v>
      </c>
      <c r="P77" s="39"/>
      <c r="Q77" s="115" t="s">
        <v>141</v>
      </c>
      <c r="S77" s="114">
        <f>U77*W77</f>
        <v>5</v>
      </c>
      <c r="T77" s="39" t="s">
        <v>0</v>
      </c>
      <c r="U77" s="39">
        <v>10</v>
      </c>
      <c r="V77" s="39" t="s">
        <v>1</v>
      </c>
      <c r="W77" s="39">
        <v>0.5</v>
      </c>
      <c r="X77" s="39" t="s">
        <v>272</v>
      </c>
      <c r="Y77" s="39"/>
      <c r="Z77" s="115" t="s">
        <v>141</v>
      </c>
      <c r="AB77" s="114">
        <f>AD77*AF77</f>
        <v>5</v>
      </c>
      <c r="AC77" s="39" t="s">
        <v>0</v>
      </c>
      <c r="AD77" s="39">
        <v>10</v>
      </c>
      <c r="AE77" s="39" t="s">
        <v>1</v>
      </c>
      <c r="AF77" s="39">
        <v>0.5</v>
      </c>
      <c r="AG77" s="39" t="s">
        <v>272</v>
      </c>
      <c r="AH77" s="39"/>
      <c r="AI77" s="115" t="s">
        <v>141</v>
      </c>
    </row>
    <row r="78" spans="1:35" ht="12.75">
      <c r="A78" s="114">
        <f>'1x64 splitter'!$E$12</f>
        <v>21.592</v>
      </c>
      <c r="B78" s="39" t="s">
        <v>234</v>
      </c>
      <c r="C78" s="39"/>
      <c r="D78" s="39"/>
      <c r="E78" s="39"/>
      <c r="F78" s="39"/>
      <c r="G78" s="39"/>
      <c r="H78" s="115" t="s">
        <v>263</v>
      </c>
      <c r="J78" s="114">
        <f>'1x64 splitter'!$E$12</f>
        <v>21.592</v>
      </c>
      <c r="K78" s="39" t="s">
        <v>234</v>
      </c>
      <c r="L78" s="39"/>
      <c r="M78" s="39"/>
      <c r="N78" s="39"/>
      <c r="O78" s="39"/>
      <c r="P78" s="39"/>
      <c r="Q78" s="115" t="s">
        <v>263</v>
      </c>
      <c r="S78" s="114">
        <f>'1x128 splitter'!$E$12</f>
        <v>24.893333333333338</v>
      </c>
      <c r="T78" s="39" t="s">
        <v>252</v>
      </c>
      <c r="U78" s="39"/>
      <c r="V78" s="39"/>
      <c r="W78" s="39"/>
      <c r="X78" s="39"/>
      <c r="Y78" s="39"/>
      <c r="Z78" s="115" t="s">
        <v>268</v>
      </c>
      <c r="AB78" s="114">
        <f>'1x128 splitter'!$E$12</f>
        <v>24.893333333333338</v>
      </c>
      <c r="AC78" s="39" t="s">
        <v>252</v>
      </c>
      <c r="AD78" s="39"/>
      <c r="AE78" s="39"/>
      <c r="AF78" s="39"/>
      <c r="AG78" s="39"/>
      <c r="AH78" s="39"/>
      <c r="AI78" s="115" t="s">
        <v>268</v>
      </c>
    </row>
    <row r="79" spans="1:35" ht="12.75">
      <c r="A79" s="114">
        <f>C79*E79</f>
        <v>0.4</v>
      </c>
      <c r="B79" s="39" t="s">
        <v>236</v>
      </c>
      <c r="C79" s="39">
        <v>2</v>
      </c>
      <c r="D79" s="39" t="s">
        <v>1</v>
      </c>
      <c r="E79" s="39">
        <v>0.2</v>
      </c>
      <c r="F79" s="39" t="s">
        <v>273</v>
      </c>
      <c r="G79" s="39"/>
      <c r="H79" s="115" t="s">
        <v>237</v>
      </c>
      <c r="J79" s="114">
        <f>L79*N79</f>
        <v>1.6</v>
      </c>
      <c r="K79" s="39" t="s">
        <v>236</v>
      </c>
      <c r="L79" s="39">
        <v>8</v>
      </c>
      <c r="M79" s="39" t="s">
        <v>1</v>
      </c>
      <c r="N79" s="39">
        <v>0.2</v>
      </c>
      <c r="O79" s="39" t="s">
        <v>273</v>
      </c>
      <c r="P79" s="39"/>
      <c r="Q79" s="115" t="s">
        <v>237</v>
      </c>
      <c r="S79" s="114">
        <f>U79*W79</f>
        <v>0.4</v>
      </c>
      <c r="T79" s="39" t="s">
        <v>236</v>
      </c>
      <c r="U79" s="39">
        <v>2</v>
      </c>
      <c r="V79" s="39" t="s">
        <v>1</v>
      </c>
      <c r="W79" s="39">
        <v>0.2</v>
      </c>
      <c r="X79" s="39" t="s">
        <v>273</v>
      </c>
      <c r="Y79" s="39"/>
      <c r="Z79" s="115" t="s">
        <v>237</v>
      </c>
      <c r="AB79" s="114">
        <f>AD79*AF79</f>
        <v>1.6</v>
      </c>
      <c r="AC79" s="39" t="s">
        <v>236</v>
      </c>
      <c r="AD79" s="39">
        <v>8</v>
      </c>
      <c r="AE79" s="39" t="s">
        <v>1</v>
      </c>
      <c r="AF79" s="39">
        <v>0.2</v>
      </c>
      <c r="AG79" s="39" t="s">
        <v>273</v>
      </c>
      <c r="AH79" s="39"/>
      <c r="AI79" s="115" t="s">
        <v>237</v>
      </c>
    </row>
    <row r="80" spans="1:35" ht="12.75">
      <c r="A80" s="116" t="s">
        <v>238</v>
      </c>
      <c r="B80" s="39"/>
      <c r="C80" s="39"/>
      <c r="D80" s="39"/>
      <c r="E80" s="39"/>
      <c r="F80" s="39"/>
      <c r="G80" s="39"/>
      <c r="H80" s="115"/>
      <c r="J80" s="116" t="s">
        <v>238</v>
      </c>
      <c r="K80" s="39"/>
      <c r="L80" s="39"/>
      <c r="M80" s="39"/>
      <c r="N80" s="39"/>
      <c r="O80" s="39"/>
      <c r="P80" s="39"/>
      <c r="Q80" s="115"/>
      <c r="S80" s="116" t="s">
        <v>238</v>
      </c>
      <c r="T80" s="39"/>
      <c r="U80" s="39"/>
      <c r="V80" s="39"/>
      <c r="W80" s="39"/>
      <c r="X80" s="39"/>
      <c r="Y80" s="39"/>
      <c r="Z80" s="115"/>
      <c r="AB80" s="116" t="s">
        <v>238</v>
      </c>
      <c r="AC80" s="39"/>
      <c r="AD80" s="39"/>
      <c r="AE80" s="39"/>
      <c r="AF80" s="39"/>
      <c r="AG80" s="39"/>
      <c r="AH80" s="39"/>
      <c r="AI80" s="115"/>
    </row>
    <row r="81" spans="1:35" ht="13.5" thickBot="1">
      <c r="A81" s="117">
        <f>SUM(A77:A79)</f>
        <v>26.991999999999997</v>
      </c>
      <c r="B81" s="118" t="s">
        <v>245</v>
      </c>
      <c r="C81" s="118"/>
      <c r="D81" s="118"/>
      <c r="E81" s="118"/>
      <c r="F81" s="118"/>
      <c r="G81" s="118"/>
      <c r="H81" s="119"/>
      <c r="J81" s="117">
        <f>SUM(J77:J79)</f>
        <v>28.192</v>
      </c>
      <c r="K81" s="118" t="s">
        <v>245</v>
      </c>
      <c r="L81" s="118"/>
      <c r="M81" s="118"/>
      <c r="N81" s="118"/>
      <c r="O81" s="118"/>
      <c r="P81" s="118"/>
      <c r="Q81" s="119"/>
      <c r="S81" s="117">
        <f>SUM(S77:S79)</f>
        <v>30.293333333333337</v>
      </c>
      <c r="T81" s="118" t="s">
        <v>245</v>
      </c>
      <c r="U81" s="118"/>
      <c r="V81" s="118"/>
      <c r="W81" s="118"/>
      <c r="X81" s="118"/>
      <c r="Y81" s="118"/>
      <c r="Z81" s="119"/>
      <c r="AB81" s="117">
        <f>SUM(AB77:AB79)</f>
        <v>31.49333333333334</v>
      </c>
      <c r="AC81" s="118" t="s">
        <v>245</v>
      </c>
      <c r="AD81" s="118"/>
      <c r="AE81" s="118"/>
      <c r="AF81" s="118"/>
      <c r="AG81" s="118"/>
      <c r="AH81" s="118"/>
      <c r="AI81" s="119"/>
    </row>
    <row r="82" ht="13.5" thickBot="1"/>
    <row r="83" spans="1:35" ht="13.5" thickBot="1">
      <c r="A83" s="164" t="s">
        <v>260</v>
      </c>
      <c r="B83" s="165"/>
      <c r="C83" s="165"/>
      <c r="D83" s="165"/>
      <c r="E83" s="165"/>
      <c r="F83" s="165"/>
      <c r="G83" s="165"/>
      <c r="H83" s="166"/>
      <c r="J83" s="164" t="s">
        <v>260</v>
      </c>
      <c r="K83" s="165"/>
      <c r="L83" s="165"/>
      <c r="M83" s="165"/>
      <c r="N83" s="165"/>
      <c r="O83" s="165"/>
      <c r="P83" s="165"/>
      <c r="Q83" s="166"/>
      <c r="S83" s="164" t="s">
        <v>266</v>
      </c>
      <c r="T83" s="165"/>
      <c r="U83" s="165"/>
      <c r="V83" s="165"/>
      <c r="W83" s="165"/>
      <c r="X83" s="165"/>
      <c r="Y83" s="165"/>
      <c r="Z83" s="166"/>
      <c r="AB83" s="164" t="s">
        <v>266</v>
      </c>
      <c r="AC83" s="165"/>
      <c r="AD83" s="165"/>
      <c r="AE83" s="165"/>
      <c r="AF83" s="165"/>
      <c r="AG83" s="165"/>
      <c r="AH83" s="165"/>
      <c r="AI83" s="166"/>
    </row>
    <row r="84" spans="1:35" ht="12.75">
      <c r="A84" s="120"/>
      <c r="B84" s="121"/>
      <c r="C84" s="121"/>
      <c r="D84" s="121"/>
      <c r="E84" s="121"/>
      <c r="F84" s="121"/>
      <c r="G84" s="121"/>
      <c r="H84" s="122" t="s">
        <v>140</v>
      </c>
      <c r="J84" s="120"/>
      <c r="K84" s="121"/>
      <c r="L84" s="121"/>
      <c r="M84" s="121"/>
      <c r="N84" s="121"/>
      <c r="O84" s="121"/>
      <c r="P84" s="121"/>
      <c r="Q84" s="122" t="s">
        <v>140</v>
      </c>
      <c r="S84" s="120"/>
      <c r="T84" s="121"/>
      <c r="U84" s="121"/>
      <c r="V84" s="121"/>
      <c r="W84" s="121"/>
      <c r="X84" s="121"/>
      <c r="Y84" s="121"/>
      <c r="Z84" s="122" t="s">
        <v>140</v>
      </c>
      <c r="AB84" s="120"/>
      <c r="AC84" s="121"/>
      <c r="AD84" s="121"/>
      <c r="AE84" s="121"/>
      <c r="AF84" s="121"/>
      <c r="AG84" s="121"/>
      <c r="AH84" s="121"/>
      <c r="AI84" s="122" t="s">
        <v>140</v>
      </c>
    </row>
    <row r="85" spans="1:35" ht="12.75">
      <c r="A85" s="123">
        <f>C85*E85</f>
        <v>10</v>
      </c>
      <c r="B85" s="40" t="s">
        <v>0</v>
      </c>
      <c r="C85" s="40">
        <v>20</v>
      </c>
      <c r="D85" s="40" t="s">
        <v>1</v>
      </c>
      <c r="E85" s="40">
        <v>0.5</v>
      </c>
      <c r="F85" s="40" t="s">
        <v>272</v>
      </c>
      <c r="G85" s="40"/>
      <c r="H85" s="124" t="s">
        <v>141</v>
      </c>
      <c r="J85" s="123">
        <f>L85*N85</f>
        <v>10</v>
      </c>
      <c r="K85" s="40" t="s">
        <v>0</v>
      </c>
      <c r="L85" s="40">
        <v>20</v>
      </c>
      <c r="M85" s="40" t="s">
        <v>1</v>
      </c>
      <c r="N85" s="40">
        <v>0.5</v>
      </c>
      <c r="O85" s="40" t="s">
        <v>272</v>
      </c>
      <c r="P85" s="40"/>
      <c r="Q85" s="124" t="s">
        <v>141</v>
      </c>
      <c r="S85" s="123">
        <f>U85*W85</f>
        <v>10</v>
      </c>
      <c r="T85" s="40" t="s">
        <v>0</v>
      </c>
      <c r="U85" s="40">
        <v>20</v>
      </c>
      <c r="V85" s="40" t="s">
        <v>1</v>
      </c>
      <c r="W85" s="40">
        <v>0.5</v>
      </c>
      <c r="X85" s="40" t="s">
        <v>272</v>
      </c>
      <c r="Y85" s="40"/>
      <c r="Z85" s="124" t="s">
        <v>141</v>
      </c>
      <c r="AB85" s="123">
        <f>AD85*AF85</f>
        <v>10</v>
      </c>
      <c r="AC85" s="40" t="s">
        <v>0</v>
      </c>
      <c r="AD85" s="40">
        <v>20</v>
      </c>
      <c r="AE85" s="40" t="s">
        <v>1</v>
      </c>
      <c r="AF85" s="40">
        <v>0.5</v>
      </c>
      <c r="AG85" s="40" t="s">
        <v>272</v>
      </c>
      <c r="AH85" s="40"/>
      <c r="AI85" s="124" t="s">
        <v>141</v>
      </c>
    </row>
    <row r="86" spans="1:35" ht="12.75">
      <c r="A86" s="123">
        <f>'1x64 splitter'!$E$13</f>
        <v>21.83</v>
      </c>
      <c r="B86" s="40" t="s">
        <v>234</v>
      </c>
      <c r="C86" s="40"/>
      <c r="D86" s="40"/>
      <c r="E86" s="40"/>
      <c r="F86" s="40"/>
      <c r="G86" s="40"/>
      <c r="H86" s="124" t="s">
        <v>264</v>
      </c>
      <c r="J86" s="123">
        <f>'1x64 splitter'!$E$13</f>
        <v>21.83</v>
      </c>
      <c r="K86" s="40" t="s">
        <v>234</v>
      </c>
      <c r="L86" s="40"/>
      <c r="M86" s="40"/>
      <c r="N86" s="40"/>
      <c r="O86" s="40"/>
      <c r="P86" s="40"/>
      <c r="Q86" s="124" t="s">
        <v>264</v>
      </c>
      <c r="S86" s="123">
        <f>'1x128 splitter'!$E$13</f>
        <v>25.112000000000002</v>
      </c>
      <c r="T86" s="40" t="s">
        <v>252</v>
      </c>
      <c r="U86" s="40"/>
      <c r="V86" s="40"/>
      <c r="W86" s="40"/>
      <c r="X86" s="40"/>
      <c r="Y86" s="40"/>
      <c r="Z86" s="124" t="s">
        <v>269</v>
      </c>
      <c r="AB86" s="123">
        <f>'1x128 splitter'!$E$13</f>
        <v>25.112000000000002</v>
      </c>
      <c r="AC86" s="40" t="s">
        <v>252</v>
      </c>
      <c r="AD86" s="40"/>
      <c r="AE86" s="40"/>
      <c r="AF86" s="40"/>
      <c r="AG86" s="40"/>
      <c r="AH86" s="40"/>
      <c r="AI86" s="124" t="s">
        <v>269</v>
      </c>
    </row>
    <row r="87" spans="1:35" ht="12.75">
      <c r="A87" s="123">
        <f>C87*E87</f>
        <v>0.4</v>
      </c>
      <c r="B87" s="40" t="s">
        <v>236</v>
      </c>
      <c r="C87" s="40">
        <v>2</v>
      </c>
      <c r="D87" s="40" t="s">
        <v>1</v>
      </c>
      <c r="E87" s="40">
        <v>0.2</v>
      </c>
      <c r="F87" s="40" t="s">
        <v>273</v>
      </c>
      <c r="G87" s="40"/>
      <c r="H87" s="124" t="s">
        <v>237</v>
      </c>
      <c r="J87" s="123">
        <f>L87*N87</f>
        <v>1.6</v>
      </c>
      <c r="K87" s="40" t="s">
        <v>236</v>
      </c>
      <c r="L87" s="40">
        <v>8</v>
      </c>
      <c r="M87" s="40" t="s">
        <v>1</v>
      </c>
      <c r="N87" s="40">
        <v>0.2</v>
      </c>
      <c r="O87" s="40" t="s">
        <v>273</v>
      </c>
      <c r="P87" s="40"/>
      <c r="Q87" s="124" t="s">
        <v>237</v>
      </c>
      <c r="S87" s="123">
        <f>U87*W87</f>
        <v>0.4</v>
      </c>
      <c r="T87" s="40" t="s">
        <v>236</v>
      </c>
      <c r="U87" s="40">
        <v>2</v>
      </c>
      <c r="V87" s="40" t="s">
        <v>1</v>
      </c>
      <c r="W87" s="40">
        <v>0.2</v>
      </c>
      <c r="X87" s="40" t="s">
        <v>273</v>
      </c>
      <c r="Y87" s="40"/>
      <c r="Z87" s="124" t="s">
        <v>237</v>
      </c>
      <c r="AB87" s="123">
        <f>AD87*AF87</f>
        <v>1.6</v>
      </c>
      <c r="AC87" s="40" t="s">
        <v>236</v>
      </c>
      <c r="AD87" s="40">
        <v>8</v>
      </c>
      <c r="AE87" s="40" t="s">
        <v>1</v>
      </c>
      <c r="AF87" s="40">
        <v>0.2</v>
      </c>
      <c r="AG87" s="40" t="s">
        <v>273</v>
      </c>
      <c r="AH87" s="40"/>
      <c r="AI87" s="124" t="s">
        <v>237</v>
      </c>
    </row>
    <row r="88" spans="1:35" ht="12.75">
      <c r="A88" s="125" t="s">
        <v>238</v>
      </c>
      <c r="B88" s="40"/>
      <c r="C88" s="40"/>
      <c r="D88" s="40"/>
      <c r="E88" s="40"/>
      <c r="F88" s="40"/>
      <c r="G88" s="40"/>
      <c r="H88" s="124"/>
      <c r="J88" s="125" t="s">
        <v>238</v>
      </c>
      <c r="K88" s="40"/>
      <c r="L88" s="40"/>
      <c r="M88" s="40"/>
      <c r="N88" s="40"/>
      <c r="O88" s="40"/>
      <c r="P88" s="40"/>
      <c r="Q88" s="124"/>
      <c r="S88" s="125" t="s">
        <v>238</v>
      </c>
      <c r="T88" s="40"/>
      <c r="U88" s="40"/>
      <c r="V88" s="40"/>
      <c r="W88" s="40"/>
      <c r="X88" s="40"/>
      <c r="Y88" s="40"/>
      <c r="Z88" s="124"/>
      <c r="AB88" s="125" t="s">
        <v>238</v>
      </c>
      <c r="AC88" s="40"/>
      <c r="AD88" s="40"/>
      <c r="AE88" s="40"/>
      <c r="AF88" s="40"/>
      <c r="AG88" s="40"/>
      <c r="AH88" s="40"/>
      <c r="AI88" s="124"/>
    </row>
    <row r="89" spans="1:35" ht="13.5" thickBot="1">
      <c r="A89" s="126">
        <f>SUM(A85:A87)</f>
        <v>32.23</v>
      </c>
      <c r="B89" s="127" t="s">
        <v>245</v>
      </c>
      <c r="C89" s="127"/>
      <c r="D89" s="127"/>
      <c r="E89" s="127"/>
      <c r="F89" s="127"/>
      <c r="G89" s="127"/>
      <c r="H89" s="128"/>
      <c r="J89" s="126">
        <f>SUM(J85:J87)</f>
        <v>33.43</v>
      </c>
      <c r="K89" s="127" t="s">
        <v>245</v>
      </c>
      <c r="L89" s="127"/>
      <c r="M89" s="127"/>
      <c r="N89" s="127"/>
      <c r="O89" s="127"/>
      <c r="P89" s="127"/>
      <c r="Q89" s="128"/>
      <c r="S89" s="126">
        <f>SUM(S85:S87)</f>
        <v>35.512</v>
      </c>
      <c r="T89" s="127" t="s">
        <v>245</v>
      </c>
      <c r="U89" s="127"/>
      <c r="V89" s="127"/>
      <c r="W89" s="127"/>
      <c r="X89" s="127"/>
      <c r="Y89" s="127"/>
      <c r="Z89" s="128"/>
      <c r="AB89" s="126">
        <f>SUM(AB85:AB87)</f>
        <v>36.712</v>
      </c>
      <c r="AC89" s="127" t="s">
        <v>245</v>
      </c>
      <c r="AD89" s="127"/>
      <c r="AE89" s="127"/>
      <c r="AF89" s="127"/>
      <c r="AG89" s="127"/>
      <c r="AH89" s="127"/>
      <c r="AI89" s="128"/>
    </row>
    <row r="90" ht="13.5" thickBot="1"/>
    <row r="91" spans="1:35" ht="13.5" thickBot="1">
      <c r="A91" s="164" t="s">
        <v>261</v>
      </c>
      <c r="B91" s="165"/>
      <c r="C91" s="165"/>
      <c r="D91" s="165"/>
      <c r="E91" s="165"/>
      <c r="F91" s="165"/>
      <c r="G91" s="165"/>
      <c r="H91" s="166"/>
      <c r="J91" s="164" t="s">
        <v>261</v>
      </c>
      <c r="K91" s="165"/>
      <c r="L91" s="165"/>
      <c r="M91" s="165"/>
      <c r="N91" s="165"/>
      <c r="O91" s="165"/>
      <c r="P91" s="165"/>
      <c r="Q91" s="166"/>
      <c r="S91" s="164" t="s">
        <v>267</v>
      </c>
      <c r="T91" s="165"/>
      <c r="U91" s="165"/>
      <c r="V91" s="165"/>
      <c r="W91" s="165"/>
      <c r="X91" s="165"/>
      <c r="Y91" s="165"/>
      <c r="Z91" s="166"/>
      <c r="AB91" s="164" t="s">
        <v>267</v>
      </c>
      <c r="AC91" s="165"/>
      <c r="AD91" s="165"/>
      <c r="AE91" s="165"/>
      <c r="AF91" s="165"/>
      <c r="AG91" s="165"/>
      <c r="AH91" s="165"/>
      <c r="AI91" s="166"/>
    </row>
    <row r="92" spans="1:35" ht="12.75">
      <c r="A92" s="120"/>
      <c r="B92" s="121"/>
      <c r="C92" s="121"/>
      <c r="D92" s="121"/>
      <c r="E92" s="121"/>
      <c r="F92" s="121"/>
      <c r="G92" s="121"/>
      <c r="H92" s="122" t="s">
        <v>140</v>
      </c>
      <c r="J92" s="120"/>
      <c r="K92" s="121"/>
      <c r="L92" s="121"/>
      <c r="M92" s="121"/>
      <c r="N92" s="121"/>
      <c r="O92" s="121"/>
      <c r="P92" s="121"/>
      <c r="Q92" s="122" t="s">
        <v>140</v>
      </c>
      <c r="S92" s="120"/>
      <c r="T92" s="121"/>
      <c r="U92" s="121"/>
      <c r="V92" s="121"/>
      <c r="W92" s="121"/>
      <c r="X92" s="121"/>
      <c r="Y92" s="121"/>
      <c r="Z92" s="122" t="s">
        <v>140</v>
      </c>
      <c r="AB92" s="120"/>
      <c r="AC92" s="121"/>
      <c r="AD92" s="121"/>
      <c r="AE92" s="121"/>
      <c r="AF92" s="121"/>
      <c r="AG92" s="121"/>
      <c r="AH92" s="121"/>
      <c r="AI92" s="122" t="s">
        <v>140</v>
      </c>
    </row>
    <row r="93" spans="1:35" ht="12.75">
      <c r="A93" s="123">
        <f>C93*E93</f>
        <v>5</v>
      </c>
      <c r="B93" s="40" t="s">
        <v>0</v>
      </c>
      <c r="C93" s="40">
        <v>10</v>
      </c>
      <c r="D93" s="40" t="s">
        <v>1</v>
      </c>
      <c r="E93" s="40">
        <v>0.5</v>
      </c>
      <c r="F93" s="40" t="s">
        <v>272</v>
      </c>
      <c r="G93" s="40"/>
      <c r="H93" s="124" t="s">
        <v>141</v>
      </c>
      <c r="J93" s="123">
        <f>L93*N93</f>
        <v>5</v>
      </c>
      <c r="K93" s="40" t="s">
        <v>0</v>
      </c>
      <c r="L93" s="40">
        <v>10</v>
      </c>
      <c r="M93" s="40" t="s">
        <v>1</v>
      </c>
      <c r="N93" s="40">
        <v>0.5</v>
      </c>
      <c r="O93" s="40" t="s">
        <v>272</v>
      </c>
      <c r="P93" s="40"/>
      <c r="Q93" s="124" t="s">
        <v>141</v>
      </c>
      <c r="S93" s="123">
        <f>U93*W93</f>
        <v>5</v>
      </c>
      <c r="T93" s="40" t="s">
        <v>0</v>
      </c>
      <c r="U93" s="40">
        <v>10</v>
      </c>
      <c r="V93" s="40" t="s">
        <v>1</v>
      </c>
      <c r="W93" s="40">
        <v>0.5</v>
      </c>
      <c r="X93" s="40" t="s">
        <v>272</v>
      </c>
      <c r="Y93" s="40"/>
      <c r="Z93" s="124" t="s">
        <v>141</v>
      </c>
      <c r="AB93" s="123">
        <f>AD93*AF93</f>
        <v>5</v>
      </c>
      <c r="AC93" s="40" t="s">
        <v>0</v>
      </c>
      <c r="AD93" s="40">
        <v>10</v>
      </c>
      <c r="AE93" s="40" t="s">
        <v>1</v>
      </c>
      <c r="AF93" s="40">
        <v>0.5</v>
      </c>
      <c r="AG93" s="40" t="s">
        <v>272</v>
      </c>
      <c r="AH93" s="40"/>
      <c r="AI93" s="124" t="s">
        <v>141</v>
      </c>
    </row>
    <row r="94" spans="1:35" ht="12.75">
      <c r="A94" s="123">
        <f>'1x64 splitter'!$E$13</f>
        <v>21.83</v>
      </c>
      <c r="B94" s="40" t="s">
        <v>234</v>
      </c>
      <c r="C94" s="40"/>
      <c r="D94" s="40"/>
      <c r="E94" s="40"/>
      <c r="F94" s="40"/>
      <c r="G94" s="40"/>
      <c r="H94" s="124" t="s">
        <v>264</v>
      </c>
      <c r="J94" s="123">
        <f>'1x64 splitter'!$E$13</f>
        <v>21.83</v>
      </c>
      <c r="K94" s="40" t="s">
        <v>234</v>
      </c>
      <c r="L94" s="40"/>
      <c r="M94" s="40"/>
      <c r="N94" s="40"/>
      <c r="O94" s="40"/>
      <c r="P94" s="40"/>
      <c r="Q94" s="124" t="s">
        <v>264</v>
      </c>
      <c r="S94" s="123">
        <f>'1x128 splitter'!$E$13</f>
        <v>25.112000000000002</v>
      </c>
      <c r="T94" s="40" t="s">
        <v>252</v>
      </c>
      <c r="U94" s="40"/>
      <c r="V94" s="40"/>
      <c r="W94" s="40"/>
      <c r="X94" s="40"/>
      <c r="Y94" s="40"/>
      <c r="Z94" s="124" t="s">
        <v>269</v>
      </c>
      <c r="AB94" s="123">
        <f>'1x128 splitter'!$E$13</f>
        <v>25.112000000000002</v>
      </c>
      <c r="AC94" s="40" t="s">
        <v>252</v>
      </c>
      <c r="AD94" s="40"/>
      <c r="AE94" s="40"/>
      <c r="AF94" s="40"/>
      <c r="AG94" s="40"/>
      <c r="AH94" s="40"/>
      <c r="AI94" s="124" t="s">
        <v>269</v>
      </c>
    </row>
    <row r="95" spans="1:35" ht="12.75">
      <c r="A95" s="123">
        <f>C95*E95</f>
        <v>0.4</v>
      </c>
      <c r="B95" s="40" t="s">
        <v>236</v>
      </c>
      <c r="C95" s="40">
        <v>2</v>
      </c>
      <c r="D95" s="40" t="s">
        <v>1</v>
      </c>
      <c r="E95" s="40">
        <v>0.2</v>
      </c>
      <c r="F95" s="40" t="s">
        <v>273</v>
      </c>
      <c r="G95" s="40"/>
      <c r="H95" s="124" t="s">
        <v>237</v>
      </c>
      <c r="J95" s="123">
        <f>L95*N95</f>
        <v>1.6</v>
      </c>
      <c r="K95" s="40" t="s">
        <v>236</v>
      </c>
      <c r="L95" s="40">
        <v>8</v>
      </c>
      <c r="M95" s="40" t="s">
        <v>1</v>
      </c>
      <c r="N95" s="40">
        <v>0.2</v>
      </c>
      <c r="O95" s="40" t="s">
        <v>273</v>
      </c>
      <c r="P95" s="40"/>
      <c r="Q95" s="124" t="s">
        <v>237</v>
      </c>
      <c r="S95" s="123">
        <f>U95*W95</f>
        <v>0.4</v>
      </c>
      <c r="T95" s="40" t="s">
        <v>236</v>
      </c>
      <c r="U95" s="40">
        <v>2</v>
      </c>
      <c r="V95" s="40" t="s">
        <v>1</v>
      </c>
      <c r="W95" s="40">
        <v>0.2</v>
      </c>
      <c r="X95" s="40" t="s">
        <v>273</v>
      </c>
      <c r="Y95" s="40"/>
      <c r="Z95" s="124" t="s">
        <v>237</v>
      </c>
      <c r="AB95" s="123">
        <f>AD95*AF95</f>
        <v>1.6</v>
      </c>
      <c r="AC95" s="40" t="s">
        <v>236</v>
      </c>
      <c r="AD95" s="40">
        <v>8</v>
      </c>
      <c r="AE95" s="40" t="s">
        <v>1</v>
      </c>
      <c r="AF95" s="40">
        <v>0.2</v>
      </c>
      <c r="AG95" s="40" t="s">
        <v>273</v>
      </c>
      <c r="AH95" s="40"/>
      <c r="AI95" s="124" t="s">
        <v>237</v>
      </c>
    </row>
    <row r="96" spans="1:35" ht="12.75">
      <c r="A96" s="125" t="s">
        <v>238</v>
      </c>
      <c r="B96" s="40"/>
      <c r="C96" s="40"/>
      <c r="D96" s="40"/>
      <c r="E96" s="40"/>
      <c r="F96" s="40"/>
      <c r="G96" s="40"/>
      <c r="H96" s="124"/>
      <c r="J96" s="125" t="s">
        <v>238</v>
      </c>
      <c r="K96" s="40"/>
      <c r="L96" s="40"/>
      <c r="M96" s="40"/>
      <c r="N96" s="40"/>
      <c r="O96" s="40"/>
      <c r="P96" s="40"/>
      <c r="Q96" s="124"/>
      <c r="S96" s="125" t="s">
        <v>238</v>
      </c>
      <c r="T96" s="40"/>
      <c r="U96" s="40"/>
      <c r="V96" s="40"/>
      <c r="W96" s="40"/>
      <c r="X96" s="40"/>
      <c r="Y96" s="40"/>
      <c r="Z96" s="124"/>
      <c r="AB96" s="125" t="s">
        <v>238</v>
      </c>
      <c r="AC96" s="40"/>
      <c r="AD96" s="40"/>
      <c r="AE96" s="40"/>
      <c r="AF96" s="40"/>
      <c r="AG96" s="40"/>
      <c r="AH96" s="40"/>
      <c r="AI96" s="124"/>
    </row>
    <row r="97" spans="1:35" ht="13.5" thickBot="1">
      <c r="A97" s="126">
        <f>SUM(A93:A95)</f>
        <v>27.229999999999997</v>
      </c>
      <c r="B97" s="127" t="s">
        <v>245</v>
      </c>
      <c r="C97" s="127"/>
      <c r="D97" s="127"/>
      <c r="E97" s="127"/>
      <c r="F97" s="127"/>
      <c r="G97" s="127"/>
      <c r="H97" s="128"/>
      <c r="J97" s="126">
        <f>SUM(J93:J95)</f>
        <v>28.43</v>
      </c>
      <c r="K97" s="127" t="s">
        <v>245</v>
      </c>
      <c r="L97" s="127"/>
      <c r="M97" s="127"/>
      <c r="N97" s="127"/>
      <c r="O97" s="127"/>
      <c r="P97" s="127"/>
      <c r="Q97" s="128"/>
      <c r="S97" s="126">
        <f>SUM(S93:S95)</f>
        <v>30.512</v>
      </c>
      <c r="T97" s="127" t="s">
        <v>245</v>
      </c>
      <c r="U97" s="127"/>
      <c r="V97" s="127"/>
      <c r="W97" s="127"/>
      <c r="X97" s="127"/>
      <c r="Y97" s="127"/>
      <c r="Z97" s="128"/>
      <c r="AB97" s="126">
        <f>SUM(AB93:AB95)</f>
        <v>31.712000000000003</v>
      </c>
      <c r="AC97" s="127" t="s">
        <v>245</v>
      </c>
      <c r="AD97" s="127"/>
      <c r="AE97" s="127"/>
      <c r="AF97" s="127"/>
      <c r="AG97" s="127"/>
      <c r="AH97" s="127"/>
      <c r="AI97" s="128"/>
    </row>
    <row r="98" ht="13.5" thickBot="1"/>
    <row r="99" spans="1:35" ht="13.5" thickBot="1">
      <c r="A99" s="162" t="s">
        <v>260</v>
      </c>
      <c r="B99" s="186"/>
      <c r="C99" s="186"/>
      <c r="D99" s="186"/>
      <c r="E99" s="186"/>
      <c r="F99" s="186"/>
      <c r="G99" s="186"/>
      <c r="H99" s="187"/>
      <c r="J99" s="162" t="s">
        <v>260</v>
      </c>
      <c r="K99" s="186"/>
      <c r="L99" s="186"/>
      <c r="M99" s="186"/>
      <c r="N99" s="186"/>
      <c r="O99" s="186"/>
      <c r="P99" s="186"/>
      <c r="Q99" s="187"/>
      <c r="S99" s="162" t="s">
        <v>266</v>
      </c>
      <c r="T99" s="186"/>
      <c r="U99" s="186"/>
      <c r="V99" s="186"/>
      <c r="W99" s="186"/>
      <c r="X99" s="186"/>
      <c r="Y99" s="186"/>
      <c r="Z99" s="187"/>
      <c r="AB99" s="162" t="s">
        <v>266</v>
      </c>
      <c r="AC99" s="186"/>
      <c r="AD99" s="186"/>
      <c r="AE99" s="186"/>
      <c r="AF99" s="186"/>
      <c r="AG99" s="186"/>
      <c r="AH99" s="186"/>
      <c r="AI99" s="187"/>
    </row>
    <row r="100" spans="1:35" ht="12.75">
      <c r="A100" s="129"/>
      <c r="B100" s="130"/>
      <c r="C100" s="130"/>
      <c r="D100" s="130"/>
      <c r="E100" s="130"/>
      <c r="F100" s="130"/>
      <c r="G100" s="130"/>
      <c r="H100" s="131" t="s">
        <v>140</v>
      </c>
      <c r="J100" s="129"/>
      <c r="K100" s="130"/>
      <c r="L100" s="130"/>
      <c r="M100" s="130"/>
      <c r="N100" s="130"/>
      <c r="O100" s="130"/>
      <c r="P100" s="130"/>
      <c r="Q100" s="131" t="s">
        <v>140</v>
      </c>
      <c r="S100" s="129"/>
      <c r="T100" s="130"/>
      <c r="U100" s="130"/>
      <c r="V100" s="130"/>
      <c r="W100" s="130"/>
      <c r="X100" s="130"/>
      <c r="Y100" s="130"/>
      <c r="Z100" s="131" t="s">
        <v>140</v>
      </c>
      <c r="AB100" s="129"/>
      <c r="AC100" s="130"/>
      <c r="AD100" s="130"/>
      <c r="AE100" s="130"/>
      <c r="AF100" s="130"/>
      <c r="AG100" s="130"/>
      <c r="AH100" s="130"/>
      <c r="AI100" s="131" t="s">
        <v>140</v>
      </c>
    </row>
    <row r="101" spans="1:35" ht="12.75">
      <c r="A101" s="132">
        <f>C101*E101</f>
        <v>10</v>
      </c>
      <c r="B101" s="133" t="s">
        <v>0</v>
      </c>
      <c r="C101" s="133">
        <v>20</v>
      </c>
      <c r="D101" s="133" t="s">
        <v>1</v>
      </c>
      <c r="E101" s="133">
        <v>0.5</v>
      </c>
      <c r="F101" s="133" t="s">
        <v>272</v>
      </c>
      <c r="G101" s="133"/>
      <c r="H101" s="134" t="s">
        <v>141</v>
      </c>
      <c r="J101" s="132">
        <f>L101*N101</f>
        <v>10</v>
      </c>
      <c r="K101" s="133" t="s">
        <v>0</v>
      </c>
      <c r="L101" s="133">
        <v>20</v>
      </c>
      <c r="M101" s="133" t="s">
        <v>1</v>
      </c>
      <c r="N101" s="133">
        <v>0.5</v>
      </c>
      <c r="O101" s="133" t="s">
        <v>272</v>
      </c>
      <c r="P101" s="133"/>
      <c r="Q101" s="134" t="s">
        <v>141</v>
      </c>
      <c r="S101" s="132">
        <f>U101*W101</f>
        <v>10</v>
      </c>
      <c r="T101" s="133" t="s">
        <v>0</v>
      </c>
      <c r="U101" s="133">
        <v>20</v>
      </c>
      <c r="V101" s="133" t="s">
        <v>1</v>
      </c>
      <c r="W101" s="133">
        <v>0.5</v>
      </c>
      <c r="X101" s="133" t="s">
        <v>272</v>
      </c>
      <c r="Y101" s="133"/>
      <c r="Z101" s="134" t="s">
        <v>141</v>
      </c>
      <c r="AB101" s="132">
        <f>AD101*AF101</f>
        <v>10</v>
      </c>
      <c r="AC101" s="133" t="s">
        <v>0</v>
      </c>
      <c r="AD101" s="133">
        <v>20</v>
      </c>
      <c r="AE101" s="133" t="s">
        <v>1</v>
      </c>
      <c r="AF101" s="133">
        <v>0.5</v>
      </c>
      <c r="AG101" s="133" t="s">
        <v>272</v>
      </c>
      <c r="AH101" s="133"/>
      <c r="AI101" s="134" t="s">
        <v>141</v>
      </c>
    </row>
    <row r="102" spans="1:35" ht="12.75">
      <c r="A102" s="132">
        <f>'1x64 splitter'!$E$14</f>
        <v>21.900000000000002</v>
      </c>
      <c r="B102" s="133" t="s">
        <v>234</v>
      </c>
      <c r="C102" s="133"/>
      <c r="D102" s="133"/>
      <c r="E102" s="133"/>
      <c r="F102" s="133"/>
      <c r="G102" s="133"/>
      <c r="H102" s="134" t="s">
        <v>265</v>
      </c>
      <c r="J102" s="132">
        <f>'1x64 splitter'!$E$14</f>
        <v>21.900000000000002</v>
      </c>
      <c r="K102" s="133" t="s">
        <v>234</v>
      </c>
      <c r="L102" s="133"/>
      <c r="M102" s="133"/>
      <c r="N102" s="133"/>
      <c r="O102" s="133"/>
      <c r="P102" s="133"/>
      <c r="Q102" s="134" t="s">
        <v>265</v>
      </c>
      <c r="S102" s="132">
        <f>'1x128 splitter'!$E$14</f>
        <v>25.279999999999998</v>
      </c>
      <c r="T102" s="133" t="s">
        <v>252</v>
      </c>
      <c r="U102" s="133"/>
      <c r="V102" s="133"/>
      <c r="W102" s="133"/>
      <c r="X102" s="133"/>
      <c r="Y102" s="133"/>
      <c r="Z102" s="134" t="s">
        <v>270</v>
      </c>
      <c r="AB102" s="132">
        <f>'1x128 splitter'!$E$14</f>
        <v>25.279999999999998</v>
      </c>
      <c r="AC102" s="133" t="s">
        <v>252</v>
      </c>
      <c r="AD102" s="133"/>
      <c r="AE102" s="133"/>
      <c r="AF102" s="133"/>
      <c r="AG102" s="133"/>
      <c r="AH102" s="133"/>
      <c r="AI102" s="134" t="s">
        <v>270</v>
      </c>
    </row>
    <row r="103" spans="1:35" ht="12.75">
      <c r="A103" s="132">
        <f>C103*E103</f>
        <v>0.4</v>
      </c>
      <c r="B103" s="133" t="s">
        <v>236</v>
      </c>
      <c r="C103" s="133">
        <v>2</v>
      </c>
      <c r="D103" s="133" t="s">
        <v>1</v>
      </c>
      <c r="E103" s="133">
        <v>0.2</v>
      </c>
      <c r="F103" s="133" t="s">
        <v>273</v>
      </c>
      <c r="G103" s="133"/>
      <c r="H103" s="134" t="s">
        <v>237</v>
      </c>
      <c r="J103" s="132">
        <f>L103*N103</f>
        <v>1.6</v>
      </c>
      <c r="K103" s="133" t="s">
        <v>236</v>
      </c>
      <c r="L103" s="133">
        <v>8</v>
      </c>
      <c r="M103" s="133" t="s">
        <v>1</v>
      </c>
      <c r="N103" s="133">
        <v>0.2</v>
      </c>
      <c r="O103" s="133" t="s">
        <v>273</v>
      </c>
      <c r="P103" s="133"/>
      <c r="Q103" s="134" t="s">
        <v>237</v>
      </c>
      <c r="S103" s="132">
        <f>U103*W103</f>
        <v>0.4</v>
      </c>
      <c r="T103" s="133" t="s">
        <v>236</v>
      </c>
      <c r="U103" s="133">
        <v>2</v>
      </c>
      <c r="V103" s="133" t="s">
        <v>1</v>
      </c>
      <c r="W103" s="133">
        <v>0.2</v>
      </c>
      <c r="X103" s="133" t="s">
        <v>273</v>
      </c>
      <c r="Y103" s="133"/>
      <c r="Z103" s="134" t="s">
        <v>237</v>
      </c>
      <c r="AB103" s="132">
        <f>AD103*AF103</f>
        <v>1.6</v>
      </c>
      <c r="AC103" s="133" t="s">
        <v>236</v>
      </c>
      <c r="AD103" s="133">
        <v>8</v>
      </c>
      <c r="AE103" s="133" t="s">
        <v>1</v>
      </c>
      <c r="AF103" s="133">
        <v>0.2</v>
      </c>
      <c r="AG103" s="133" t="s">
        <v>273</v>
      </c>
      <c r="AH103" s="133"/>
      <c r="AI103" s="134" t="s">
        <v>237</v>
      </c>
    </row>
    <row r="104" spans="1:35" ht="12.75">
      <c r="A104" s="135" t="s">
        <v>238</v>
      </c>
      <c r="B104" s="133"/>
      <c r="C104" s="133"/>
      <c r="D104" s="133"/>
      <c r="E104" s="133"/>
      <c r="F104" s="133"/>
      <c r="G104" s="133"/>
      <c r="H104" s="134"/>
      <c r="J104" s="135" t="s">
        <v>238</v>
      </c>
      <c r="K104" s="133"/>
      <c r="L104" s="133"/>
      <c r="M104" s="133"/>
      <c r="N104" s="133"/>
      <c r="O104" s="133"/>
      <c r="P104" s="133"/>
      <c r="Q104" s="134"/>
      <c r="S104" s="135" t="s">
        <v>238</v>
      </c>
      <c r="T104" s="133"/>
      <c r="U104" s="133"/>
      <c r="V104" s="133"/>
      <c r="W104" s="133"/>
      <c r="X104" s="133"/>
      <c r="Y104" s="133"/>
      <c r="Z104" s="134"/>
      <c r="AB104" s="135" t="s">
        <v>238</v>
      </c>
      <c r="AC104" s="133"/>
      <c r="AD104" s="133"/>
      <c r="AE104" s="133"/>
      <c r="AF104" s="133"/>
      <c r="AG104" s="133"/>
      <c r="AH104" s="133"/>
      <c r="AI104" s="134"/>
    </row>
    <row r="105" spans="1:35" ht="13.5" thickBot="1">
      <c r="A105" s="136">
        <f>SUM(A101:A103)</f>
        <v>32.300000000000004</v>
      </c>
      <c r="B105" s="137" t="s">
        <v>245</v>
      </c>
      <c r="C105" s="137"/>
      <c r="D105" s="137"/>
      <c r="E105" s="137"/>
      <c r="F105" s="137"/>
      <c r="G105" s="137"/>
      <c r="H105" s="138"/>
      <c r="J105" s="136">
        <f>SUM(J101:J103)</f>
        <v>33.5</v>
      </c>
      <c r="K105" s="137" t="s">
        <v>245</v>
      </c>
      <c r="L105" s="137"/>
      <c r="M105" s="137"/>
      <c r="N105" s="137"/>
      <c r="O105" s="137"/>
      <c r="P105" s="137"/>
      <c r="Q105" s="138"/>
      <c r="S105" s="136">
        <f>SUM(S101:S103)</f>
        <v>35.68</v>
      </c>
      <c r="T105" s="137" t="s">
        <v>245</v>
      </c>
      <c r="U105" s="137"/>
      <c r="V105" s="137"/>
      <c r="W105" s="137"/>
      <c r="X105" s="137"/>
      <c r="Y105" s="137"/>
      <c r="Z105" s="138"/>
      <c r="AB105" s="136">
        <f>SUM(AB101:AB103)</f>
        <v>36.88</v>
      </c>
      <c r="AC105" s="137" t="s">
        <v>245</v>
      </c>
      <c r="AD105" s="137"/>
      <c r="AE105" s="137"/>
      <c r="AF105" s="137"/>
      <c r="AG105" s="137"/>
      <c r="AH105" s="137"/>
      <c r="AI105" s="138"/>
    </row>
    <row r="106" ht="13.5" thickBot="1"/>
    <row r="107" spans="1:35" ht="13.5" thickBot="1">
      <c r="A107" s="162" t="s">
        <v>261</v>
      </c>
      <c r="B107" s="186"/>
      <c r="C107" s="186"/>
      <c r="D107" s="186"/>
      <c r="E107" s="186"/>
      <c r="F107" s="186"/>
      <c r="G107" s="186"/>
      <c r="H107" s="187"/>
      <c r="J107" s="162" t="s">
        <v>261</v>
      </c>
      <c r="K107" s="186"/>
      <c r="L107" s="186"/>
      <c r="M107" s="186"/>
      <c r="N107" s="186"/>
      <c r="O107" s="186"/>
      <c r="P107" s="186"/>
      <c r="Q107" s="187"/>
      <c r="S107" s="162" t="s">
        <v>267</v>
      </c>
      <c r="T107" s="186"/>
      <c r="U107" s="186"/>
      <c r="V107" s="186"/>
      <c r="W107" s="186"/>
      <c r="X107" s="186"/>
      <c r="Y107" s="186"/>
      <c r="Z107" s="187"/>
      <c r="AB107" s="162" t="s">
        <v>267</v>
      </c>
      <c r="AC107" s="186"/>
      <c r="AD107" s="186"/>
      <c r="AE107" s="186"/>
      <c r="AF107" s="186"/>
      <c r="AG107" s="186"/>
      <c r="AH107" s="186"/>
      <c r="AI107" s="187"/>
    </row>
    <row r="108" spans="1:35" ht="12.75">
      <c r="A108" s="129"/>
      <c r="B108" s="130"/>
      <c r="C108" s="130"/>
      <c r="D108" s="130"/>
      <c r="E108" s="130"/>
      <c r="F108" s="130"/>
      <c r="G108" s="130"/>
      <c r="H108" s="131" t="s">
        <v>140</v>
      </c>
      <c r="J108" s="129"/>
      <c r="K108" s="130"/>
      <c r="L108" s="130"/>
      <c r="M108" s="130"/>
      <c r="N108" s="130"/>
      <c r="O108" s="130"/>
      <c r="P108" s="130"/>
      <c r="Q108" s="131" t="s">
        <v>140</v>
      </c>
      <c r="S108" s="129"/>
      <c r="T108" s="130"/>
      <c r="U108" s="130"/>
      <c r="V108" s="130"/>
      <c r="W108" s="130"/>
      <c r="X108" s="130"/>
      <c r="Y108" s="130"/>
      <c r="Z108" s="131" t="s">
        <v>140</v>
      </c>
      <c r="AB108" s="129"/>
      <c r="AC108" s="130"/>
      <c r="AD108" s="130"/>
      <c r="AE108" s="130"/>
      <c r="AF108" s="130"/>
      <c r="AG108" s="130"/>
      <c r="AH108" s="130"/>
      <c r="AI108" s="131" t="s">
        <v>140</v>
      </c>
    </row>
    <row r="109" spans="1:35" ht="12.75">
      <c r="A109" s="132">
        <f>C109*E109</f>
        <v>5</v>
      </c>
      <c r="B109" s="133" t="s">
        <v>0</v>
      </c>
      <c r="C109" s="133">
        <v>10</v>
      </c>
      <c r="D109" s="133" t="s">
        <v>1</v>
      </c>
      <c r="E109" s="133">
        <v>0.5</v>
      </c>
      <c r="F109" s="133" t="s">
        <v>272</v>
      </c>
      <c r="G109" s="133"/>
      <c r="H109" s="134" t="s">
        <v>141</v>
      </c>
      <c r="J109" s="132">
        <f>L109*N109</f>
        <v>5</v>
      </c>
      <c r="K109" s="133" t="s">
        <v>0</v>
      </c>
      <c r="L109" s="133">
        <v>10</v>
      </c>
      <c r="M109" s="133" t="s">
        <v>1</v>
      </c>
      <c r="N109" s="133">
        <v>0.5</v>
      </c>
      <c r="O109" s="133" t="s">
        <v>272</v>
      </c>
      <c r="P109" s="133"/>
      <c r="Q109" s="134" t="s">
        <v>141</v>
      </c>
      <c r="S109" s="132">
        <f>U109*W109</f>
        <v>5</v>
      </c>
      <c r="T109" s="133" t="s">
        <v>0</v>
      </c>
      <c r="U109" s="133">
        <v>10</v>
      </c>
      <c r="V109" s="133" t="s">
        <v>1</v>
      </c>
      <c r="W109" s="133">
        <v>0.5</v>
      </c>
      <c r="X109" s="133" t="s">
        <v>272</v>
      </c>
      <c r="Y109" s="133"/>
      <c r="Z109" s="134" t="s">
        <v>141</v>
      </c>
      <c r="AB109" s="132">
        <f>AD109*AF109</f>
        <v>5</v>
      </c>
      <c r="AC109" s="133" t="s">
        <v>0</v>
      </c>
      <c r="AD109" s="133">
        <v>10</v>
      </c>
      <c r="AE109" s="133" t="s">
        <v>1</v>
      </c>
      <c r="AF109" s="133">
        <v>0.5</v>
      </c>
      <c r="AG109" s="133" t="s">
        <v>272</v>
      </c>
      <c r="AH109" s="133"/>
      <c r="AI109" s="134" t="s">
        <v>141</v>
      </c>
    </row>
    <row r="110" spans="1:35" ht="12.75">
      <c r="A110" s="132">
        <f>'1x64 splitter'!$E$14</f>
        <v>21.900000000000002</v>
      </c>
      <c r="B110" s="133" t="s">
        <v>234</v>
      </c>
      <c r="C110" s="133"/>
      <c r="D110" s="133"/>
      <c r="E110" s="133"/>
      <c r="F110" s="133"/>
      <c r="G110" s="133"/>
      <c r="H110" s="134" t="s">
        <v>265</v>
      </c>
      <c r="J110" s="132">
        <f>'1x64 splitter'!$E$14</f>
        <v>21.900000000000002</v>
      </c>
      <c r="K110" s="133" t="s">
        <v>234</v>
      </c>
      <c r="L110" s="133"/>
      <c r="M110" s="133"/>
      <c r="N110" s="133"/>
      <c r="O110" s="133"/>
      <c r="P110" s="133"/>
      <c r="Q110" s="134" t="s">
        <v>265</v>
      </c>
      <c r="S110" s="132">
        <f>'1x128 splitter'!$E$14</f>
        <v>25.279999999999998</v>
      </c>
      <c r="T110" s="133" t="s">
        <v>252</v>
      </c>
      <c r="U110" s="133"/>
      <c r="V110" s="133"/>
      <c r="W110" s="133"/>
      <c r="X110" s="133"/>
      <c r="Y110" s="133"/>
      <c r="Z110" s="134" t="s">
        <v>270</v>
      </c>
      <c r="AB110" s="132">
        <f>'1x128 splitter'!$E$14</f>
        <v>25.279999999999998</v>
      </c>
      <c r="AC110" s="133" t="s">
        <v>252</v>
      </c>
      <c r="AD110" s="133"/>
      <c r="AE110" s="133"/>
      <c r="AF110" s="133"/>
      <c r="AG110" s="133"/>
      <c r="AH110" s="133"/>
      <c r="AI110" s="134" t="s">
        <v>270</v>
      </c>
    </row>
    <row r="111" spans="1:35" ht="12.75">
      <c r="A111" s="132">
        <f>C111*E111</f>
        <v>0.4</v>
      </c>
      <c r="B111" s="133" t="s">
        <v>236</v>
      </c>
      <c r="C111" s="133">
        <v>2</v>
      </c>
      <c r="D111" s="133" t="s">
        <v>1</v>
      </c>
      <c r="E111" s="133">
        <v>0.2</v>
      </c>
      <c r="F111" s="133" t="s">
        <v>273</v>
      </c>
      <c r="G111" s="133"/>
      <c r="H111" s="134" t="s">
        <v>237</v>
      </c>
      <c r="J111" s="132">
        <f>L111*N111</f>
        <v>1.6</v>
      </c>
      <c r="K111" s="133" t="s">
        <v>236</v>
      </c>
      <c r="L111" s="133">
        <v>8</v>
      </c>
      <c r="M111" s="133" t="s">
        <v>1</v>
      </c>
      <c r="N111" s="133">
        <v>0.2</v>
      </c>
      <c r="O111" s="133" t="s">
        <v>273</v>
      </c>
      <c r="P111" s="133"/>
      <c r="Q111" s="134" t="s">
        <v>237</v>
      </c>
      <c r="S111" s="132">
        <f>U111*W111</f>
        <v>0.4</v>
      </c>
      <c r="T111" s="133" t="s">
        <v>236</v>
      </c>
      <c r="U111" s="133">
        <v>2</v>
      </c>
      <c r="V111" s="133" t="s">
        <v>1</v>
      </c>
      <c r="W111" s="133">
        <v>0.2</v>
      </c>
      <c r="X111" s="133" t="s">
        <v>273</v>
      </c>
      <c r="Y111" s="133"/>
      <c r="Z111" s="134" t="s">
        <v>237</v>
      </c>
      <c r="AB111" s="132">
        <f>AD111*AF111</f>
        <v>1.6</v>
      </c>
      <c r="AC111" s="133" t="s">
        <v>236</v>
      </c>
      <c r="AD111" s="133">
        <v>8</v>
      </c>
      <c r="AE111" s="133" t="s">
        <v>1</v>
      </c>
      <c r="AF111" s="133">
        <v>0.2</v>
      </c>
      <c r="AG111" s="133" t="s">
        <v>273</v>
      </c>
      <c r="AH111" s="133"/>
      <c r="AI111" s="134" t="s">
        <v>237</v>
      </c>
    </row>
    <row r="112" spans="1:35" ht="12.75">
      <c r="A112" s="135" t="s">
        <v>238</v>
      </c>
      <c r="B112" s="133"/>
      <c r="C112" s="133"/>
      <c r="D112" s="133"/>
      <c r="E112" s="133"/>
      <c r="F112" s="133"/>
      <c r="G112" s="133"/>
      <c r="H112" s="134"/>
      <c r="J112" s="135" t="s">
        <v>238</v>
      </c>
      <c r="K112" s="133"/>
      <c r="L112" s="133"/>
      <c r="M112" s="133"/>
      <c r="N112" s="133"/>
      <c r="O112" s="133"/>
      <c r="P112" s="133"/>
      <c r="Q112" s="134"/>
      <c r="S112" s="135" t="s">
        <v>238</v>
      </c>
      <c r="T112" s="133"/>
      <c r="U112" s="133"/>
      <c r="V112" s="133"/>
      <c r="W112" s="133"/>
      <c r="X112" s="133"/>
      <c r="Y112" s="133"/>
      <c r="Z112" s="134"/>
      <c r="AB112" s="135" t="s">
        <v>238</v>
      </c>
      <c r="AC112" s="133"/>
      <c r="AD112" s="133"/>
      <c r="AE112" s="133"/>
      <c r="AF112" s="133"/>
      <c r="AG112" s="133"/>
      <c r="AH112" s="133"/>
      <c r="AI112" s="134"/>
    </row>
    <row r="113" spans="1:35" ht="13.5" thickBot="1">
      <c r="A113" s="136">
        <f>SUM(A109:A111)</f>
        <v>27.3</v>
      </c>
      <c r="B113" s="137" t="s">
        <v>245</v>
      </c>
      <c r="C113" s="137"/>
      <c r="D113" s="137"/>
      <c r="E113" s="137"/>
      <c r="F113" s="137"/>
      <c r="G113" s="137"/>
      <c r="H113" s="138"/>
      <c r="J113" s="136">
        <f>SUM(J109:J111)</f>
        <v>28.500000000000004</v>
      </c>
      <c r="K113" s="137" t="s">
        <v>245</v>
      </c>
      <c r="L113" s="137"/>
      <c r="M113" s="137"/>
      <c r="N113" s="137"/>
      <c r="O113" s="137"/>
      <c r="P113" s="137"/>
      <c r="Q113" s="138"/>
      <c r="S113" s="136">
        <f>SUM(S109:S111)</f>
        <v>30.679999999999996</v>
      </c>
      <c r="T113" s="137" t="s">
        <v>245</v>
      </c>
      <c r="U113" s="137"/>
      <c r="V113" s="137"/>
      <c r="W113" s="137"/>
      <c r="X113" s="137"/>
      <c r="Y113" s="137"/>
      <c r="Z113" s="138"/>
      <c r="AB113" s="136">
        <f>SUM(AB109:AB111)</f>
        <v>31.88</v>
      </c>
      <c r="AC113" s="137" t="s">
        <v>245</v>
      </c>
      <c r="AD113" s="137"/>
      <c r="AE113" s="137"/>
      <c r="AF113" s="137"/>
      <c r="AG113" s="137"/>
      <c r="AH113" s="137"/>
      <c r="AI113" s="138"/>
    </row>
  </sheetData>
  <mergeCells count="60">
    <mergeCell ref="S99:Z99"/>
    <mergeCell ref="AB99:AI99"/>
    <mergeCell ref="S107:Z107"/>
    <mergeCell ref="AB107:AI107"/>
    <mergeCell ref="A107:H107"/>
    <mergeCell ref="J107:Q107"/>
    <mergeCell ref="S67:Z67"/>
    <mergeCell ref="AB67:AI67"/>
    <mergeCell ref="S75:Z75"/>
    <mergeCell ref="AB75:AI75"/>
    <mergeCell ref="S83:Z83"/>
    <mergeCell ref="AB83:AI83"/>
    <mergeCell ref="S91:Z91"/>
    <mergeCell ref="AB91:AI91"/>
    <mergeCell ref="A91:H91"/>
    <mergeCell ref="J91:Q91"/>
    <mergeCell ref="A99:H99"/>
    <mergeCell ref="J99:Q99"/>
    <mergeCell ref="A75:H75"/>
    <mergeCell ref="J75:Q75"/>
    <mergeCell ref="A83:H83"/>
    <mergeCell ref="J83:Q83"/>
    <mergeCell ref="S59:Z59"/>
    <mergeCell ref="AB59:AI59"/>
    <mergeCell ref="A67:H67"/>
    <mergeCell ref="J67:Q67"/>
    <mergeCell ref="A59:H59"/>
    <mergeCell ref="J59:Q59"/>
    <mergeCell ref="S43:Z43"/>
    <mergeCell ref="AB43:AI43"/>
    <mergeCell ref="S51:Z51"/>
    <mergeCell ref="AB51:AI51"/>
    <mergeCell ref="S27:Z27"/>
    <mergeCell ref="AB27:AI27"/>
    <mergeCell ref="S35:Z35"/>
    <mergeCell ref="AB35:AI35"/>
    <mergeCell ref="S11:Z11"/>
    <mergeCell ref="AB11:AI11"/>
    <mergeCell ref="S19:Z19"/>
    <mergeCell ref="AB19:AI19"/>
    <mergeCell ref="S1:Z1"/>
    <mergeCell ref="AB1:AI1"/>
    <mergeCell ref="S3:Z3"/>
    <mergeCell ref="AB3:AI3"/>
    <mergeCell ref="J1:Q1"/>
    <mergeCell ref="J3:Q3"/>
    <mergeCell ref="J11:Q11"/>
    <mergeCell ref="J19:Q19"/>
    <mergeCell ref="J27:Q27"/>
    <mergeCell ref="J35:Q35"/>
    <mergeCell ref="J43:Q43"/>
    <mergeCell ref="J51:Q51"/>
    <mergeCell ref="A35:H35"/>
    <mergeCell ref="A43:H43"/>
    <mergeCell ref="A1:H1"/>
    <mergeCell ref="A51:H51"/>
    <mergeCell ref="A3:H3"/>
    <mergeCell ref="A11:H11"/>
    <mergeCell ref="A19:H19"/>
    <mergeCell ref="A27:H27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7">
      <selection activeCell="A1" sqref="A1:J39"/>
    </sheetView>
  </sheetViews>
  <sheetFormatPr defaultColWidth="9.140625" defaultRowHeight="12.75"/>
  <cols>
    <col min="1" max="1" width="15.7109375" style="1" bestFit="1" customWidth="1"/>
    <col min="2" max="2" width="9.140625" style="1" customWidth="1"/>
    <col min="3" max="3" width="8.7109375" style="1" customWidth="1"/>
    <col min="4" max="4" width="12.8515625" style="1" customWidth="1"/>
    <col min="5" max="5" width="16.7109375" style="1" customWidth="1"/>
    <col min="6" max="6" width="16.140625" style="1" customWidth="1"/>
    <col min="7" max="10" width="13.57421875" style="1" customWidth="1"/>
    <col min="11" max="16384" width="9.140625" style="1" customWidth="1"/>
  </cols>
  <sheetData>
    <row r="1" spans="1:10" s="153" customFormat="1" ht="12.75">
      <c r="A1" s="190" t="s">
        <v>288</v>
      </c>
      <c r="B1" s="191"/>
      <c r="C1" s="191"/>
      <c r="D1" s="191"/>
      <c r="E1" s="191"/>
      <c r="F1" s="192"/>
      <c r="G1" s="189" t="s">
        <v>278</v>
      </c>
      <c r="H1" s="189"/>
      <c r="I1" s="188" t="s">
        <v>279</v>
      </c>
      <c r="J1" s="188"/>
    </row>
    <row r="2" spans="1:10" s="153" customFormat="1" ht="25.5">
      <c r="A2" s="152" t="s">
        <v>283</v>
      </c>
      <c r="B2" s="152" t="s">
        <v>280</v>
      </c>
      <c r="C2" s="154" t="s">
        <v>281</v>
      </c>
      <c r="D2" s="156" t="s">
        <v>282</v>
      </c>
      <c r="E2" s="158" t="s">
        <v>284</v>
      </c>
      <c r="F2" s="159" t="s">
        <v>285</v>
      </c>
      <c r="G2" s="140" t="s">
        <v>286</v>
      </c>
      <c r="H2" s="140" t="s">
        <v>287</v>
      </c>
      <c r="I2" s="139" t="s">
        <v>286</v>
      </c>
      <c r="J2" s="139" t="s">
        <v>287</v>
      </c>
    </row>
    <row r="3" spans="1:10" ht="12.75">
      <c r="A3" s="151" t="s">
        <v>55</v>
      </c>
      <c r="B3" s="151">
        <v>5</v>
      </c>
      <c r="C3" s="155">
        <f>'Power budget'!A17</f>
        <v>26.9</v>
      </c>
      <c r="D3" s="157">
        <f>'Power budget'!J17</f>
        <v>27.3</v>
      </c>
      <c r="E3" s="4">
        <v>-16</v>
      </c>
      <c r="F3" s="38">
        <v>-21</v>
      </c>
      <c r="G3" s="160">
        <f>E3+C3+3</f>
        <v>13.899999999999999</v>
      </c>
      <c r="H3" s="160">
        <f>F3+C3+3</f>
        <v>8.899999999999999</v>
      </c>
      <c r="I3" s="161">
        <f>E3+D3+3</f>
        <v>14.3</v>
      </c>
      <c r="J3" s="161">
        <f>F3+D3+3</f>
        <v>9.3</v>
      </c>
    </row>
    <row r="4" spans="1:10" ht="12.75">
      <c r="A4" s="151" t="s">
        <v>56</v>
      </c>
      <c r="B4" s="151">
        <v>5</v>
      </c>
      <c r="C4" s="155">
        <f>'Power budget'!A33</f>
        <v>26.513333333333335</v>
      </c>
      <c r="D4" s="157">
        <f>'Power budget'!J33</f>
        <v>27.313333333333336</v>
      </c>
      <c r="E4" s="4">
        <v>-16</v>
      </c>
      <c r="F4" s="38">
        <v>-21</v>
      </c>
      <c r="G4" s="160">
        <f aca="true" t="shared" si="0" ref="G4:G9">E4+C4+3</f>
        <v>13.513333333333335</v>
      </c>
      <c r="H4" s="160">
        <f aca="true" t="shared" si="1" ref="H4:H9">F4+C4+3</f>
        <v>8.513333333333335</v>
      </c>
      <c r="I4" s="161">
        <f aca="true" t="shared" si="2" ref="I4:I9">E4+D4+3</f>
        <v>14.313333333333336</v>
      </c>
      <c r="J4" s="161">
        <f aca="true" t="shared" si="3" ref="J4:J9">F4+D4+3</f>
        <v>9.313333333333336</v>
      </c>
    </row>
    <row r="5" spans="1:10" ht="12.75">
      <c r="A5" s="151" t="s">
        <v>57</v>
      </c>
      <c r="B5" s="151">
        <v>5</v>
      </c>
      <c r="C5" s="155">
        <f>'Power budget'!A49</f>
        <v>26.732</v>
      </c>
      <c r="D5" s="157">
        <f>'Power budget'!J49</f>
        <v>27.532</v>
      </c>
      <c r="E5" s="4">
        <v>-16</v>
      </c>
      <c r="F5" s="38">
        <v>-21</v>
      </c>
      <c r="G5" s="160">
        <f t="shared" si="0"/>
        <v>13.732</v>
      </c>
      <c r="H5" s="160">
        <f t="shared" si="1"/>
        <v>8.732</v>
      </c>
      <c r="I5" s="161">
        <f t="shared" si="2"/>
        <v>14.532</v>
      </c>
      <c r="J5" s="161">
        <f t="shared" si="3"/>
        <v>9.532</v>
      </c>
    </row>
    <row r="6" spans="1:10" ht="12.75">
      <c r="A6" s="151" t="s">
        <v>58</v>
      </c>
      <c r="B6" s="151">
        <v>5</v>
      </c>
      <c r="C6" s="155">
        <f>'Power budget'!A65</f>
        <v>26.899999999999995</v>
      </c>
      <c r="D6" s="157">
        <f>'Power budget'!J65</f>
        <v>27.699999999999996</v>
      </c>
      <c r="E6" s="4">
        <v>-16</v>
      </c>
      <c r="F6" s="38">
        <v>-21</v>
      </c>
      <c r="G6" s="160">
        <f t="shared" si="0"/>
        <v>13.899999999999995</v>
      </c>
      <c r="H6" s="160">
        <f t="shared" si="1"/>
        <v>8.899999999999995</v>
      </c>
      <c r="I6" s="161">
        <f t="shared" si="2"/>
        <v>14.699999999999996</v>
      </c>
      <c r="J6" s="161">
        <f t="shared" si="3"/>
        <v>9.699999999999996</v>
      </c>
    </row>
    <row r="7" spans="1:10" ht="12.75">
      <c r="A7" s="151" t="s">
        <v>59</v>
      </c>
      <c r="B7" s="151">
        <v>5</v>
      </c>
      <c r="C7" s="155">
        <f>'Power budget'!A81</f>
        <v>26.991999999999997</v>
      </c>
      <c r="D7" s="157">
        <f>'Power budget'!J81</f>
        <v>28.192</v>
      </c>
      <c r="E7" s="4">
        <v>-16</v>
      </c>
      <c r="F7" s="38">
        <v>-21</v>
      </c>
      <c r="G7" s="160">
        <f t="shared" si="0"/>
        <v>13.991999999999997</v>
      </c>
      <c r="H7" s="160">
        <f t="shared" si="1"/>
        <v>8.991999999999997</v>
      </c>
      <c r="I7" s="161">
        <f t="shared" si="2"/>
        <v>15.192</v>
      </c>
      <c r="J7" s="161">
        <f t="shared" si="3"/>
        <v>10.192</v>
      </c>
    </row>
    <row r="8" spans="1:10" ht="12.75">
      <c r="A8" s="151" t="s">
        <v>60</v>
      </c>
      <c r="B8" s="151">
        <v>5</v>
      </c>
      <c r="C8" s="155">
        <f>'Power budget'!A97</f>
        <v>27.229999999999997</v>
      </c>
      <c r="D8" s="157">
        <f>'Power budget'!J97</f>
        <v>28.43</v>
      </c>
      <c r="E8" s="4">
        <v>-16</v>
      </c>
      <c r="F8" s="38">
        <v>-21</v>
      </c>
      <c r="G8" s="160">
        <f t="shared" si="0"/>
        <v>14.229999999999997</v>
      </c>
      <c r="H8" s="160">
        <f t="shared" si="1"/>
        <v>9.229999999999997</v>
      </c>
      <c r="I8" s="161">
        <f t="shared" si="2"/>
        <v>15.43</v>
      </c>
      <c r="J8" s="161">
        <f t="shared" si="3"/>
        <v>10.43</v>
      </c>
    </row>
    <row r="9" spans="1:10" ht="12.75">
      <c r="A9" s="151" t="s">
        <v>61</v>
      </c>
      <c r="B9" s="151">
        <v>5</v>
      </c>
      <c r="C9" s="155">
        <f>'Power budget'!A113</f>
        <v>27.3</v>
      </c>
      <c r="D9" s="157">
        <f>'Power budget'!J113</f>
        <v>28.500000000000004</v>
      </c>
      <c r="E9" s="4">
        <v>-16</v>
      </c>
      <c r="F9" s="38">
        <v>-21</v>
      </c>
      <c r="G9" s="160">
        <f t="shared" si="0"/>
        <v>14.3</v>
      </c>
      <c r="H9" s="160">
        <f t="shared" si="1"/>
        <v>9.3</v>
      </c>
      <c r="I9" s="161">
        <f t="shared" si="2"/>
        <v>15.500000000000004</v>
      </c>
      <c r="J9" s="161">
        <f t="shared" si="3"/>
        <v>10.500000000000004</v>
      </c>
    </row>
    <row r="10" spans="3:10" ht="12.75">
      <c r="C10" s="2"/>
      <c r="D10" s="2"/>
      <c r="G10" s="2"/>
      <c r="H10" s="2"/>
      <c r="I10" s="2"/>
      <c r="J10" s="2"/>
    </row>
    <row r="11" spans="1:10" s="153" customFormat="1" ht="12.75">
      <c r="A11" s="190" t="s">
        <v>289</v>
      </c>
      <c r="B11" s="191"/>
      <c r="C11" s="191"/>
      <c r="D11" s="191"/>
      <c r="E11" s="191"/>
      <c r="F11" s="192"/>
      <c r="G11" s="189" t="s">
        <v>278</v>
      </c>
      <c r="H11" s="189"/>
      <c r="I11" s="188" t="s">
        <v>279</v>
      </c>
      <c r="J11" s="188"/>
    </row>
    <row r="12" spans="1:10" s="153" customFormat="1" ht="25.5">
      <c r="A12" s="152" t="s">
        <v>283</v>
      </c>
      <c r="B12" s="152" t="s">
        <v>280</v>
      </c>
      <c r="C12" s="154" t="s">
        <v>281</v>
      </c>
      <c r="D12" s="156" t="s">
        <v>282</v>
      </c>
      <c r="E12" s="158" t="s">
        <v>284</v>
      </c>
      <c r="F12" s="159" t="s">
        <v>285</v>
      </c>
      <c r="G12" s="140" t="s">
        <v>286</v>
      </c>
      <c r="H12" s="140" t="s">
        <v>287</v>
      </c>
      <c r="I12" s="139" t="s">
        <v>286</v>
      </c>
      <c r="J12" s="139" t="s">
        <v>287</v>
      </c>
    </row>
    <row r="13" spans="1:10" ht="12.75">
      <c r="A13" s="151" t="s">
        <v>55</v>
      </c>
      <c r="B13" s="151">
        <v>10</v>
      </c>
      <c r="C13" s="155">
        <f>'Power budget'!A9</f>
        <v>31.9</v>
      </c>
      <c r="D13" s="157">
        <f>'Power budget'!J9</f>
        <v>32.3</v>
      </c>
      <c r="E13" s="4">
        <v>-16</v>
      </c>
      <c r="F13" s="38">
        <v>-21</v>
      </c>
      <c r="G13" s="160">
        <f>E13+C13+3</f>
        <v>18.9</v>
      </c>
      <c r="H13" s="160">
        <f>F13+C13+3</f>
        <v>13.899999999999999</v>
      </c>
      <c r="I13" s="161">
        <f>E13+D13+3</f>
        <v>19.299999999999997</v>
      </c>
      <c r="J13" s="161">
        <f>F13+D13+3</f>
        <v>14.299999999999997</v>
      </c>
    </row>
    <row r="14" spans="1:10" ht="12.75">
      <c r="A14" s="151" t="s">
        <v>56</v>
      </c>
      <c r="B14" s="151">
        <v>10</v>
      </c>
      <c r="C14" s="155">
        <f>'Power budget'!A25</f>
        <v>31.513333333333335</v>
      </c>
      <c r="D14" s="157">
        <f>'Power budget'!J25</f>
        <v>32.31333333333334</v>
      </c>
      <c r="E14" s="4">
        <v>-16</v>
      </c>
      <c r="F14" s="38">
        <v>-21</v>
      </c>
      <c r="G14" s="160">
        <f aca="true" t="shared" si="4" ref="G14:G19">E14+C14+3</f>
        <v>18.513333333333335</v>
      </c>
      <c r="H14" s="160">
        <f aca="true" t="shared" si="5" ref="H14:H19">F14+C14+3</f>
        <v>13.513333333333335</v>
      </c>
      <c r="I14" s="161">
        <f aca="true" t="shared" si="6" ref="I14:I19">E14+D14+3</f>
        <v>19.31333333333334</v>
      </c>
      <c r="J14" s="161">
        <f aca="true" t="shared" si="7" ref="J14:J19">F14+D14+3</f>
        <v>14.31333333333334</v>
      </c>
    </row>
    <row r="15" spans="1:10" ht="12.75">
      <c r="A15" s="151" t="s">
        <v>57</v>
      </c>
      <c r="B15" s="151">
        <v>10</v>
      </c>
      <c r="C15" s="155">
        <f>'Power budget'!A41</f>
        <v>31.732</v>
      </c>
      <c r="D15" s="157">
        <f>'Power budget'!J41</f>
        <v>32.532000000000004</v>
      </c>
      <c r="E15" s="4">
        <v>-16</v>
      </c>
      <c r="F15" s="38">
        <v>-21</v>
      </c>
      <c r="G15" s="160">
        <f t="shared" si="4"/>
        <v>18.732</v>
      </c>
      <c r="H15" s="160">
        <f t="shared" si="5"/>
        <v>13.732</v>
      </c>
      <c r="I15" s="161">
        <f t="shared" si="6"/>
        <v>19.532000000000004</v>
      </c>
      <c r="J15" s="161">
        <f t="shared" si="7"/>
        <v>14.532000000000004</v>
      </c>
    </row>
    <row r="16" spans="1:10" ht="12.75">
      <c r="A16" s="151" t="s">
        <v>58</v>
      </c>
      <c r="B16" s="151">
        <v>10</v>
      </c>
      <c r="C16" s="155">
        <f>'Power budget'!A57</f>
        <v>31.899999999999995</v>
      </c>
      <c r="D16" s="157">
        <f>'Power budget'!J57</f>
        <v>32.699999999999996</v>
      </c>
      <c r="E16" s="4">
        <v>-16</v>
      </c>
      <c r="F16" s="38">
        <v>-21</v>
      </c>
      <c r="G16" s="160">
        <f t="shared" si="4"/>
        <v>18.899999999999995</v>
      </c>
      <c r="H16" s="160">
        <f t="shared" si="5"/>
        <v>13.899999999999995</v>
      </c>
      <c r="I16" s="161">
        <f t="shared" si="6"/>
        <v>19.699999999999996</v>
      </c>
      <c r="J16" s="161">
        <f t="shared" si="7"/>
        <v>14.699999999999996</v>
      </c>
    </row>
    <row r="17" spans="1:10" ht="12.75">
      <c r="A17" s="151" t="s">
        <v>59</v>
      </c>
      <c r="B17" s="151">
        <v>10</v>
      </c>
      <c r="C17" s="155">
        <f>'Power budget'!A73</f>
        <v>31.991999999999997</v>
      </c>
      <c r="D17" s="157">
        <f>'Power budget'!J73</f>
        <v>33.192</v>
      </c>
      <c r="E17" s="4">
        <v>-16</v>
      </c>
      <c r="F17" s="38">
        <v>-21</v>
      </c>
      <c r="G17" s="160">
        <f t="shared" si="4"/>
        <v>18.991999999999997</v>
      </c>
      <c r="H17" s="160">
        <f t="shared" si="5"/>
        <v>13.991999999999997</v>
      </c>
      <c r="I17" s="161">
        <f t="shared" si="6"/>
        <v>20.192</v>
      </c>
      <c r="J17" s="161">
        <f t="shared" si="7"/>
        <v>15.192</v>
      </c>
    </row>
    <row r="18" spans="1:10" ht="12.75">
      <c r="A18" s="151" t="s">
        <v>60</v>
      </c>
      <c r="B18" s="151">
        <v>10</v>
      </c>
      <c r="C18" s="155">
        <f>'Power budget'!A89</f>
        <v>32.23</v>
      </c>
      <c r="D18" s="157">
        <f>'Power budget'!J89</f>
        <v>33.43</v>
      </c>
      <c r="E18" s="4">
        <v>-16</v>
      </c>
      <c r="F18" s="38">
        <v>-21</v>
      </c>
      <c r="G18" s="160">
        <f t="shared" si="4"/>
        <v>19.229999999999997</v>
      </c>
      <c r="H18" s="160">
        <f t="shared" si="5"/>
        <v>14.229999999999997</v>
      </c>
      <c r="I18" s="161">
        <f t="shared" si="6"/>
        <v>20.43</v>
      </c>
      <c r="J18" s="161">
        <f t="shared" si="7"/>
        <v>15.43</v>
      </c>
    </row>
    <row r="19" spans="1:10" ht="12.75">
      <c r="A19" s="151" t="s">
        <v>61</v>
      </c>
      <c r="B19" s="151">
        <v>10</v>
      </c>
      <c r="C19" s="155">
        <f>'Power budget'!A105</f>
        <v>32.300000000000004</v>
      </c>
      <c r="D19" s="157">
        <f>'Power budget'!J105</f>
        <v>33.5</v>
      </c>
      <c r="E19" s="4">
        <v>-16</v>
      </c>
      <c r="F19" s="38">
        <v>-21</v>
      </c>
      <c r="G19" s="160">
        <f t="shared" si="4"/>
        <v>19.300000000000004</v>
      </c>
      <c r="H19" s="160">
        <f t="shared" si="5"/>
        <v>14.300000000000004</v>
      </c>
      <c r="I19" s="161">
        <f t="shared" si="6"/>
        <v>20.5</v>
      </c>
      <c r="J19" s="161">
        <f t="shared" si="7"/>
        <v>15.5</v>
      </c>
    </row>
    <row r="20" spans="3:10" ht="12.75">
      <c r="C20" s="2"/>
      <c r="D20" s="2"/>
      <c r="G20" s="2"/>
      <c r="H20" s="2"/>
      <c r="I20" s="2"/>
      <c r="J20" s="2"/>
    </row>
    <row r="21" spans="1:10" s="153" customFormat="1" ht="12.75">
      <c r="A21" s="190" t="s">
        <v>288</v>
      </c>
      <c r="B21" s="191"/>
      <c r="C21" s="191"/>
      <c r="D21" s="191"/>
      <c r="E21" s="191"/>
      <c r="F21" s="192"/>
      <c r="G21" s="189" t="s">
        <v>278</v>
      </c>
      <c r="H21" s="189"/>
      <c r="I21" s="188" t="s">
        <v>279</v>
      </c>
      <c r="J21" s="188"/>
    </row>
    <row r="22" spans="1:10" s="153" customFormat="1" ht="25.5">
      <c r="A22" s="152" t="s">
        <v>283</v>
      </c>
      <c r="B22" s="152" t="s">
        <v>280</v>
      </c>
      <c r="C22" s="154" t="s">
        <v>281</v>
      </c>
      <c r="D22" s="156" t="s">
        <v>282</v>
      </c>
      <c r="E22" s="158" t="s">
        <v>284</v>
      </c>
      <c r="F22" s="159" t="s">
        <v>285</v>
      </c>
      <c r="G22" s="140" t="s">
        <v>286</v>
      </c>
      <c r="H22" s="140" t="s">
        <v>287</v>
      </c>
      <c r="I22" s="139" t="s">
        <v>286</v>
      </c>
      <c r="J22" s="139" t="s">
        <v>287</v>
      </c>
    </row>
    <row r="23" spans="1:10" ht="12.75">
      <c r="A23" s="151" t="s">
        <v>73</v>
      </c>
      <c r="B23" s="151">
        <v>5</v>
      </c>
      <c r="C23" s="155">
        <f>'Power budget'!S17</f>
        <v>30.04722563029001</v>
      </c>
      <c r="D23" s="157">
        <f>'Power budget'!AB17</f>
        <v>30.447225630290013</v>
      </c>
      <c r="E23" s="4">
        <v>-16</v>
      </c>
      <c r="F23" s="38">
        <v>-21</v>
      </c>
      <c r="G23" s="160">
        <f>E23+C23+3</f>
        <v>17.04722563029001</v>
      </c>
      <c r="H23" s="160">
        <f>F23+C23+3</f>
        <v>12.047225630290011</v>
      </c>
      <c r="I23" s="161">
        <f>E23+D23+3</f>
        <v>17.447225630290013</v>
      </c>
      <c r="J23" s="161">
        <f>F23+D23+3</f>
        <v>12.447225630290013</v>
      </c>
    </row>
    <row r="24" spans="1:10" ht="12.75">
      <c r="A24" s="151" t="s">
        <v>74</v>
      </c>
      <c r="B24" s="151">
        <v>5</v>
      </c>
      <c r="C24" s="155">
        <f>'Power budget'!S33</f>
        <v>30.68</v>
      </c>
      <c r="D24" s="157">
        <f>'Power budget'!AB33</f>
        <v>31.48</v>
      </c>
      <c r="E24" s="4">
        <v>-16</v>
      </c>
      <c r="F24" s="38">
        <v>-21</v>
      </c>
      <c r="G24" s="160">
        <f aca="true" t="shared" si="8" ref="G24:G29">E24+C24+3</f>
        <v>17.68</v>
      </c>
      <c r="H24" s="160">
        <f aca="true" t="shared" si="9" ref="H24:H29">F24+C24+3</f>
        <v>12.68</v>
      </c>
      <c r="I24" s="161">
        <f aca="true" t="shared" si="10" ref="I24:I29">E24+D24+3</f>
        <v>18.48</v>
      </c>
      <c r="J24" s="161">
        <f aca="true" t="shared" si="11" ref="J24:J29">F24+D24+3</f>
        <v>13.48</v>
      </c>
    </row>
    <row r="25" spans="1:10" ht="12.75">
      <c r="A25" s="151" t="s">
        <v>75</v>
      </c>
      <c r="B25" s="151">
        <v>5</v>
      </c>
      <c r="C25" s="155">
        <f>'Power budget'!S49</f>
        <v>30.033333333333335</v>
      </c>
      <c r="D25" s="157">
        <f>'Power budget'!AB49</f>
        <v>30.833333333333336</v>
      </c>
      <c r="E25" s="4">
        <v>-16</v>
      </c>
      <c r="F25" s="38">
        <v>-21</v>
      </c>
      <c r="G25" s="160">
        <f t="shared" si="8"/>
        <v>17.033333333333335</v>
      </c>
      <c r="H25" s="160">
        <f t="shared" si="9"/>
        <v>12.033333333333335</v>
      </c>
      <c r="I25" s="161">
        <f t="shared" si="10"/>
        <v>17.833333333333336</v>
      </c>
      <c r="J25" s="161">
        <f t="shared" si="11"/>
        <v>12.833333333333336</v>
      </c>
    </row>
    <row r="26" spans="1:10" ht="12.75">
      <c r="A26" s="151" t="s">
        <v>76</v>
      </c>
      <c r="B26" s="151">
        <v>5</v>
      </c>
      <c r="C26" s="155">
        <f>'Power budget'!S65</f>
        <v>30.181999999999995</v>
      </c>
      <c r="D26" s="157">
        <f>'Power budget'!AB65</f>
        <v>30.981999999999996</v>
      </c>
      <c r="E26" s="4">
        <v>-16</v>
      </c>
      <c r="F26" s="38">
        <v>-21</v>
      </c>
      <c r="G26" s="160">
        <f t="shared" si="8"/>
        <v>17.181999999999995</v>
      </c>
      <c r="H26" s="160">
        <f t="shared" si="9"/>
        <v>12.181999999999995</v>
      </c>
      <c r="I26" s="161">
        <f t="shared" si="10"/>
        <v>17.981999999999996</v>
      </c>
      <c r="J26" s="161">
        <f t="shared" si="11"/>
        <v>12.981999999999996</v>
      </c>
    </row>
    <row r="27" spans="1:10" ht="12.75">
      <c r="A27" s="151" t="s">
        <v>77</v>
      </c>
      <c r="B27" s="151">
        <v>5</v>
      </c>
      <c r="C27" s="155">
        <f>'Power budget'!S81</f>
        <v>30.293333333333337</v>
      </c>
      <c r="D27" s="157">
        <f>'Power budget'!AB81</f>
        <v>31.49333333333334</v>
      </c>
      <c r="E27" s="4">
        <v>-16</v>
      </c>
      <c r="F27" s="38">
        <v>-21</v>
      </c>
      <c r="G27" s="160">
        <f t="shared" si="8"/>
        <v>17.293333333333337</v>
      </c>
      <c r="H27" s="160">
        <f t="shared" si="9"/>
        <v>12.293333333333337</v>
      </c>
      <c r="I27" s="161">
        <f t="shared" si="10"/>
        <v>18.49333333333334</v>
      </c>
      <c r="J27" s="161">
        <f t="shared" si="11"/>
        <v>13.49333333333334</v>
      </c>
    </row>
    <row r="28" spans="1:10" ht="12.75">
      <c r="A28" s="151" t="s">
        <v>78</v>
      </c>
      <c r="B28" s="151">
        <v>5</v>
      </c>
      <c r="C28" s="155">
        <f>'Power budget'!S97</f>
        <v>30.512</v>
      </c>
      <c r="D28" s="157">
        <f>'Power budget'!AB97</f>
        <v>31.712000000000003</v>
      </c>
      <c r="E28" s="4">
        <v>-16</v>
      </c>
      <c r="F28" s="38">
        <v>-21</v>
      </c>
      <c r="G28" s="160">
        <f t="shared" si="8"/>
        <v>17.512</v>
      </c>
      <c r="H28" s="160">
        <f t="shared" si="9"/>
        <v>12.512</v>
      </c>
      <c r="I28" s="161">
        <f t="shared" si="10"/>
        <v>18.712000000000003</v>
      </c>
      <c r="J28" s="161">
        <f t="shared" si="11"/>
        <v>13.712000000000003</v>
      </c>
    </row>
    <row r="29" spans="1:10" ht="12.75">
      <c r="A29" s="151" t="s">
        <v>79</v>
      </c>
      <c r="B29" s="151">
        <v>5</v>
      </c>
      <c r="C29" s="155">
        <f>'Power budget'!S113</f>
        <v>30.679999999999996</v>
      </c>
      <c r="D29" s="157">
        <f>'Power budget'!AB113</f>
        <v>31.88</v>
      </c>
      <c r="E29" s="4">
        <v>-16</v>
      </c>
      <c r="F29" s="38">
        <v>-21</v>
      </c>
      <c r="G29" s="160">
        <f t="shared" si="8"/>
        <v>17.679999999999996</v>
      </c>
      <c r="H29" s="160">
        <f t="shared" si="9"/>
        <v>12.679999999999996</v>
      </c>
      <c r="I29" s="161">
        <f t="shared" si="10"/>
        <v>18.88</v>
      </c>
      <c r="J29" s="161">
        <f t="shared" si="11"/>
        <v>13.879999999999999</v>
      </c>
    </row>
    <row r="30" spans="3:10" ht="12.75">
      <c r="C30" s="2"/>
      <c r="D30" s="2"/>
      <c r="G30" s="2"/>
      <c r="H30" s="2"/>
      <c r="I30" s="2"/>
      <c r="J30" s="2"/>
    </row>
    <row r="31" spans="1:10" s="153" customFormat="1" ht="12.75">
      <c r="A31" s="190" t="s">
        <v>289</v>
      </c>
      <c r="B31" s="191"/>
      <c r="C31" s="191"/>
      <c r="D31" s="191"/>
      <c r="E31" s="191"/>
      <c r="F31" s="192"/>
      <c r="G31" s="189" t="s">
        <v>278</v>
      </c>
      <c r="H31" s="189"/>
      <c r="I31" s="188" t="s">
        <v>279</v>
      </c>
      <c r="J31" s="188"/>
    </row>
    <row r="32" spans="1:10" s="153" customFormat="1" ht="25.5">
      <c r="A32" s="152" t="s">
        <v>283</v>
      </c>
      <c r="B32" s="152" t="s">
        <v>280</v>
      </c>
      <c r="C32" s="154" t="s">
        <v>281</v>
      </c>
      <c r="D32" s="156" t="s">
        <v>282</v>
      </c>
      <c r="E32" s="158" t="s">
        <v>284</v>
      </c>
      <c r="F32" s="159" t="s">
        <v>285</v>
      </c>
      <c r="G32" s="140" t="s">
        <v>286</v>
      </c>
      <c r="H32" s="140" t="s">
        <v>287</v>
      </c>
      <c r="I32" s="139" t="s">
        <v>286</v>
      </c>
      <c r="J32" s="139" t="s">
        <v>287</v>
      </c>
    </row>
    <row r="33" spans="1:10" ht="12.75">
      <c r="A33" s="151" t="s">
        <v>73</v>
      </c>
      <c r="B33" s="151">
        <v>10</v>
      </c>
      <c r="C33" s="155">
        <f>'Power budget'!S9</f>
        <v>35.04722563029001</v>
      </c>
      <c r="D33" s="157">
        <f>'Power budget'!AB9</f>
        <v>35.447225630290006</v>
      </c>
      <c r="E33" s="4">
        <v>-16</v>
      </c>
      <c r="F33" s="38">
        <v>-21</v>
      </c>
      <c r="G33" s="160">
        <f>E33+C33+3</f>
        <v>22.047225630290008</v>
      </c>
      <c r="H33" s="160">
        <f>F33+C33+3</f>
        <v>17.047225630290008</v>
      </c>
      <c r="I33" s="161">
        <f>E33+D33+3</f>
        <v>22.447225630290006</v>
      </c>
      <c r="J33" s="161">
        <f>F33+D33+3</f>
        <v>17.447225630290006</v>
      </c>
    </row>
    <row r="34" spans="1:10" ht="12.75">
      <c r="A34" s="151" t="s">
        <v>74</v>
      </c>
      <c r="B34" s="151">
        <v>10</v>
      </c>
      <c r="C34" s="155">
        <f>'Power budget'!S25</f>
        <v>35.68</v>
      </c>
      <c r="D34" s="157">
        <f>'Power budget'!AB25</f>
        <v>36.480000000000004</v>
      </c>
      <c r="E34" s="4">
        <v>-16</v>
      </c>
      <c r="F34" s="38">
        <v>-21</v>
      </c>
      <c r="G34" s="160">
        <f aca="true" t="shared" si="12" ref="G34:G39">E34+C34+3</f>
        <v>22.68</v>
      </c>
      <c r="H34" s="160">
        <f aca="true" t="shared" si="13" ref="H34:H39">F34+C34+3</f>
        <v>17.68</v>
      </c>
      <c r="I34" s="161">
        <f aca="true" t="shared" si="14" ref="I34:I39">E34+D34+3</f>
        <v>23.480000000000004</v>
      </c>
      <c r="J34" s="161">
        <f aca="true" t="shared" si="15" ref="J34:J39">F34+D34+3</f>
        <v>18.480000000000004</v>
      </c>
    </row>
    <row r="35" spans="1:10" ht="12.75">
      <c r="A35" s="151" t="s">
        <v>75</v>
      </c>
      <c r="B35" s="151">
        <v>10</v>
      </c>
      <c r="C35" s="155">
        <f>'Power budget'!S41</f>
        <v>35.03333333333334</v>
      </c>
      <c r="D35" s="157">
        <f>'Power budget'!AB41</f>
        <v>35.83333333333334</v>
      </c>
      <c r="E35" s="4">
        <v>-16</v>
      </c>
      <c r="F35" s="38">
        <v>-21</v>
      </c>
      <c r="G35" s="160">
        <f t="shared" si="12"/>
        <v>22.03333333333334</v>
      </c>
      <c r="H35" s="160">
        <f t="shared" si="13"/>
        <v>17.03333333333334</v>
      </c>
      <c r="I35" s="161">
        <f t="shared" si="14"/>
        <v>22.833333333333343</v>
      </c>
      <c r="J35" s="161">
        <f t="shared" si="15"/>
        <v>17.833333333333343</v>
      </c>
    </row>
    <row r="36" spans="1:10" ht="12.75">
      <c r="A36" s="151" t="s">
        <v>76</v>
      </c>
      <c r="B36" s="151">
        <v>10</v>
      </c>
      <c r="C36" s="155">
        <f>'Power budget'!S57</f>
        <v>35.181999999999995</v>
      </c>
      <c r="D36" s="157">
        <f>'Power budget'!AB57</f>
        <v>35.982</v>
      </c>
      <c r="E36" s="4">
        <v>-16</v>
      </c>
      <c r="F36" s="38">
        <v>-21</v>
      </c>
      <c r="G36" s="160">
        <f t="shared" si="12"/>
        <v>22.181999999999995</v>
      </c>
      <c r="H36" s="160">
        <f t="shared" si="13"/>
        <v>17.181999999999995</v>
      </c>
      <c r="I36" s="161">
        <f t="shared" si="14"/>
        <v>22.982</v>
      </c>
      <c r="J36" s="161">
        <f t="shared" si="15"/>
        <v>17.982</v>
      </c>
    </row>
    <row r="37" spans="1:10" ht="12.75">
      <c r="A37" s="151" t="s">
        <v>77</v>
      </c>
      <c r="B37" s="151">
        <v>10</v>
      </c>
      <c r="C37" s="155">
        <f>'Power budget'!S73</f>
        <v>35.29333333333334</v>
      </c>
      <c r="D37" s="157">
        <f>'Power budget'!AB73</f>
        <v>36.49333333333334</v>
      </c>
      <c r="E37" s="4">
        <v>-16</v>
      </c>
      <c r="F37" s="38">
        <v>-21</v>
      </c>
      <c r="G37" s="160">
        <f t="shared" si="12"/>
        <v>22.293333333333337</v>
      </c>
      <c r="H37" s="160">
        <f t="shared" si="13"/>
        <v>17.293333333333337</v>
      </c>
      <c r="I37" s="161">
        <f t="shared" si="14"/>
        <v>23.49333333333334</v>
      </c>
      <c r="J37" s="161">
        <f t="shared" si="15"/>
        <v>18.49333333333334</v>
      </c>
    </row>
    <row r="38" spans="1:10" ht="12.75">
      <c r="A38" s="151" t="s">
        <v>78</v>
      </c>
      <c r="B38" s="151">
        <v>10</v>
      </c>
      <c r="C38" s="155">
        <f>'Power budget'!S89</f>
        <v>35.512</v>
      </c>
      <c r="D38" s="157">
        <f>'Power budget'!AB89</f>
        <v>36.712</v>
      </c>
      <c r="E38" s="4">
        <v>-16</v>
      </c>
      <c r="F38" s="38">
        <v>-21</v>
      </c>
      <c r="G38" s="160">
        <f t="shared" si="12"/>
        <v>22.512</v>
      </c>
      <c r="H38" s="160">
        <f t="shared" si="13"/>
        <v>17.512</v>
      </c>
      <c r="I38" s="161">
        <f t="shared" si="14"/>
        <v>23.712000000000003</v>
      </c>
      <c r="J38" s="161">
        <f t="shared" si="15"/>
        <v>18.712000000000003</v>
      </c>
    </row>
    <row r="39" spans="1:10" ht="12.75">
      <c r="A39" s="151" t="s">
        <v>79</v>
      </c>
      <c r="B39" s="151">
        <v>10</v>
      </c>
      <c r="C39" s="155">
        <f>'Power budget'!S105</f>
        <v>35.68</v>
      </c>
      <c r="D39" s="157">
        <f>'Power budget'!AB105</f>
        <v>36.88</v>
      </c>
      <c r="E39" s="4">
        <v>-16</v>
      </c>
      <c r="F39" s="38">
        <v>-21</v>
      </c>
      <c r="G39" s="160">
        <f t="shared" si="12"/>
        <v>22.68</v>
      </c>
      <c r="H39" s="160">
        <f t="shared" si="13"/>
        <v>17.68</v>
      </c>
      <c r="I39" s="161">
        <f t="shared" si="14"/>
        <v>23.880000000000003</v>
      </c>
      <c r="J39" s="161">
        <f t="shared" si="15"/>
        <v>18.880000000000003</v>
      </c>
    </row>
  </sheetData>
  <mergeCells count="12">
    <mergeCell ref="A1:F1"/>
    <mergeCell ref="A11:F11"/>
    <mergeCell ref="A21:F21"/>
    <mergeCell ref="A31:F31"/>
    <mergeCell ref="G1:H1"/>
    <mergeCell ref="G11:H11"/>
    <mergeCell ref="G21:H21"/>
    <mergeCell ref="G31:H31"/>
    <mergeCell ref="I1:J1"/>
    <mergeCell ref="I11:J11"/>
    <mergeCell ref="I21:J21"/>
    <mergeCell ref="I31:J3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44" sqref="E44"/>
    </sheetView>
  </sheetViews>
  <sheetFormatPr defaultColWidth="9.140625" defaultRowHeight="12.75"/>
  <cols>
    <col min="1" max="1" width="15.7109375" style="1" bestFit="1" customWidth="1"/>
    <col min="2" max="2" width="9.140625" style="1" customWidth="1"/>
    <col min="3" max="3" width="8.7109375" style="1" customWidth="1"/>
    <col min="4" max="4" width="12.8515625" style="1" customWidth="1"/>
    <col min="5" max="5" width="16.140625" style="1" customWidth="1"/>
    <col min="6" max="7" width="13.57421875" style="1" customWidth="1"/>
    <col min="8" max="16384" width="9.140625" style="1" customWidth="1"/>
  </cols>
  <sheetData>
    <row r="1" spans="1:7" s="153" customFormat="1" ht="12.75">
      <c r="A1" s="190" t="s">
        <v>288</v>
      </c>
      <c r="B1" s="191"/>
      <c r="C1" s="191"/>
      <c r="D1" s="191"/>
      <c r="E1" s="192"/>
      <c r="F1" s="140" t="s">
        <v>278</v>
      </c>
      <c r="G1" s="139" t="s">
        <v>279</v>
      </c>
    </row>
    <row r="2" spans="1:7" s="153" customFormat="1" ht="25.5">
      <c r="A2" s="152" t="s">
        <v>283</v>
      </c>
      <c r="B2" s="152" t="s">
        <v>280</v>
      </c>
      <c r="C2" s="154" t="s">
        <v>281</v>
      </c>
      <c r="D2" s="156" t="s">
        <v>282</v>
      </c>
      <c r="E2" s="159" t="s">
        <v>285</v>
      </c>
      <c r="F2" s="140" t="s">
        <v>287</v>
      </c>
      <c r="G2" s="139" t="s">
        <v>287</v>
      </c>
    </row>
    <row r="3" spans="1:7" ht="12.75">
      <c r="A3" s="151" t="s">
        <v>55</v>
      </c>
      <c r="B3" s="151">
        <v>5</v>
      </c>
      <c r="C3" s="155">
        <f>'Power budget'!A17</f>
        <v>26.9</v>
      </c>
      <c r="D3" s="157">
        <f>'Power budget'!J17</f>
        <v>27.3</v>
      </c>
      <c r="E3" s="38">
        <v>-26</v>
      </c>
      <c r="F3" s="160">
        <f aca="true" t="shared" si="0" ref="F3:F9">E3+C3+3</f>
        <v>3.8999999999999986</v>
      </c>
      <c r="G3" s="161">
        <f aca="true" t="shared" si="1" ref="G3:G9">E3+D3+3</f>
        <v>4.300000000000001</v>
      </c>
    </row>
    <row r="4" spans="1:7" ht="12.75">
      <c r="A4" s="151" t="s">
        <v>56</v>
      </c>
      <c r="B4" s="151">
        <v>5</v>
      </c>
      <c r="C4" s="155">
        <f>'Power budget'!A33</f>
        <v>26.513333333333335</v>
      </c>
      <c r="D4" s="157">
        <f>'Power budget'!J33</f>
        <v>27.313333333333336</v>
      </c>
      <c r="E4" s="38">
        <v>-26</v>
      </c>
      <c r="F4" s="160">
        <f t="shared" si="0"/>
        <v>3.5133333333333354</v>
      </c>
      <c r="G4" s="161">
        <f t="shared" si="1"/>
        <v>4.313333333333336</v>
      </c>
    </row>
    <row r="5" spans="1:7" ht="12.75">
      <c r="A5" s="151" t="s">
        <v>57</v>
      </c>
      <c r="B5" s="151">
        <v>5</v>
      </c>
      <c r="C5" s="155">
        <f>'Power budget'!A49</f>
        <v>26.732</v>
      </c>
      <c r="D5" s="157">
        <f>'Power budget'!J49</f>
        <v>27.532</v>
      </c>
      <c r="E5" s="38">
        <v>-26</v>
      </c>
      <c r="F5" s="160">
        <f t="shared" si="0"/>
        <v>3.7319999999999993</v>
      </c>
      <c r="G5" s="161">
        <f t="shared" si="1"/>
        <v>4.532</v>
      </c>
    </row>
    <row r="6" spans="1:7" ht="12.75">
      <c r="A6" s="151" t="s">
        <v>58</v>
      </c>
      <c r="B6" s="151">
        <v>5</v>
      </c>
      <c r="C6" s="155">
        <f>'Power budget'!A65</f>
        <v>26.899999999999995</v>
      </c>
      <c r="D6" s="157">
        <f>'Power budget'!J65</f>
        <v>27.699999999999996</v>
      </c>
      <c r="E6" s="38">
        <v>-26</v>
      </c>
      <c r="F6" s="160">
        <f t="shared" si="0"/>
        <v>3.899999999999995</v>
      </c>
      <c r="G6" s="161">
        <f t="shared" si="1"/>
        <v>4.699999999999996</v>
      </c>
    </row>
    <row r="7" spans="1:7" ht="12.75">
      <c r="A7" s="151" t="s">
        <v>59</v>
      </c>
      <c r="B7" s="151">
        <v>5</v>
      </c>
      <c r="C7" s="155">
        <f>'Power budget'!A81</f>
        <v>26.991999999999997</v>
      </c>
      <c r="D7" s="157">
        <f>'Power budget'!J81</f>
        <v>28.192</v>
      </c>
      <c r="E7" s="38">
        <v>-26</v>
      </c>
      <c r="F7" s="160">
        <f t="shared" si="0"/>
        <v>3.9919999999999973</v>
      </c>
      <c r="G7" s="161">
        <f t="shared" si="1"/>
        <v>5.192</v>
      </c>
    </row>
    <row r="8" spans="1:7" ht="12.75">
      <c r="A8" s="151" t="s">
        <v>60</v>
      </c>
      <c r="B8" s="151">
        <v>5</v>
      </c>
      <c r="C8" s="155">
        <f>'Power budget'!A97</f>
        <v>27.229999999999997</v>
      </c>
      <c r="D8" s="157">
        <f>'Power budget'!J97</f>
        <v>28.43</v>
      </c>
      <c r="E8" s="38">
        <v>-26</v>
      </c>
      <c r="F8" s="160">
        <f t="shared" si="0"/>
        <v>4.229999999999997</v>
      </c>
      <c r="G8" s="161">
        <f t="shared" si="1"/>
        <v>5.43</v>
      </c>
    </row>
    <row r="9" spans="1:7" ht="12.75">
      <c r="A9" s="151" t="s">
        <v>61</v>
      </c>
      <c r="B9" s="151">
        <v>5</v>
      </c>
      <c r="C9" s="155">
        <f>'Power budget'!A113</f>
        <v>27.3</v>
      </c>
      <c r="D9" s="157">
        <f>'Power budget'!J113</f>
        <v>28.500000000000004</v>
      </c>
      <c r="E9" s="38">
        <v>-26</v>
      </c>
      <c r="F9" s="160">
        <f t="shared" si="0"/>
        <v>4.300000000000001</v>
      </c>
      <c r="G9" s="161">
        <f t="shared" si="1"/>
        <v>5.5000000000000036</v>
      </c>
    </row>
    <row r="10" spans="3:7" ht="12.75">
      <c r="C10" s="2"/>
      <c r="D10" s="2"/>
      <c r="F10" s="2"/>
      <c r="G10" s="2"/>
    </row>
    <row r="11" spans="1:7" s="153" customFormat="1" ht="12.75">
      <c r="A11" s="190" t="s">
        <v>289</v>
      </c>
      <c r="B11" s="191"/>
      <c r="C11" s="191"/>
      <c r="D11" s="191"/>
      <c r="E11" s="192"/>
      <c r="F11" s="140" t="s">
        <v>278</v>
      </c>
      <c r="G11" s="139" t="s">
        <v>279</v>
      </c>
    </row>
    <row r="12" spans="1:7" s="153" customFormat="1" ht="25.5">
      <c r="A12" s="152" t="s">
        <v>283</v>
      </c>
      <c r="B12" s="152" t="s">
        <v>280</v>
      </c>
      <c r="C12" s="154" t="s">
        <v>281</v>
      </c>
      <c r="D12" s="156" t="s">
        <v>282</v>
      </c>
      <c r="E12" s="159" t="s">
        <v>285</v>
      </c>
      <c r="F12" s="140" t="s">
        <v>287</v>
      </c>
      <c r="G12" s="139" t="s">
        <v>287</v>
      </c>
    </row>
    <row r="13" spans="1:7" ht="12.75">
      <c r="A13" s="151" t="s">
        <v>55</v>
      </c>
      <c r="B13" s="151">
        <v>10</v>
      </c>
      <c r="C13" s="155">
        <f>'Power budget'!A9</f>
        <v>31.9</v>
      </c>
      <c r="D13" s="157">
        <f>'Power budget'!J9</f>
        <v>32.3</v>
      </c>
      <c r="E13" s="38">
        <v>-26</v>
      </c>
      <c r="F13" s="160">
        <f aca="true" t="shared" si="2" ref="F13:F19">E13+C13+3</f>
        <v>8.899999999999999</v>
      </c>
      <c r="G13" s="161">
        <f aca="true" t="shared" si="3" ref="G13:G19">E13+D13+3</f>
        <v>9.299999999999997</v>
      </c>
    </row>
    <row r="14" spans="1:7" ht="12.75">
      <c r="A14" s="151" t="s">
        <v>56</v>
      </c>
      <c r="B14" s="151">
        <v>10</v>
      </c>
      <c r="C14" s="155">
        <f>'Power budget'!A25</f>
        <v>31.513333333333335</v>
      </c>
      <c r="D14" s="157">
        <f>'Power budget'!J25</f>
        <v>32.31333333333334</v>
      </c>
      <c r="E14" s="38">
        <v>-26</v>
      </c>
      <c r="F14" s="160">
        <f t="shared" si="2"/>
        <v>8.513333333333335</v>
      </c>
      <c r="G14" s="161">
        <f t="shared" si="3"/>
        <v>9.31333333333334</v>
      </c>
    </row>
    <row r="15" spans="1:7" ht="12.75">
      <c r="A15" s="151" t="s">
        <v>57</v>
      </c>
      <c r="B15" s="151">
        <v>10</v>
      </c>
      <c r="C15" s="155">
        <f>'Power budget'!A41</f>
        <v>31.732</v>
      </c>
      <c r="D15" s="157">
        <f>'Power budget'!J41</f>
        <v>32.532000000000004</v>
      </c>
      <c r="E15" s="38">
        <v>-26</v>
      </c>
      <c r="F15" s="160">
        <f t="shared" si="2"/>
        <v>8.732</v>
      </c>
      <c r="G15" s="161">
        <f t="shared" si="3"/>
        <v>9.532000000000004</v>
      </c>
    </row>
    <row r="16" spans="1:7" ht="12.75">
      <c r="A16" s="151" t="s">
        <v>58</v>
      </c>
      <c r="B16" s="151">
        <v>10</v>
      </c>
      <c r="C16" s="155">
        <f>'Power budget'!A57</f>
        <v>31.899999999999995</v>
      </c>
      <c r="D16" s="157">
        <f>'Power budget'!J57</f>
        <v>32.699999999999996</v>
      </c>
      <c r="E16" s="38">
        <v>-26</v>
      </c>
      <c r="F16" s="160">
        <f t="shared" si="2"/>
        <v>8.899999999999995</v>
      </c>
      <c r="G16" s="161">
        <f t="shared" si="3"/>
        <v>9.699999999999996</v>
      </c>
    </row>
    <row r="17" spans="1:7" ht="12.75">
      <c r="A17" s="151" t="s">
        <v>59</v>
      </c>
      <c r="B17" s="151">
        <v>10</v>
      </c>
      <c r="C17" s="155">
        <f>'Power budget'!A73</f>
        <v>31.991999999999997</v>
      </c>
      <c r="D17" s="157">
        <f>'Power budget'!J73</f>
        <v>33.192</v>
      </c>
      <c r="E17" s="38">
        <v>-26</v>
      </c>
      <c r="F17" s="160">
        <f t="shared" si="2"/>
        <v>8.991999999999997</v>
      </c>
      <c r="G17" s="161">
        <f t="shared" si="3"/>
        <v>10.192</v>
      </c>
    </row>
    <row r="18" spans="1:7" ht="12.75">
      <c r="A18" s="151" t="s">
        <v>60</v>
      </c>
      <c r="B18" s="151">
        <v>10</v>
      </c>
      <c r="C18" s="155">
        <f>'Power budget'!A89</f>
        <v>32.23</v>
      </c>
      <c r="D18" s="157">
        <f>'Power budget'!J89</f>
        <v>33.43</v>
      </c>
      <c r="E18" s="38">
        <v>-26</v>
      </c>
      <c r="F18" s="160">
        <f t="shared" si="2"/>
        <v>9.229999999999997</v>
      </c>
      <c r="G18" s="161">
        <f t="shared" si="3"/>
        <v>10.43</v>
      </c>
    </row>
    <row r="19" spans="1:7" ht="12.75">
      <c r="A19" s="151" t="s">
        <v>61</v>
      </c>
      <c r="B19" s="151">
        <v>10</v>
      </c>
      <c r="C19" s="155">
        <f>'Power budget'!A105</f>
        <v>32.300000000000004</v>
      </c>
      <c r="D19" s="157">
        <f>'Power budget'!J105</f>
        <v>33.5</v>
      </c>
      <c r="E19" s="38">
        <v>-26</v>
      </c>
      <c r="F19" s="160">
        <f t="shared" si="2"/>
        <v>9.300000000000004</v>
      </c>
      <c r="G19" s="161">
        <f t="shared" si="3"/>
        <v>10.5</v>
      </c>
    </row>
    <row r="20" spans="3:7" ht="12.75">
      <c r="C20" s="2"/>
      <c r="D20" s="2"/>
      <c r="F20" s="2"/>
      <c r="G20" s="2"/>
    </row>
    <row r="21" spans="1:7" s="153" customFormat="1" ht="12.75">
      <c r="A21" s="190" t="s">
        <v>288</v>
      </c>
      <c r="B21" s="191"/>
      <c r="C21" s="191"/>
      <c r="D21" s="191"/>
      <c r="E21" s="192"/>
      <c r="F21" s="140" t="s">
        <v>278</v>
      </c>
      <c r="G21" s="139" t="s">
        <v>279</v>
      </c>
    </row>
    <row r="22" spans="1:7" s="153" customFormat="1" ht="25.5">
      <c r="A22" s="152" t="s">
        <v>283</v>
      </c>
      <c r="B22" s="152" t="s">
        <v>280</v>
      </c>
      <c r="C22" s="154" t="s">
        <v>281</v>
      </c>
      <c r="D22" s="156" t="s">
        <v>282</v>
      </c>
      <c r="E22" s="159" t="s">
        <v>285</v>
      </c>
      <c r="F22" s="140" t="s">
        <v>287</v>
      </c>
      <c r="G22" s="139" t="s">
        <v>287</v>
      </c>
    </row>
    <row r="23" spans="1:7" ht="12.75">
      <c r="A23" s="151" t="s">
        <v>73</v>
      </c>
      <c r="B23" s="151">
        <v>5</v>
      </c>
      <c r="C23" s="155">
        <f>'Power budget'!S17</f>
        <v>30.04722563029001</v>
      </c>
      <c r="D23" s="157">
        <f>'Power budget'!AB17</f>
        <v>30.447225630290013</v>
      </c>
      <c r="E23" s="38">
        <v>-26</v>
      </c>
      <c r="F23" s="160">
        <f aca="true" t="shared" si="4" ref="F23:F29">E23+C23+3</f>
        <v>7.047225630290011</v>
      </c>
      <c r="G23" s="161">
        <f aca="true" t="shared" si="5" ref="G23:G29">E23+D23+3</f>
        <v>7.4472256302900135</v>
      </c>
    </row>
    <row r="24" spans="1:7" ht="12.75">
      <c r="A24" s="151" t="s">
        <v>74</v>
      </c>
      <c r="B24" s="151">
        <v>5</v>
      </c>
      <c r="C24" s="155">
        <f>'Power budget'!S33</f>
        <v>30.68</v>
      </c>
      <c r="D24" s="157">
        <f>'Power budget'!AB33</f>
        <v>31.48</v>
      </c>
      <c r="E24" s="38">
        <v>-26</v>
      </c>
      <c r="F24" s="160">
        <f t="shared" si="4"/>
        <v>7.68</v>
      </c>
      <c r="G24" s="161">
        <f t="shared" si="5"/>
        <v>8.48</v>
      </c>
    </row>
    <row r="25" spans="1:7" ht="12.75">
      <c r="A25" s="151" t="s">
        <v>75</v>
      </c>
      <c r="B25" s="151">
        <v>5</v>
      </c>
      <c r="C25" s="155">
        <f>'Power budget'!S49</f>
        <v>30.033333333333335</v>
      </c>
      <c r="D25" s="157">
        <f>'Power budget'!AB49</f>
        <v>30.833333333333336</v>
      </c>
      <c r="E25" s="38">
        <v>-26</v>
      </c>
      <c r="F25" s="160">
        <f t="shared" si="4"/>
        <v>7.033333333333335</v>
      </c>
      <c r="G25" s="161">
        <f t="shared" si="5"/>
        <v>7.833333333333336</v>
      </c>
    </row>
    <row r="26" spans="1:7" ht="12.75">
      <c r="A26" s="151" t="s">
        <v>76</v>
      </c>
      <c r="B26" s="151">
        <v>5</v>
      </c>
      <c r="C26" s="155">
        <f>'Power budget'!S65</f>
        <v>30.181999999999995</v>
      </c>
      <c r="D26" s="157">
        <f>'Power budget'!AB65</f>
        <v>30.981999999999996</v>
      </c>
      <c r="E26" s="38">
        <v>-26</v>
      </c>
      <c r="F26" s="160">
        <f t="shared" si="4"/>
        <v>7.181999999999995</v>
      </c>
      <c r="G26" s="161">
        <f t="shared" si="5"/>
        <v>7.981999999999996</v>
      </c>
    </row>
    <row r="27" spans="1:7" ht="12.75">
      <c r="A27" s="151" t="s">
        <v>77</v>
      </c>
      <c r="B27" s="151">
        <v>5</v>
      </c>
      <c r="C27" s="155">
        <f>'Power budget'!S81</f>
        <v>30.293333333333337</v>
      </c>
      <c r="D27" s="157">
        <f>'Power budget'!AB81</f>
        <v>31.49333333333334</v>
      </c>
      <c r="E27" s="38">
        <v>-26</v>
      </c>
      <c r="F27" s="160">
        <f t="shared" si="4"/>
        <v>7.2933333333333366</v>
      </c>
      <c r="G27" s="161">
        <f t="shared" si="5"/>
        <v>8.49333333333334</v>
      </c>
    </row>
    <row r="28" spans="1:7" ht="12.75">
      <c r="A28" s="151" t="s">
        <v>78</v>
      </c>
      <c r="B28" s="151">
        <v>5</v>
      </c>
      <c r="C28" s="155">
        <f>'Power budget'!S97</f>
        <v>30.512</v>
      </c>
      <c r="D28" s="157">
        <f>'Power budget'!AB97</f>
        <v>31.712000000000003</v>
      </c>
      <c r="E28" s="38">
        <v>-26</v>
      </c>
      <c r="F28" s="160">
        <f t="shared" si="4"/>
        <v>7.5120000000000005</v>
      </c>
      <c r="G28" s="161">
        <f t="shared" si="5"/>
        <v>8.712000000000003</v>
      </c>
    </row>
    <row r="29" spans="1:7" ht="12.75">
      <c r="A29" s="151" t="s">
        <v>79</v>
      </c>
      <c r="B29" s="151">
        <v>5</v>
      </c>
      <c r="C29" s="155">
        <f>'Power budget'!S113</f>
        <v>30.679999999999996</v>
      </c>
      <c r="D29" s="157">
        <f>'Power budget'!AB113</f>
        <v>31.88</v>
      </c>
      <c r="E29" s="38">
        <v>-26</v>
      </c>
      <c r="F29" s="160">
        <f t="shared" si="4"/>
        <v>7.679999999999996</v>
      </c>
      <c r="G29" s="161">
        <f t="shared" si="5"/>
        <v>8.879999999999999</v>
      </c>
    </row>
    <row r="30" spans="3:7" ht="12.75">
      <c r="C30" s="2"/>
      <c r="D30" s="2"/>
      <c r="F30" s="2"/>
      <c r="G30" s="2"/>
    </row>
    <row r="31" spans="1:7" s="153" customFormat="1" ht="12.75">
      <c r="A31" s="190" t="s">
        <v>289</v>
      </c>
      <c r="B31" s="191"/>
      <c r="C31" s="191"/>
      <c r="D31" s="191"/>
      <c r="E31" s="192"/>
      <c r="F31" s="140" t="s">
        <v>278</v>
      </c>
      <c r="G31" s="139" t="s">
        <v>279</v>
      </c>
    </row>
    <row r="32" spans="1:7" s="153" customFormat="1" ht="25.5">
      <c r="A32" s="152" t="s">
        <v>283</v>
      </c>
      <c r="B32" s="152" t="s">
        <v>280</v>
      </c>
      <c r="C32" s="154" t="s">
        <v>281</v>
      </c>
      <c r="D32" s="156" t="s">
        <v>282</v>
      </c>
      <c r="E32" s="159" t="s">
        <v>285</v>
      </c>
      <c r="F32" s="140" t="s">
        <v>287</v>
      </c>
      <c r="G32" s="139" t="s">
        <v>287</v>
      </c>
    </row>
    <row r="33" spans="1:7" ht="12.75">
      <c r="A33" s="151" t="s">
        <v>73</v>
      </c>
      <c r="B33" s="151">
        <v>10</v>
      </c>
      <c r="C33" s="155">
        <f>'Power budget'!S9</f>
        <v>35.04722563029001</v>
      </c>
      <c r="D33" s="157">
        <f>'Power budget'!AB9</f>
        <v>35.447225630290006</v>
      </c>
      <c r="E33" s="38">
        <v>-26</v>
      </c>
      <c r="F33" s="160">
        <f aca="true" t="shared" si="6" ref="F33:F39">E33+C33+3</f>
        <v>12.047225630290008</v>
      </c>
      <c r="G33" s="161">
        <f aca="true" t="shared" si="7" ref="G33:G39">E33+D33+3</f>
        <v>12.447225630290006</v>
      </c>
    </row>
    <row r="34" spans="1:7" ht="12.75">
      <c r="A34" s="151" t="s">
        <v>74</v>
      </c>
      <c r="B34" s="151">
        <v>10</v>
      </c>
      <c r="C34" s="155">
        <f>'Power budget'!S25</f>
        <v>35.68</v>
      </c>
      <c r="D34" s="157">
        <f>'Power budget'!AB25</f>
        <v>36.480000000000004</v>
      </c>
      <c r="E34" s="38">
        <v>-26</v>
      </c>
      <c r="F34" s="160">
        <f t="shared" si="6"/>
        <v>12.68</v>
      </c>
      <c r="G34" s="161">
        <f t="shared" si="7"/>
        <v>13.480000000000004</v>
      </c>
    </row>
    <row r="35" spans="1:7" ht="12.75">
      <c r="A35" s="151" t="s">
        <v>75</v>
      </c>
      <c r="B35" s="151">
        <v>10</v>
      </c>
      <c r="C35" s="155">
        <f>'Power budget'!S41</f>
        <v>35.03333333333334</v>
      </c>
      <c r="D35" s="157">
        <f>'Power budget'!AB41</f>
        <v>35.83333333333334</v>
      </c>
      <c r="E35" s="38">
        <v>-26</v>
      </c>
      <c r="F35" s="160">
        <f t="shared" si="6"/>
        <v>12.033333333333339</v>
      </c>
      <c r="G35" s="161">
        <f t="shared" si="7"/>
        <v>12.833333333333343</v>
      </c>
    </row>
    <row r="36" spans="1:7" ht="12.75">
      <c r="A36" s="151" t="s">
        <v>76</v>
      </c>
      <c r="B36" s="151">
        <v>10</v>
      </c>
      <c r="C36" s="155">
        <f>'Power budget'!S57</f>
        <v>35.181999999999995</v>
      </c>
      <c r="D36" s="157">
        <f>'Power budget'!AB57</f>
        <v>35.982</v>
      </c>
      <c r="E36" s="38">
        <v>-26</v>
      </c>
      <c r="F36" s="160">
        <f t="shared" si="6"/>
        <v>12.181999999999995</v>
      </c>
      <c r="G36" s="161">
        <f t="shared" si="7"/>
        <v>12.982</v>
      </c>
    </row>
    <row r="37" spans="1:7" ht="12.75">
      <c r="A37" s="151" t="s">
        <v>77</v>
      </c>
      <c r="B37" s="151">
        <v>10</v>
      </c>
      <c r="C37" s="155">
        <f>'Power budget'!S73</f>
        <v>35.29333333333334</v>
      </c>
      <c r="D37" s="157">
        <f>'Power budget'!AB73</f>
        <v>36.49333333333334</v>
      </c>
      <c r="E37" s="38">
        <v>-26</v>
      </c>
      <c r="F37" s="160">
        <f t="shared" si="6"/>
        <v>12.293333333333337</v>
      </c>
      <c r="G37" s="161">
        <f t="shared" si="7"/>
        <v>13.49333333333334</v>
      </c>
    </row>
    <row r="38" spans="1:7" ht="12.75">
      <c r="A38" s="151" t="s">
        <v>78</v>
      </c>
      <c r="B38" s="151">
        <v>10</v>
      </c>
      <c r="C38" s="155">
        <f>'Power budget'!S89</f>
        <v>35.512</v>
      </c>
      <c r="D38" s="157">
        <f>'Power budget'!AB89</f>
        <v>36.712</v>
      </c>
      <c r="E38" s="38">
        <v>-26</v>
      </c>
      <c r="F38" s="160">
        <f t="shared" si="6"/>
        <v>12.512</v>
      </c>
      <c r="G38" s="161">
        <f t="shared" si="7"/>
        <v>13.712000000000003</v>
      </c>
    </row>
    <row r="39" spans="1:7" ht="12.75">
      <c r="A39" s="151" t="s">
        <v>79</v>
      </c>
      <c r="B39" s="151">
        <v>10</v>
      </c>
      <c r="C39" s="155">
        <f>'Power budget'!S105</f>
        <v>35.68</v>
      </c>
      <c r="D39" s="157">
        <f>'Power budget'!AB105</f>
        <v>36.88</v>
      </c>
      <c r="E39" s="38">
        <v>-26</v>
      </c>
      <c r="F39" s="160">
        <f t="shared" si="6"/>
        <v>12.68</v>
      </c>
      <c r="G39" s="161">
        <f t="shared" si="7"/>
        <v>13.880000000000003</v>
      </c>
    </row>
  </sheetData>
  <mergeCells count="4">
    <mergeCell ref="A1:E1"/>
    <mergeCell ref="A11:E11"/>
    <mergeCell ref="A21:E21"/>
    <mergeCell ref="A31:E3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B3" sqref="B3"/>
    </sheetView>
  </sheetViews>
  <sheetFormatPr defaultColWidth="9.140625" defaultRowHeight="12.75"/>
  <cols>
    <col min="1" max="1" width="15.8515625" style="41" bestFit="1" customWidth="1"/>
    <col min="2" max="2" width="30.7109375" style="41" customWidth="1"/>
    <col min="3" max="4" width="6.7109375" style="74" bestFit="1" customWidth="1"/>
    <col min="5" max="5" width="8.7109375" style="74" bestFit="1" customWidth="1"/>
    <col min="6" max="8" width="9.7109375" style="74" bestFit="1" customWidth="1"/>
    <col min="9" max="9" width="7.7109375" style="42" bestFit="1" customWidth="1"/>
    <col min="10" max="10" width="5.57421875" style="42" bestFit="1" customWidth="1"/>
    <col min="11" max="11" width="4.7109375" style="41" bestFit="1" customWidth="1"/>
    <col min="12" max="12" width="14.00390625" style="41" bestFit="1" customWidth="1"/>
    <col min="13" max="16384" width="9.140625" style="41" customWidth="1"/>
  </cols>
  <sheetData>
    <row r="1" spans="2:10" ht="12.75">
      <c r="B1" s="41" t="s">
        <v>313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3">
        <v>0.06388888888888888</v>
      </c>
      <c r="I1" s="42" t="s">
        <v>41</v>
      </c>
      <c r="J1" s="42" t="s">
        <v>142</v>
      </c>
    </row>
    <row r="2" spans="2:10" ht="12.75">
      <c r="B2" s="41" t="s">
        <v>314</v>
      </c>
      <c r="C2" s="44">
        <f>10*LOG(2)</f>
        <v>3.010299956639812</v>
      </c>
      <c r="D2" s="44">
        <f>10*LOG(3)</f>
        <v>4.771212547196624</v>
      </c>
      <c r="E2" s="44">
        <f>10*LOG(4)</f>
        <v>6.020599913279624</v>
      </c>
      <c r="F2" s="44">
        <f>10*LOG(8)</f>
        <v>9.030899869919436</v>
      </c>
      <c r="G2" s="44">
        <f>10*LOG(16)</f>
        <v>12.041199826559248</v>
      </c>
      <c r="H2" s="44">
        <f>10*LOG(32)</f>
        <v>15.051499783199061</v>
      </c>
      <c r="I2" s="44">
        <f>10*LOG(64)</f>
        <v>18.06179973983887</v>
      </c>
      <c r="J2" s="44">
        <f>10*LOG(128)</f>
        <v>21.072099696478684</v>
      </c>
    </row>
    <row r="3" spans="1:12" ht="12.75">
      <c r="A3" s="193" t="s">
        <v>292</v>
      </c>
      <c r="B3" s="45" t="s">
        <v>9</v>
      </c>
      <c r="C3" s="46"/>
      <c r="D3" s="46" t="s">
        <v>7</v>
      </c>
      <c r="E3" s="46" t="s">
        <v>8</v>
      </c>
      <c r="F3" s="46"/>
      <c r="G3" s="46"/>
      <c r="H3" s="46"/>
      <c r="I3" s="47"/>
      <c r="J3" s="47"/>
      <c r="K3" s="48" t="s">
        <v>11</v>
      </c>
      <c r="L3" s="48" t="s">
        <v>12</v>
      </c>
    </row>
    <row r="4" spans="1:12" ht="12.75">
      <c r="A4" s="194"/>
      <c r="B4" s="45" t="s">
        <v>10</v>
      </c>
      <c r="C4" s="46"/>
      <c r="D4" s="46"/>
      <c r="E4" s="46" t="s">
        <v>217</v>
      </c>
      <c r="F4" s="46" t="s">
        <v>210</v>
      </c>
      <c r="G4" s="46" t="s">
        <v>211</v>
      </c>
      <c r="H4" s="46" t="s">
        <v>214</v>
      </c>
      <c r="I4" s="47"/>
      <c r="J4" s="47"/>
      <c r="K4" s="48" t="s">
        <v>34</v>
      </c>
      <c r="L4" s="48" t="s">
        <v>13</v>
      </c>
    </row>
    <row r="5" spans="1:12" ht="12.75">
      <c r="A5" s="194"/>
      <c r="B5" s="45" t="s">
        <v>18</v>
      </c>
      <c r="C5" s="46"/>
      <c r="D5" s="46">
        <v>5.6</v>
      </c>
      <c r="E5" s="46">
        <v>7.2</v>
      </c>
      <c r="F5" s="46"/>
      <c r="G5" s="46"/>
      <c r="H5" s="46"/>
      <c r="I5" s="47"/>
      <c r="J5" s="47"/>
      <c r="K5" s="48" t="s">
        <v>19</v>
      </c>
      <c r="L5" s="48" t="s">
        <v>20</v>
      </c>
    </row>
    <row r="6" spans="1:12" ht="12.75">
      <c r="A6" s="195"/>
      <c r="B6" s="45" t="s">
        <v>21</v>
      </c>
      <c r="C6" s="46"/>
      <c r="D6" s="46"/>
      <c r="E6" s="46" t="s">
        <v>218</v>
      </c>
      <c r="F6" s="46" t="s">
        <v>209</v>
      </c>
      <c r="G6" s="46" t="s">
        <v>212</v>
      </c>
      <c r="H6" s="46" t="s">
        <v>215</v>
      </c>
      <c r="I6" s="47"/>
      <c r="J6" s="47"/>
      <c r="K6" s="48" t="s">
        <v>14</v>
      </c>
      <c r="L6" s="48" t="s">
        <v>15</v>
      </c>
    </row>
    <row r="7" spans="1:12" ht="12.75">
      <c r="A7" s="196" t="s">
        <v>293</v>
      </c>
      <c r="B7" s="50" t="s">
        <v>22</v>
      </c>
      <c r="C7" s="51" t="s">
        <v>220</v>
      </c>
      <c r="D7" s="51" t="s">
        <v>223</v>
      </c>
      <c r="E7" s="51" t="s">
        <v>219</v>
      </c>
      <c r="F7" s="51" t="s">
        <v>208</v>
      </c>
      <c r="G7" s="51" t="s">
        <v>213</v>
      </c>
      <c r="H7" s="51" t="s">
        <v>216</v>
      </c>
      <c r="I7" s="52"/>
      <c r="J7" s="52"/>
      <c r="K7" s="48" t="s">
        <v>16</v>
      </c>
      <c r="L7" s="48" t="s">
        <v>17</v>
      </c>
    </row>
    <row r="8" spans="1:12" ht="12.75">
      <c r="A8" s="197"/>
      <c r="B8" s="50" t="s">
        <v>9</v>
      </c>
      <c r="C8" s="51"/>
      <c r="D8" s="51" t="s">
        <v>225</v>
      </c>
      <c r="E8" s="51" t="s">
        <v>226</v>
      </c>
      <c r="F8" s="51"/>
      <c r="G8" s="51"/>
      <c r="H8" s="51"/>
      <c r="I8" s="52"/>
      <c r="J8" s="52"/>
      <c r="K8" s="48" t="s">
        <v>42</v>
      </c>
      <c r="L8" s="48" t="s">
        <v>43</v>
      </c>
    </row>
    <row r="9" spans="1:12" ht="12.75">
      <c r="A9" s="197"/>
      <c r="B9" s="50" t="s">
        <v>18</v>
      </c>
      <c r="C9" s="51"/>
      <c r="D9" s="51" t="s">
        <v>224</v>
      </c>
      <c r="E9" s="51" t="s">
        <v>227</v>
      </c>
      <c r="F9" s="51"/>
      <c r="G9" s="51"/>
      <c r="H9" s="51"/>
      <c r="I9" s="52"/>
      <c r="J9" s="52"/>
      <c r="K9" s="48" t="s">
        <v>44</v>
      </c>
      <c r="L9" s="48" t="s">
        <v>45</v>
      </c>
    </row>
    <row r="10" spans="1:10" ht="12.75">
      <c r="A10" s="197"/>
      <c r="B10" s="50" t="s">
        <v>23</v>
      </c>
      <c r="C10" s="51" t="s">
        <v>220</v>
      </c>
      <c r="D10" s="51" t="s">
        <v>223</v>
      </c>
      <c r="E10" s="51" t="s">
        <v>219</v>
      </c>
      <c r="F10" s="51" t="s">
        <v>208</v>
      </c>
      <c r="G10" s="51" t="s">
        <v>213</v>
      </c>
      <c r="H10" s="51"/>
      <c r="I10" s="52"/>
      <c r="J10" s="52"/>
    </row>
    <row r="11" spans="1:20" ht="12.75">
      <c r="A11" s="197"/>
      <c r="B11" s="50" t="s">
        <v>24</v>
      </c>
      <c r="C11" s="51" t="s">
        <v>221</v>
      </c>
      <c r="D11" s="51" t="s">
        <v>222</v>
      </c>
      <c r="E11" s="51" t="s">
        <v>228</v>
      </c>
      <c r="F11" s="51" t="s">
        <v>229</v>
      </c>
      <c r="G11" s="51" t="s">
        <v>230</v>
      </c>
      <c r="H11" s="51"/>
      <c r="I11" s="52"/>
      <c r="J11" s="52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2.75">
      <c r="A12" s="197"/>
      <c r="B12" s="50" t="s">
        <v>25</v>
      </c>
      <c r="C12" s="51"/>
      <c r="D12" s="51"/>
      <c r="E12" s="51"/>
      <c r="F12" s="51" t="s">
        <v>143</v>
      </c>
      <c r="G12" s="51" t="s">
        <v>144</v>
      </c>
      <c r="H12" s="51" t="s">
        <v>145</v>
      </c>
      <c r="I12" s="52"/>
      <c r="J12" s="52"/>
      <c r="L12" s="36"/>
      <c r="M12" s="53"/>
      <c r="N12" s="53"/>
      <c r="O12" s="53"/>
      <c r="P12" s="53"/>
      <c r="Q12" s="53"/>
      <c r="R12" s="53"/>
      <c r="S12" s="36"/>
      <c r="T12" s="36"/>
    </row>
    <row r="13" spans="1:20" ht="12.75">
      <c r="A13" s="197"/>
      <c r="B13" s="50" t="s">
        <v>26</v>
      </c>
      <c r="C13" s="51"/>
      <c r="D13" s="51"/>
      <c r="E13" s="51" t="s">
        <v>146</v>
      </c>
      <c r="F13" s="51" t="s">
        <v>143</v>
      </c>
      <c r="G13" s="51" t="s">
        <v>144</v>
      </c>
      <c r="H13" s="51" t="s">
        <v>145</v>
      </c>
      <c r="I13" s="52"/>
      <c r="J13" s="52"/>
      <c r="L13" s="36"/>
      <c r="M13" s="53"/>
      <c r="N13" s="53"/>
      <c r="O13" s="53"/>
      <c r="P13" s="53"/>
      <c r="Q13" s="53"/>
      <c r="R13" s="53"/>
      <c r="S13" s="36"/>
      <c r="T13" s="36"/>
    </row>
    <row r="14" spans="1:20" ht="12.75">
      <c r="A14" s="197"/>
      <c r="B14" s="50" t="s">
        <v>27</v>
      </c>
      <c r="C14" s="51"/>
      <c r="D14" s="51"/>
      <c r="E14" s="51" t="s">
        <v>147</v>
      </c>
      <c r="F14" s="51" t="s">
        <v>148</v>
      </c>
      <c r="G14" s="51" t="s">
        <v>149</v>
      </c>
      <c r="H14" s="51" t="s">
        <v>150</v>
      </c>
      <c r="I14" s="52"/>
      <c r="J14" s="52"/>
      <c r="L14" s="36"/>
      <c r="M14" s="53"/>
      <c r="N14" s="53"/>
      <c r="O14" s="53"/>
      <c r="P14" s="53"/>
      <c r="Q14" s="53"/>
      <c r="R14" s="53"/>
      <c r="S14" s="36"/>
      <c r="T14" s="36"/>
    </row>
    <row r="15" spans="1:20" ht="12.75">
      <c r="A15" s="198"/>
      <c r="B15" s="50" t="s">
        <v>28</v>
      </c>
      <c r="C15" s="51"/>
      <c r="D15" s="51"/>
      <c r="E15" s="51" t="s">
        <v>147</v>
      </c>
      <c r="F15" s="51" t="s">
        <v>151</v>
      </c>
      <c r="G15" s="51" t="s">
        <v>149</v>
      </c>
      <c r="H15" s="51" t="s">
        <v>152</v>
      </c>
      <c r="I15" s="52"/>
      <c r="J15" s="52"/>
      <c r="L15" s="36"/>
      <c r="M15" s="53"/>
      <c r="N15" s="53"/>
      <c r="O15" s="53"/>
      <c r="P15" s="53"/>
      <c r="Q15" s="53"/>
      <c r="R15" s="53"/>
      <c r="S15" s="36"/>
      <c r="T15" s="36"/>
    </row>
    <row r="16" spans="1:20" ht="12.75">
      <c r="A16" s="202" t="s">
        <v>294</v>
      </c>
      <c r="B16" s="55" t="s">
        <v>30</v>
      </c>
      <c r="C16" s="56"/>
      <c r="D16" s="56"/>
      <c r="E16" s="56"/>
      <c r="F16" s="56" t="s">
        <v>151</v>
      </c>
      <c r="G16" s="56" t="s">
        <v>125</v>
      </c>
      <c r="H16" s="56" t="s">
        <v>153</v>
      </c>
      <c r="I16" s="56"/>
      <c r="J16" s="56"/>
      <c r="L16" s="36"/>
      <c r="M16" s="53"/>
      <c r="N16" s="53"/>
      <c r="O16" s="53"/>
      <c r="P16" s="53"/>
      <c r="Q16" s="53"/>
      <c r="R16" s="53"/>
      <c r="S16" s="36"/>
      <c r="T16" s="36"/>
    </row>
    <row r="17" spans="1:20" ht="12.75">
      <c r="A17" s="203"/>
      <c r="B17" s="55" t="s">
        <v>31</v>
      </c>
      <c r="C17" s="56"/>
      <c r="D17" s="56"/>
      <c r="E17" s="56"/>
      <c r="F17" s="56" t="s">
        <v>154</v>
      </c>
      <c r="G17" s="56" t="s">
        <v>133</v>
      </c>
      <c r="H17" s="56" t="s">
        <v>155</v>
      </c>
      <c r="I17" s="56"/>
      <c r="J17" s="56"/>
      <c r="L17" s="36"/>
      <c r="M17" s="53"/>
      <c r="N17" s="53"/>
      <c r="O17" s="53"/>
      <c r="P17" s="53"/>
      <c r="Q17" s="53"/>
      <c r="R17" s="53"/>
      <c r="S17" s="36"/>
      <c r="T17" s="36"/>
    </row>
    <row r="18" spans="1:20" ht="12.75">
      <c r="A18" s="199" t="s">
        <v>295</v>
      </c>
      <c r="B18" s="58" t="s">
        <v>29</v>
      </c>
      <c r="C18" s="59"/>
      <c r="D18" s="59"/>
      <c r="E18" s="59" t="s">
        <v>156</v>
      </c>
      <c r="F18" s="59" t="s">
        <v>157</v>
      </c>
      <c r="G18" s="59" t="s">
        <v>108</v>
      </c>
      <c r="H18" s="59" t="s">
        <v>158</v>
      </c>
      <c r="I18" s="59"/>
      <c r="J18" s="59"/>
      <c r="L18" s="36"/>
      <c r="M18" s="53"/>
      <c r="N18" s="53"/>
      <c r="O18" s="53"/>
      <c r="P18" s="53"/>
      <c r="Q18" s="53"/>
      <c r="R18" s="53"/>
      <c r="S18" s="36"/>
      <c r="T18" s="36"/>
    </row>
    <row r="19" spans="1:20" ht="12.75">
      <c r="A19" s="200"/>
      <c r="B19" s="58" t="s">
        <v>35</v>
      </c>
      <c r="C19" s="59" t="s">
        <v>159</v>
      </c>
      <c r="D19" s="59"/>
      <c r="E19" s="59" t="s">
        <v>160</v>
      </c>
      <c r="F19" s="59" t="s">
        <v>161</v>
      </c>
      <c r="G19" s="59" t="s">
        <v>162</v>
      </c>
      <c r="H19" s="59" t="s">
        <v>163</v>
      </c>
      <c r="I19" s="59"/>
      <c r="J19" s="59"/>
      <c r="L19" s="36"/>
      <c r="M19" s="53"/>
      <c r="N19" s="53"/>
      <c r="O19" s="53"/>
      <c r="P19" s="53"/>
      <c r="Q19" s="53"/>
      <c r="R19" s="53"/>
      <c r="S19" s="36"/>
      <c r="T19" s="36"/>
    </row>
    <row r="20" spans="1:20" ht="12.75">
      <c r="A20" s="201"/>
      <c r="B20" s="58" t="s">
        <v>33</v>
      </c>
      <c r="C20" s="59"/>
      <c r="D20" s="59"/>
      <c r="E20" s="59" t="s">
        <v>156</v>
      </c>
      <c r="F20" s="59" t="s">
        <v>157</v>
      </c>
      <c r="G20" s="59" t="s">
        <v>108</v>
      </c>
      <c r="H20" s="59" t="s">
        <v>158</v>
      </c>
      <c r="I20" s="59"/>
      <c r="J20" s="59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2.75">
      <c r="A21" s="193" t="s">
        <v>296</v>
      </c>
      <c r="B21" s="45" t="s">
        <v>35</v>
      </c>
      <c r="C21" s="46" t="s">
        <v>164</v>
      </c>
      <c r="D21" s="46"/>
      <c r="E21" s="46" t="s">
        <v>165</v>
      </c>
      <c r="F21" s="46" t="s">
        <v>166</v>
      </c>
      <c r="G21" s="46" t="s">
        <v>167</v>
      </c>
      <c r="H21" s="46"/>
      <c r="I21" s="46"/>
      <c r="J21" s="46"/>
      <c r="L21" s="36"/>
      <c r="M21" s="36"/>
      <c r="N21" s="36"/>
      <c r="O21" s="36"/>
      <c r="P21" s="36"/>
      <c r="Q21" s="36"/>
      <c r="R21" s="36"/>
      <c r="S21" s="36"/>
      <c r="T21" s="36"/>
    </row>
    <row r="22" spans="1:10" ht="12.75">
      <c r="A22" s="194"/>
      <c r="B22" s="45" t="s">
        <v>32</v>
      </c>
      <c r="C22" s="46"/>
      <c r="D22" s="46"/>
      <c r="E22" s="46"/>
      <c r="F22" s="46"/>
      <c r="G22" s="46"/>
      <c r="H22" s="46" t="s">
        <v>168</v>
      </c>
      <c r="I22" s="46"/>
      <c r="J22" s="46"/>
    </row>
    <row r="23" spans="1:10" ht="12.75">
      <c r="A23" s="195"/>
      <c r="B23" s="45" t="s">
        <v>33</v>
      </c>
      <c r="C23" s="46"/>
      <c r="D23" s="46"/>
      <c r="E23" s="46"/>
      <c r="F23" s="46"/>
      <c r="G23" s="46"/>
      <c r="H23" s="46" t="s">
        <v>169</v>
      </c>
      <c r="I23" s="46"/>
      <c r="J23" s="46"/>
    </row>
    <row r="24" spans="1:10" ht="12.75">
      <c r="A24" s="50" t="s">
        <v>297</v>
      </c>
      <c r="B24" s="50" t="s">
        <v>35</v>
      </c>
      <c r="C24" s="51"/>
      <c r="D24" s="51"/>
      <c r="E24" s="51" t="s">
        <v>128</v>
      </c>
      <c r="F24" s="51" t="s">
        <v>148</v>
      </c>
      <c r="G24" s="51" t="s">
        <v>92</v>
      </c>
      <c r="H24" s="51" t="s">
        <v>170</v>
      </c>
      <c r="I24" s="51"/>
      <c r="J24" s="51"/>
    </row>
    <row r="25" spans="1:10" ht="12.75">
      <c r="A25" s="202" t="s">
        <v>298</v>
      </c>
      <c r="B25" s="55" t="s">
        <v>40</v>
      </c>
      <c r="C25" s="56">
        <v>4.5</v>
      </c>
      <c r="D25" s="56"/>
      <c r="E25" s="56">
        <v>7.9</v>
      </c>
      <c r="F25" s="56">
        <v>11.2</v>
      </c>
      <c r="G25" s="56">
        <v>14.5</v>
      </c>
      <c r="H25" s="56"/>
      <c r="I25" s="60"/>
      <c r="J25" s="60"/>
    </row>
    <row r="26" spans="1:10" ht="12.75">
      <c r="A26" s="204"/>
      <c r="B26" s="55" t="s">
        <v>37</v>
      </c>
      <c r="C26" s="56"/>
      <c r="D26" s="56"/>
      <c r="E26" s="56" t="s">
        <v>171</v>
      </c>
      <c r="F26" s="56" t="s">
        <v>172</v>
      </c>
      <c r="G26" s="56" t="s">
        <v>173</v>
      </c>
      <c r="H26" s="56" t="s">
        <v>174</v>
      </c>
      <c r="I26" s="60" t="s">
        <v>175</v>
      </c>
      <c r="J26" s="60"/>
    </row>
    <row r="27" spans="1:10" ht="12.75">
      <c r="A27" s="204"/>
      <c r="B27" s="55" t="s">
        <v>38</v>
      </c>
      <c r="C27" s="56"/>
      <c r="D27" s="56"/>
      <c r="E27" s="56" t="s">
        <v>128</v>
      </c>
      <c r="F27" s="56" t="s">
        <v>176</v>
      </c>
      <c r="G27" s="56" t="s">
        <v>177</v>
      </c>
      <c r="H27" s="56" t="s">
        <v>170</v>
      </c>
      <c r="I27" s="60" t="s">
        <v>178</v>
      </c>
      <c r="J27" s="60"/>
    </row>
    <row r="28" spans="1:10" ht="12.75">
      <c r="A28" s="203"/>
      <c r="B28" s="55" t="s">
        <v>39</v>
      </c>
      <c r="C28" s="56"/>
      <c r="D28" s="56"/>
      <c r="E28" s="56" t="s">
        <v>179</v>
      </c>
      <c r="F28" s="56" t="s">
        <v>180</v>
      </c>
      <c r="G28" s="56" t="s">
        <v>181</v>
      </c>
      <c r="H28" s="56" t="s">
        <v>182</v>
      </c>
      <c r="I28" s="60" t="s">
        <v>183</v>
      </c>
      <c r="J28" s="60"/>
    </row>
    <row r="29" spans="1:10" ht="12.75">
      <c r="A29" s="58" t="s">
        <v>299</v>
      </c>
      <c r="B29" s="58" t="s">
        <v>36</v>
      </c>
      <c r="C29" s="59"/>
      <c r="D29" s="59"/>
      <c r="E29" s="59" t="s">
        <v>184</v>
      </c>
      <c r="F29" s="59" t="s">
        <v>91</v>
      </c>
      <c r="G29" s="59" t="s">
        <v>185</v>
      </c>
      <c r="H29" s="59" t="s">
        <v>186</v>
      </c>
      <c r="I29" s="59"/>
      <c r="J29" s="59"/>
    </row>
    <row r="30" spans="1:10" ht="12.75">
      <c r="A30" s="58"/>
      <c r="B30" s="58" t="s">
        <v>35</v>
      </c>
      <c r="C30" s="59" t="s">
        <v>187</v>
      </c>
      <c r="D30" s="59"/>
      <c r="E30" s="59"/>
      <c r="F30" s="59"/>
      <c r="G30" s="59"/>
      <c r="H30" s="59"/>
      <c r="I30" s="59"/>
      <c r="J30" s="59"/>
    </row>
    <row r="31" spans="1:10" ht="12.75">
      <c r="A31" s="45" t="s">
        <v>300</v>
      </c>
      <c r="B31" s="45" t="s">
        <v>29</v>
      </c>
      <c r="C31" s="46"/>
      <c r="D31" s="46"/>
      <c r="E31" s="46" t="s">
        <v>156</v>
      </c>
      <c r="F31" s="46" t="s">
        <v>157</v>
      </c>
      <c r="G31" s="46" t="s">
        <v>108</v>
      </c>
      <c r="H31" s="46" t="s">
        <v>169</v>
      </c>
      <c r="I31" s="46"/>
      <c r="J31" s="46"/>
    </row>
    <row r="32" spans="1:10" ht="12.75">
      <c r="A32" s="196" t="s">
        <v>301</v>
      </c>
      <c r="B32" s="54" t="s">
        <v>46</v>
      </c>
      <c r="C32" s="61"/>
      <c r="D32" s="61"/>
      <c r="E32" s="61" t="s">
        <v>188</v>
      </c>
      <c r="F32" s="61" t="s">
        <v>189</v>
      </c>
      <c r="G32" s="61" t="s">
        <v>190</v>
      </c>
      <c r="H32" s="61"/>
      <c r="I32" s="61"/>
      <c r="J32" s="61"/>
    </row>
    <row r="33" spans="1:10" ht="12.75">
      <c r="A33" s="197"/>
      <c r="B33" s="50" t="s">
        <v>47</v>
      </c>
      <c r="C33" s="51"/>
      <c r="D33" s="51"/>
      <c r="E33" s="51" t="s">
        <v>191</v>
      </c>
      <c r="F33" s="51" t="s">
        <v>192</v>
      </c>
      <c r="G33" s="51" t="s">
        <v>193</v>
      </c>
      <c r="H33" s="61"/>
      <c r="I33" s="61"/>
      <c r="J33" s="61"/>
    </row>
    <row r="34" spans="1:10" ht="12.75">
      <c r="A34" s="197"/>
      <c r="B34" s="50" t="s">
        <v>49</v>
      </c>
      <c r="C34" s="51"/>
      <c r="D34" s="51"/>
      <c r="E34" s="51" t="s">
        <v>194</v>
      </c>
      <c r="F34" s="51" t="s">
        <v>195</v>
      </c>
      <c r="G34" s="51" t="s">
        <v>196</v>
      </c>
      <c r="H34" s="61"/>
      <c r="I34" s="61"/>
      <c r="J34" s="61"/>
    </row>
    <row r="35" spans="1:10" ht="12.75">
      <c r="A35" s="198"/>
      <c r="B35" s="49" t="s">
        <v>48</v>
      </c>
      <c r="C35" s="62"/>
      <c r="D35" s="62"/>
      <c r="E35" s="62" t="s">
        <v>197</v>
      </c>
      <c r="F35" s="62" t="s">
        <v>198</v>
      </c>
      <c r="G35" s="62" t="s">
        <v>199</v>
      </c>
      <c r="H35" s="61"/>
      <c r="I35" s="61"/>
      <c r="J35" s="61"/>
    </row>
    <row r="36" spans="1:10" ht="12.75">
      <c r="A36" s="55" t="s">
        <v>302</v>
      </c>
      <c r="B36" s="55" t="s">
        <v>29</v>
      </c>
      <c r="C36" s="56" t="s">
        <v>164</v>
      </c>
      <c r="D36" s="56"/>
      <c r="E36" s="56" t="s">
        <v>200</v>
      </c>
      <c r="F36" s="56" t="s">
        <v>157</v>
      </c>
      <c r="G36" s="56" t="s">
        <v>201</v>
      </c>
      <c r="H36" s="56" t="s">
        <v>202</v>
      </c>
      <c r="I36" s="56"/>
      <c r="J36" s="56"/>
    </row>
    <row r="37" spans="1:10" ht="12.75">
      <c r="A37" s="57" t="s">
        <v>303</v>
      </c>
      <c r="B37" s="57" t="s">
        <v>29</v>
      </c>
      <c r="C37" s="63"/>
      <c r="D37" s="63"/>
      <c r="E37" s="63" t="s">
        <v>203</v>
      </c>
      <c r="F37" s="63" t="s">
        <v>204</v>
      </c>
      <c r="G37" s="63" t="s">
        <v>205</v>
      </c>
      <c r="H37" s="59" t="s">
        <v>206</v>
      </c>
      <c r="I37" s="59"/>
      <c r="J37" s="59"/>
    </row>
    <row r="38" spans="1:10" ht="12.75">
      <c r="A38" s="64" t="s">
        <v>304</v>
      </c>
      <c r="B38" s="64" t="s">
        <v>29</v>
      </c>
      <c r="C38" s="65"/>
      <c r="D38" s="65"/>
      <c r="E38" s="65"/>
      <c r="F38" s="65" t="s">
        <v>207</v>
      </c>
      <c r="G38" s="65"/>
      <c r="H38" s="65"/>
      <c r="I38" s="66"/>
      <c r="J38" s="66"/>
    </row>
    <row r="39" spans="1:10" ht="12.75">
      <c r="A39" s="67" t="s">
        <v>305</v>
      </c>
      <c r="B39" s="67" t="s">
        <v>89</v>
      </c>
      <c r="C39" s="68"/>
      <c r="D39" s="68"/>
      <c r="E39" s="68" t="s">
        <v>90</v>
      </c>
      <c r="F39" s="68" t="s">
        <v>91</v>
      </c>
      <c r="G39" s="68" t="s">
        <v>92</v>
      </c>
      <c r="H39" s="68" t="s">
        <v>93</v>
      </c>
      <c r="I39" s="67"/>
      <c r="J39" s="67"/>
    </row>
    <row r="40" spans="1:10" ht="12.75" customHeight="1">
      <c r="A40" s="207" t="s">
        <v>306</v>
      </c>
      <c r="B40" s="69" t="s">
        <v>94</v>
      </c>
      <c r="C40" s="70" t="s">
        <v>95</v>
      </c>
      <c r="D40" s="70"/>
      <c r="E40" s="70" t="s">
        <v>98</v>
      </c>
      <c r="F40" s="70" t="s">
        <v>100</v>
      </c>
      <c r="G40" s="70" t="s">
        <v>102</v>
      </c>
      <c r="H40" s="70" t="s">
        <v>104</v>
      </c>
      <c r="I40" s="69"/>
      <c r="J40" s="69"/>
    </row>
    <row r="41" spans="1:10" ht="12.75">
      <c r="A41" s="208"/>
      <c r="B41" s="69" t="s">
        <v>96</v>
      </c>
      <c r="C41" s="70" t="s">
        <v>97</v>
      </c>
      <c r="D41" s="70"/>
      <c r="E41" s="70" t="s">
        <v>99</v>
      </c>
      <c r="F41" s="70" t="s">
        <v>101</v>
      </c>
      <c r="G41" s="70" t="s">
        <v>103</v>
      </c>
      <c r="H41" s="70" t="s">
        <v>105</v>
      </c>
      <c r="I41" s="69"/>
      <c r="J41" s="69"/>
    </row>
    <row r="42" spans="1:10" ht="12.75">
      <c r="A42" s="209"/>
      <c r="B42" s="69" t="s">
        <v>29</v>
      </c>
      <c r="C42" s="70"/>
      <c r="D42" s="70"/>
      <c r="E42" s="70" t="s">
        <v>106</v>
      </c>
      <c r="F42" s="70" t="s">
        <v>107</v>
      </c>
      <c r="G42" s="70" t="s">
        <v>108</v>
      </c>
      <c r="H42" s="70" t="s">
        <v>109</v>
      </c>
      <c r="I42" s="69"/>
      <c r="J42" s="69"/>
    </row>
    <row r="43" spans="1:10" ht="12.75">
      <c r="A43" s="193" t="s">
        <v>307</v>
      </c>
      <c r="B43" s="45" t="s">
        <v>94</v>
      </c>
      <c r="C43" s="46" t="s">
        <v>112</v>
      </c>
      <c r="D43" s="46" t="s">
        <v>111</v>
      </c>
      <c r="E43" s="46" t="s">
        <v>110</v>
      </c>
      <c r="F43" s="46"/>
      <c r="G43" s="46"/>
      <c r="H43" s="46"/>
      <c r="I43" s="45"/>
      <c r="J43" s="45"/>
    </row>
    <row r="44" spans="1:10" ht="12.75">
      <c r="A44" s="195"/>
      <c r="B44" s="45" t="s">
        <v>113</v>
      </c>
      <c r="C44" s="46"/>
      <c r="D44" s="46"/>
      <c r="E44" s="46" t="s">
        <v>114</v>
      </c>
      <c r="F44" s="46" t="s">
        <v>115</v>
      </c>
      <c r="G44" s="46" t="s">
        <v>116</v>
      </c>
      <c r="H44" s="46" t="s">
        <v>117</v>
      </c>
      <c r="I44" s="45"/>
      <c r="J44" s="45"/>
    </row>
    <row r="45" spans="1:10" ht="12.75">
      <c r="A45" s="50" t="s">
        <v>308</v>
      </c>
      <c r="B45" s="50" t="s">
        <v>118</v>
      </c>
      <c r="C45" s="51"/>
      <c r="D45" s="51"/>
      <c r="E45" s="51" t="s">
        <v>119</v>
      </c>
      <c r="F45" s="51" t="s">
        <v>120</v>
      </c>
      <c r="G45" s="51" t="s">
        <v>121</v>
      </c>
      <c r="H45" s="51" t="s">
        <v>122</v>
      </c>
      <c r="I45" s="50"/>
      <c r="J45" s="50"/>
    </row>
    <row r="46" spans="1:10" ht="12.75">
      <c r="A46" s="55" t="s">
        <v>309</v>
      </c>
      <c r="B46" s="55" t="s">
        <v>118</v>
      </c>
      <c r="C46" s="56"/>
      <c r="D46" s="56"/>
      <c r="E46" s="56" t="s">
        <v>123</v>
      </c>
      <c r="F46" s="56" t="s">
        <v>124</v>
      </c>
      <c r="G46" s="56" t="s">
        <v>125</v>
      </c>
      <c r="H46" s="56" t="s">
        <v>126</v>
      </c>
      <c r="I46" s="55"/>
      <c r="J46" s="55"/>
    </row>
    <row r="47" spans="1:10" ht="12.75">
      <c r="A47" s="58" t="s">
        <v>310</v>
      </c>
      <c r="B47" s="58" t="s">
        <v>118</v>
      </c>
      <c r="C47" s="59"/>
      <c r="D47" s="59"/>
      <c r="E47" s="59" t="s">
        <v>128</v>
      </c>
      <c r="F47" s="59" t="s">
        <v>129</v>
      </c>
      <c r="G47" s="59" t="s">
        <v>130</v>
      </c>
      <c r="H47" s="59" t="s">
        <v>131</v>
      </c>
      <c r="I47" s="71"/>
      <c r="J47" s="71"/>
    </row>
    <row r="48" spans="1:10" ht="12.75">
      <c r="A48" s="205" t="s">
        <v>311</v>
      </c>
      <c r="B48" s="72" t="s">
        <v>118</v>
      </c>
      <c r="C48" s="73"/>
      <c r="D48" s="73"/>
      <c r="E48" s="73" t="s">
        <v>90</v>
      </c>
      <c r="F48" s="73" t="s">
        <v>132</v>
      </c>
      <c r="G48" s="73" t="s">
        <v>133</v>
      </c>
      <c r="H48" s="73" t="s">
        <v>134</v>
      </c>
      <c r="I48" s="66"/>
      <c r="J48" s="66"/>
    </row>
    <row r="49" spans="1:10" ht="12.75">
      <c r="A49" s="206"/>
      <c r="B49" s="64" t="s">
        <v>135</v>
      </c>
      <c r="C49" s="65"/>
      <c r="D49" s="65"/>
      <c r="E49" s="65" t="s">
        <v>136</v>
      </c>
      <c r="F49" s="65" t="s">
        <v>137</v>
      </c>
      <c r="G49" s="65" t="s">
        <v>138</v>
      </c>
      <c r="H49" s="65" t="s">
        <v>139</v>
      </c>
      <c r="I49" s="66"/>
      <c r="J49" s="66"/>
    </row>
    <row r="50" spans="1:8" ht="12.75">
      <c r="A50" s="41" t="s">
        <v>312</v>
      </c>
      <c r="B50" s="72" t="s">
        <v>118</v>
      </c>
      <c r="E50" s="74" t="s">
        <v>128</v>
      </c>
      <c r="F50" s="74" t="s">
        <v>231</v>
      </c>
      <c r="G50" s="74" t="s">
        <v>232</v>
      </c>
      <c r="H50" s="74" t="s">
        <v>233</v>
      </c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/>
    </row>
    <row r="62" ht="12.75">
      <c r="B62"/>
    </row>
    <row r="63" ht="12.75">
      <c r="B63" s="75"/>
    </row>
    <row r="64" ht="12.75">
      <c r="B64"/>
    </row>
    <row r="65" ht="12.75">
      <c r="B65" s="76"/>
    </row>
    <row r="66" ht="12.75">
      <c r="B66"/>
    </row>
    <row r="67" ht="12.75">
      <c r="B67" s="76"/>
    </row>
    <row r="68" ht="12.75">
      <c r="B68"/>
    </row>
    <row r="69" ht="12.75">
      <c r="B69" s="76"/>
    </row>
    <row r="70" ht="12.75">
      <c r="B70"/>
    </row>
    <row r="71" ht="12.75">
      <c r="B71" s="76"/>
    </row>
    <row r="72" ht="12.75">
      <c r="B72"/>
    </row>
    <row r="73" ht="12.75">
      <c r="B73" s="76"/>
    </row>
  </sheetData>
  <mergeCells count="10">
    <mergeCell ref="A25:A28"/>
    <mergeCell ref="A32:A35"/>
    <mergeCell ref="A48:A49"/>
    <mergeCell ref="A40:A42"/>
    <mergeCell ref="A43:A44"/>
    <mergeCell ref="A3:A6"/>
    <mergeCell ref="A7:A15"/>
    <mergeCell ref="A18:A20"/>
    <mergeCell ref="A16:A17"/>
    <mergeCell ref="A21:A23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76"/>
  <sheetViews>
    <sheetView workbookViewId="0" topLeftCell="S55">
      <selection activeCell="AJ79" sqref="AJ79"/>
    </sheetView>
  </sheetViews>
  <sheetFormatPr defaultColWidth="9.140625" defaultRowHeight="12.75"/>
  <cols>
    <col min="1" max="2" width="4.7109375" style="1" bestFit="1" customWidth="1"/>
    <col min="3" max="6" width="5.7109375" style="1" bestFit="1" customWidth="1"/>
    <col min="7" max="7" width="11.7109375" style="1" bestFit="1" customWidth="1"/>
    <col min="8" max="8" width="4.7109375" style="1" bestFit="1" customWidth="1"/>
    <col min="9" max="9" width="5.7109375" style="1" bestFit="1" customWidth="1"/>
    <col min="10" max="10" width="4.7109375" style="1" bestFit="1" customWidth="1"/>
    <col min="11" max="11" width="6.421875" style="1" bestFit="1" customWidth="1"/>
    <col min="12" max="12" width="7.00390625" style="1" bestFit="1" customWidth="1"/>
    <col min="13" max="13" width="9.140625" style="1" customWidth="1"/>
    <col min="14" max="14" width="5.7109375" style="1" bestFit="1" customWidth="1"/>
    <col min="15" max="15" width="7.00390625" style="1" bestFit="1" customWidth="1"/>
    <col min="17" max="17" width="4.7109375" style="1" customWidth="1"/>
    <col min="18" max="18" width="4.7109375" style="1" bestFit="1" customWidth="1"/>
    <col min="19" max="20" width="5.7109375" style="1" bestFit="1" customWidth="1"/>
    <col min="21" max="21" width="6.140625" style="1" bestFit="1" customWidth="1"/>
    <col min="22" max="22" width="5.7109375" style="1" bestFit="1" customWidth="1"/>
    <col min="23" max="23" width="6.140625" style="1" customWidth="1"/>
    <col min="24" max="24" width="5.140625" style="1" bestFit="1" customWidth="1"/>
    <col min="25" max="25" width="6.140625" style="1" bestFit="1" customWidth="1"/>
    <col min="26" max="26" width="5.140625" style="1" bestFit="1" customWidth="1"/>
    <col min="27" max="27" width="5.7109375" style="1" bestFit="1" customWidth="1"/>
    <col min="28" max="28" width="4.7109375" style="1" bestFit="1" customWidth="1"/>
    <col min="29" max="29" width="9.140625" style="1" customWidth="1"/>
    <col min="30" max="30" width="5.7109375" style="1" bestFit="1" customWidth="1"/>
    <col min="31" max="31" width="7.00390625" style="1" bestFit="1" customWidth="1"/>
    <col min="37" max="37" width="12.140625" style="0" bestFit="1" customWidth="1"/>
    <col min="38" max="39" width="4.7109375" style="0" bestFit="1" customWidth="1"/>
    <col min="40" max="43" width="5.7109375" style="0" bestFit="1" customWidth="1"/>
    <col min="44" max="44" width="6.7109375" style="0" bestFit="1" customWidth="1"/>
  </cols>
  <sheetData>
    <row r="1" spans="1:31" ht="13.5" thickBot="1">
      <c r="A1" s="218" t="s">
        <v>44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/>
      <c r="Q1" s="218" t="s">
        <v>42</v>
      </c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20"/>
    </row>
    <row r="2" spans="1:31" ht="12.75">
      <c r="A2" s="221" t="s">
        <v>54</v>
      </c>
      <c r="B2" s="222"/>
      <c r="C2" s="221" t="s">
        <v>53</v>
      </c>
      <c r="D2" s="222"/>
      <c r="E2" s="221" t="s">
        <v>52</v>
      </c>
      <c r="F2" s="222"/>
      <c r="G2" s="221" t="s">
        <v>51</v>
      </c>
      <c r="H2" s="222"/>
      <c r="I2" s="221">
        <v>32</v>
      </c>
      <c r="J2" s="222"/>
      <c r="K2" s="221" t="s">
        <v>50</v>
      </c>
      <c r="L2" s="222"/>
      <c r="M2" s="32"/>
      <c r="N2" s="221" t="s">
        <v>72</v>
      </c>
      <c r="O2" s="222"/>
      <c r="Q2" s="221" t="s">
        <v>54</v>
      </c>
      <c r="R2" s="222"/>
      <c r="S2" s="221" t="s">
        <v>53</v>
      </c>
      <c r="T2" s="222"/>
      <c r="U2" s="221" t="s">
        <v>52</v>
      </c>
      <c r="V2" s="222"/>
      <c r="W2" s="221" t="s">
        <v>51</v>
      </c>
      <c r="X2" s="222"/>
      <c r="Y2" s="221">
        <v>32</v>
      </c>
      <c r="Z2" s="222"/>
      <c r="AA2" s="221" t="s">
        <v>50</v>
      </c>
      <c r="AB2" s="222"/>
      <c r="AC2" s="32"/>
      <c r="AD2" s="221" t="s">
        <v>72</v>
      </c>
      <c r="AE2" s="222"/>
    </row>
    <row r="3" spans="1:31" ht="12.75">
      <c r="A3" s="210">
        <f>10*LOG(A2)</f>
        <v>3.010299956639812</v>
      </c>
      <c r="B3" s="211"/>
      <c r="C3" s="210">
        <f>10*LOG(C2)</f>
        <v>6.020599913279624</v>
      </c>
      <c r="D3" s="211"/>
      <c r="E3" s="210">
        <f>10*LOG(E2)</f>
        <v>9.030899869919436</v>
      </c>
      <c r="F3" s="211"/>
      <c r="G3" s="210">
        <f>10*LOG(G2)</f>
        <v>12.041199826559248</v>
      </c>
      <c r="H3" s="211"/>
      <c r="I3" s="210">
        <v>15.0514997831991</v>
      </c>
      <c r="J3" s="211"/>
      <c r="K3" s="210">
        <f>10*LOG(K2)</f>
        <v>18.06179973983887</v>
      </c>
      <c r="L3" s="211"/>
      <c r="M3" s="32"/>
      <c r="N3" s="210">
        <f>10*LOG(N2)</f>
        <v>21.072099696478684</v>
      </c>
      <c r="O3" s="211"/>
      <c r="Q3" s="210">
        <f>10*LOG(Q2)</f>
        <v>3.010299956639812</v>
      </c>
      <c r="R3" s="211"/>
      <c r="S3" s="210">
        <f>10*LOG(S2)</f>
        <v>6.020599913279624</v>
      </c>
      <c r="T3" s="211"/>
      <c r="U3" s="210">
        <f>10*LOG(U2)</f>
        <v>9.030899869919436</v>
      </c>
      <c r="V3" s="211"/>
      <c r="W3" s="210">
        <f>10*LOG(W2)</f>
        <v>12.041199826559248</v>
      </c>
      <c r="X3" s="211"/>
      <c r="Y3" s="210">
        <v>15.0514997831991</v>
      </c>
      <c r="Z3" s="211"/>
      <c r="AA3" s="210">
        <f>10*LOG(AA2)</f>
        <v>18.06179973983887</v>
      </c>
      <c r="AB3" s="211"/>
      <c r="AC3" s="32"/>
      <c r="AD3" s="210">
        <f>10*LOG(AD2)</f>
        <v>21.072099696478684</v>
      </c>
      <c r="AE3" s="211"/>
    </row>
    <row r="4" spans="1:31" ht="12.75">
      <c r="A4" s="9">
        <v>3.6</v>
      </c>
      <c r="B4" s="10">
        <v>0.2</v>
      </c>
      <c r="C4" s="9">
        <v>7.4</v>
      </c>
      <c r="D4" s="10"/>
      <c r="E4" s="9">
        <v>10.8</v>
      </c>
      <c r="F4" s="10">
        <v>1.5</v>
      </c>
      <c r="G4" s="9">
        <v>14.4</v>
      </c>
      <c r="H4" s="10">
        <v>2</v>
      </c>
      <c r="I4" s="9">
        <v>18</v>
      </c>
      <c r="J4" s="10">
        <v>2.5</v>
      </c>
      <c r="K4" s="212" t="s">
        <v>271</v>
      </c>
      <c r="L4" s="213"/>
      <c r="M4" s="32"/>
      <c r="N4" s="212" t="s">
        <v>271</v>
      </c>
      <c r="O4" s="213"/>
      <c r="Q4" s="9">
        <v>3.9</v>
      </c>
      <c r="R4" s="10">
        <v>0.5</v>
      </c>
      <c r="S4" s="9">
        <v>6.64</v>
      </c>
      <c r="T4" s="10">
        <v>0.36</v>
      </c>
      <c r="U4" s="9">
        <v>10.27</v>
      </c>
      <c r="V4" s="10">
        <v>1.01</v>
      </c>
      <c r="W4" s="9">
        <v>13.58</v>
      </c>
      <c r="X4" s="10">
        <v>1.01</v>
      </c>
      <c r="Y4" s="9">
        <v>16.62</v>
      </c>
      <c r="Z4" s="10">
        <v>1.01</v>
      </c>
      <c r="AA4" s="9">
        <v>20.5</v>
      </c>
      <c r="AB4" s="10">
        <v>2</v>
      </c>
      <c r="AC4" s="32"/>
      <c r="AD4" s="212" t="s">
        <v>271</v>
      </c>
      <c r="AE4" s="213"/>
    </row>
    <row r="5" spans="1:31" ht="12.75">
      <c r="A5" s="9"/>
      <c r="B5" s="10"/>
      <c r="C5" s="9">
        <v>7.2</v>
      </c>
      <c r="D5" s="10">
        <v>0.8</v>
      </c>
      <c r="E5" s="9"/>
      <c r="F5" s="10"/>
      <c r="G5" s="9"/>
      <c r="H5" s="10"/>
      <c r="I5" s="9"/>
      <c r="J5" s="10"/>
      <c r="K5" s="214"/>
      <c r="L5" s="215"/>
      <c r="M5" s="32"/>
      <c r="N5" s="214"/>
      <c r="O5" s="215"/>
      <c r="Q5" s="9"/>
      <c r="R5" s="10"/>
      <c r="S5" s="9">
        <v>7</v>
      </c>
      <c r="T5" s="10">
        <v>0.8</v>
      </c>
      <c r="U5" s="9">
        <v>11.5</v>
      </c>
      <c r="V5" s="10">
        <v>1</v>
      </c>
      <c r="W5" s="9">
        <v>14.5</v>
      </c>
      <c r="X5" s="10">
        <v>1.5</v>
      </c>
      <c r="Y5" s="9">
        <v>17.5</v>
      </c>
      <c r="Z5" s="10">
        <v>2</v>
      </c>
      <c r="AA5" s="9">
        <v>21</v>
      </c>
      <c r="AB5" s="10">
        <v>2.5</v>
      </c>
      <c r="AC5" s="32"/>
      <c r="AD5" s="214"/>
      <c r="AE5" s="215"/>
    </row>
    <row r="6" spans="1:31" ht="12.75">
      <c r="A6" s="9"/>
      <c r="B6" s="10"/>
      <c r="C6" s="9">
        <v>7.2</v>
      </c>
      <c r="D6" s="10"/>
      <c r="E6" s="9">
        <v>10.2</v>
      </c>
      <c r="F6" s="10">
        <v>0.9</v>
      </c>
      <c r="G6" s="9">
        <v>13.6</v>
      </c>
      <c r="H6" s="10">
        <v>0.8</v>
      </c>
      <c r="I6" s="9">
        <v>17</v>
      </c>
      <c r="J6" s="10">
        <v>1.5</v>
      </c>
      <c r="K6" s="214"/>
      <c r="L6" s="215"/>
      <c r="M6" s="32"/>
      <c r="N6" s="214"/>
      <c r="O6" s="215"/>
      <c r="Q6" s="9"/>
      <c r="R6" s="10"/>
      <c r="S6" s="9">
        <v>7.5</v>
      </c>
      <c r="T6" s="10">
        <v>0.6</v>
      </c>
      <c r="U6" s="9">
        <v>11</v>
      </c>
      <c r="V6" s="10">
        <v>0.8</v>
      </c>
      <c r="W6" s="9">
        <v>14</v>
      </c>
      <c r="X6" s="10">
        <v>1.2</v>
      </c>
      <c r="Y6" s="9">
        <v>18</v>
      </c>
      <c r="Z6" s="10">
        <v>1.7</v>
      </c>
      <c r="AA6" s="9">
        <v>22</v>
      </c>
      <c r="AB6" s="10">
        <v>3</v>
      </c>
      <c r="AC6" s="32"/>
      <c r="AD6" s="214"/>
      <c r="AE6" s="215"/>
    </row>
    <row r="7" spans="1:44" ht="12.75">
      <c r="A7" s="9">
        <v>3.6</v>
      </c>
      <c r="B7" s="10">
        <v>0.2</v>
      </c>
      <c r="C7" s="9">
        <v>6.8</v>
      </c>
      <c r="D7" s="10">
        <v>0.6</v>
      </c>
      <c r="E7" s="9">
        <v>11.4</v>
      </c>
      <c r="F7" s="10">
        <v>0.6</v>
      </c>
      <c r="G7" s="9">
        <v>14.5</v>
      </c>
      <c r="H7" s="10">
        <v>0.5</v>
      </c>
      <c r="I7" s="9">
        <v>18.3</v>
      </c>
      <c r="J7" s="10">
        <v>0.5</v>
      </c>
      <c r="K7" s="214"/>
      <c r="L7" s="215"/>
      <c r="M7" s="32"/>
      <c r="N7" s="214"/>
      <c r="O7" s="215"/>
      <c r="Q7" s="9"/>
      <c r="R7" s="10"/>
      <c r="S7" s="9">
        <v>7.4</v>
      </c>
      <c r="T7" s="10">
        <v>0.8</v>
      </c>
      <c r="U7" s="9">
        <v>10.4</v>
      </c>
      <c r="V7" s="10">
        <v>1</v>
      </c>
      <c r="W7" s="9">
        <v>13.8</v>
      </c>
      <c r="X7" s="10">
        <v>1.3</v>
      </c>
      <c r="Y7" s="9">
        <v>16.8</v>
      </c>
      <c r="Z7" s="10">
        <v>2</v>
      </c>
      <c r="AA7" s="9"/>
      <c r="AB7" s="10"/>
      <c r="AC7" s="32"/>
      <c r="AD7" s="214"/>
      <c r="AE7" s="215"/>
      <c r="AK7" s="1" t="s">
        <v>274</v>
      </c>
      <c r="AL7" s="141">
        <v>2</v>
      </c>
      <c r="AM7" s="141">
        <v>4</v>
      </c>
      <c r="AN7" s="141">
        <v>8</v>
      </c>
      <c r="AO7" s="141">
        <v>16</v>
      </c>
      <c r="AP7" s="141">
        <v>32</v>
      </c>
      <c r="AQ7" s="141">
        <v>64</v>
      </c>
      <c r="AR7" s="141">
        <v>128</v>
      </c>
    </row>
    <row r="8" spans="1:44" ht="12.75">
      <c r="A8" s="9">
        <v>3.5</v>
      </c>
      <c r="B8" s="10">
        <v>0.2</v>
      </c>
      <c r="C8" s="9">
        <v>7.4</v>
      </c>
      <c r="D8" s="10">
        <v>0.2</v>
      </c>
      <c r="E8" s="9"/>
      <c r="F8" s="10"/>
      <c r="G8" s="9"/>
      <c r="H8" s="10"/>
      <c r="I8" s="9"/>
      <c r="J8" s="10"/>
      <c r="K8" s="214"/>
      <c r="L8" s="215"/>
      <c r="M8" s="32"/>
      <c r="N8" s="214"/>
      <c r="O8" s="215"/>
      <c r="Q8" s="9"/>
      <c r="R8" s="10"/>
      <c r="S8" s="9">
        <v>7</v>
      </c>
      <c r="T8" s="10">
        <v>1</v>
      </c>
      <c r="U8" s="9">
        <v>10.4</v>
      </c>
      <c r="V8" s="10">
        <v>1.6</v>
      </c>
      <c r="W8" s="9">
        <v>14</v>
      </c>
      <c r="X8" s="10">
        <v>2.4</v>
      </c>
      <c r="Y8" s="9">
        <v>17.5</v>
      </c>
      <c r="Z8" s="10">
        <v>3</v>
      </c>
      <c r="AA8" s="9"/>
      <c r="AB8" s="10"/>
      <c r="AC8" s="32"/>
      <c r="AD8" s="214"/>
      <c r="AE8" s="215"/>
      <c r="AK8" s="1" t="s">
        <v>275</v>
      </c>
      <c r="AL8" s="2">
        <v>3.4</v>
      </c>
      <c r="AM8" s="2">
        <v>6.7</v>
      </c>
      <c r="AN8" s="2">
        <v>10</v>
      </c>
      <c r="AO8" s="2">
        <v>13</v>
      </c>
      <c r="AP8" s="2">
        <v>16.5</v>
      </c>
      <c r="AQ8" s="2">
        <v>19.669941510064646</v>
      </c>
      <c r="AR8" s="2">
        <v>22.919931761742088</v>
      </c>
    </row>
    <row r="9" spans="1:44" ht="12.75">
      <c r="A9" s="9">
        <v>3.6</v>
      </c>
      <c r="B9" s="10">
        <v>0.8</v>
      </c>
      <c r="C9" s="9">
        <v>7.7</v>
      </c>
      <c r="D9" s="10">
        <v>0.4</v>
      </c>
      <c r="E9" s="9"/>
      <c r="F9" s="10"/>
      <c r="G9" s="9"/>
      <c r="H9" s="10"/>
      <c r="I9" s="9"/>
      <c r="J9" s="10"/>
      <c r="K9" s="214"/>
      <c r="L9" s="215"/>
      <c r="M9" s="32"/>
      <c r="N9" s="214"/>
      <c r="O9" s="215"/>
      <c r="Q9" s="9">
        <v>4.5</v>
      </c>
      <c r="R9" s="10"/>
      <c r="S9" s="9">
        <v>7.5</v>
      </c>
      <c r="T9" s="10">
        <v>0.8</v>
      </c>
      <c r="U9" s="9">
        <v>10.8</v>
      </c>
      <c r="V9" s="10">
        <v>1</v>
      </c>
      <c r="W9" s="9">
        <v>14</v>
      </c>
      <c r="X9" s="10">
        <v>1.5</v>
      </c>
      <c r="Y9" s="9">
        <v>17.2</v>
      </c>
      <c r="Z9" s="10">
        <v>1.8</v>
      </c>
      <c r="AA9" s="9"/>
      <c r="AB9" s="10"/>
      <c r="AC9" s="32"/>
      <c r="AD9" s="214"/>
      <c r="AE9" s="215"/>
      <c r="AK9" s="1" t="s">
        <v>276</v>
      </c>
      <c r="AL9" s="2">
        <v>3.625</v>
      </c>
      <c r="AM9" s="2">
        <v>7.21875</v>
      </c>
      <c r="AN9" s="2">
        <v>10.718181818181819</v>
      </c>
      <c r="AO9" s="2">
        <v>13.945454545454545</v>
      </c>
      <c r="AP9" s="2">
        <v>17.3</v>
      </c>
      <c r="AQ9" s="2">
        <v>20.78458741152897</v>
      </c>
      <c r="AR9" s="2">
        <v>24.192268646783802</v>
      </c>
    </row>
    <row r="10" spans="1:44" ht="12.75">
      <c r="A10" s="9"/>
      <c r="B10" s="10"/>
      <c r="C10" s="9">
        <v>7.3</v>
      </c>
      <c r="D10" s="10">
        <v>0.4</v>
      </c>
      <c r="E10" s="9">
        <v>11.4</v>
      </c>
      <c r="F10" s="10">
        <v>0.6</v>
      </c>
      <c r="G10" s="9">
        <v>14.5</v>
      </c>
      <c r="H10" s="10">
        <v>0.5</v>
      </c>
      <c r="I10" s="9"/>
      <c r="J10" s="10"/>
      <c r="K10" s="214"/>
      <c r="L10" s="215"/>
      <c r="M10" s="32"/>
      <c r="N10" s="214"/>
      <c r="O10" s="215"/>
      <c r="Q10" s="9"/>
      <c r="R10" s="10"/>
      <c r="S10" s="9">
        <v>6.4</v>
      </c>
      <c r="T10" s="10">
        <v>0.6</v>
      </c>
      <c r="U10" s="9">
        <v>9.7</v>
      </c>
      <c r="V10" s="10">
        <v>1</v>
      </c>
      <c r="W10" s="9">
        <v>12.9</v>
      </c>
      <c r="X10" s="10">
        <v>1.5</v>
      </c>
      <c r="Y10" s="9"/>
      <c r="Z10" s="10"/>
      <c r="AA10" s="9"/>
      <c r="AB10" s="10"/>
      <c r="AC10" s="32"/>
      <c r="AD10" s="214"/>
      <c r="AE10" s="215"/>
      <c r="AK10" s="1" t="s">
        <v>277</v>
      </c>
      <c r="AL10" s="2">
        <v>3.9</v>
      </c>
      <c r="AM10" s="2">
        <v>7.7</v>
      </c>
      <c r="AN10" s="2">
        <v>11.4</v>
      </c>
      <c r="AO10" s="2">
        <v>14.5</v>
      </c>
      <c r="AP10" s="2">
        <v>18.3</v>
      </c>
      <c r="AQ10" s="2">
        <v>21.839794024943092</v>
      </c>
      <c r="AR10" s="2">
        <v>25.39975969576694</v>
      </c>
    </row>
    <row r="11" spans="1:31" ht="12.75">
      <c r="A11" s="9">
        <v>3.9</v>
      </c>
      <c r="B11" s="10">
        <v>0.5</v>
      </c>
      <c r="C11" s="9">
        <v>7.4</v>
      </c>
      <c r="D11" s="10">
        <v>0.2</v>
      </c>
      <c r="E11" s="9">
        <v>11</v>
      </c>
      <c r="F11" s="10">
        <v>0.6</v>
      </c>
      <c r="G11" s="9">
        <v>14</v>
      </c>
      <c r="H11" s="10">
        <v>0.5</v>
      </c>
      <c r="I11" s="9"/>
      <c r="J11" s="10"/>
      <c r="K11" s="214"/>
      <c r="L11" s="215"/>
      <c r="M11" s="32"/>
      <c r="N11" s="214"/>
      <c r="O11" s="215"/>
      <c r="Q11" s="9"/>
      <c r="R11" s="10"/>
      <c r="S11" s="9">
        <v>6.6</v>
      </c>
      <c r="T11" s="10">
        <v>1</v>
      </c>
      <c r="U11" s="9">
        <v>9.9</v>
      </c>
      <c r="V11" s="10">
        <v>1.5</v>
      </c>
      <c r="W11" s="9">
        <v>13.3</v>
      </c>
      <c r="X11" s="10">
        <v>2.1</v>
      </c>
      <c r="Y11" s="9"/>
      <c r="Z11" s="10"/>
      <c r="AA11" s="9"/>
      <c r="AB11" s="10"/>
      <c r="AC11" s="32"/>
      <c r="AD11" s="214"/>
      <c r="AE11" s="215"/>
    </row>
    <row r="12" spans="1:44" ht="12.75">
      <c r="A12" s="9"/>
      <c r="B12" s="10"/>
      <c r="C12" s="9">
        <v>7.2</v>
      </c>
      <c r="D12" s="10">
        <v>0.3</v>
      </c>
      <c r="E12" s="9">
        <v>10.7</v>
      </c>
      <c r="F12" s="10">
        <v>1.3</v>
      </c>
      <c r="G12" s="9">
        <v>14</v>
      </c>
      <c r="H12" s="10">
        <v>1.6</v>
      </c>
      <c r="I12" s="9">
        <v>17.6</v>
      </c>
      <c r="J12" s="10">
        <v>1.9</v>
      </c>
      <c r="K12" s="214"/>
      <c r="L12" s="215"/>
      <c r="M12" s="32"/>
      <c r="N12" s="214"/>
      <c r="O12" s="215"/>
      <c r="Q12" s="9"/>
      <c r="R12" s="10"/>
      <c r="S12" s="9">
        <v>6.8</v>
      </c>
      <c r="T12" s="10">
        <v>1.3</v>
      </c>
      <c r="U12" s="9">
        <v>10.3</v>
      </c>
      <c r="V12" s="10">
        <v>2</v>
      </c>
      <c r="W12" s="9">
        <v>13.7</v>
      </c>
      <c r="X12" s="10">
        <v>2.7</v>
      </c>
      <c r="Y12" s="9"/>
      <c r="Z12" s="10"/>
      <c r="AA12" s="9"/>
      <c r="AB12" s="10"/>
      <c r="AC12" s="32"/>
      <c r="AD12" s="214"/>
      <c r="AE12" s="215"/>
      <c r="AK12" s="1" t="s">
        <v>274</v>
      </c>
      <c r="AL12" s="141">
        <v>2</v>
      </c>
      <c r="AM12" s="141">
        <v>4</v>
      </c>
      <c r="AN12" s="141">
        <v>8</v>
      </c>
      <c r="AO12" s="141">
        <v>16</v>
      </c>
      <c r="AP12" s="141">
        <v>32</v>
      </c>
      <c r="AQ12" s="141">
        <v>64</v>
      </c>
      <c r="AR12" s="141">
        <v>128</v>
      </c>
    </row>
    <row r="13" spans="1:44" ht="12.75">
      <c r="A13" s="9"/>
      <c r="B13" s="10"/>
      <c r="C13" s="9">
        <v>7.2</v>
      </c>
      <c r="D13" s="10">
        <v>1</v>
      </c>
      <c r="E13" s="9">
        <v>10.8</v>
      </c>
      <c r="F13" s="10">
        <v>1</v>
      </c>
      <c r="G13" s="9">
        <v>14</v>
      </c>
      <c r="H13" s="10">
        <v>1.5</v>
      </c>
      <c r="I13" s="9">
        <v>16.5</v>
      </c>
      <c r="J13" s="10">
        <v>1.8</v>
      </c>
      <c r="K13" s="214"/>
      <c r="L13" s="215"/>
      <c r="M13" s="32"/>
      <c r="N13" s="214"/>
      <c r="O13" s="215"/>
      <c r="Q13" s="9">
        <v>3.4</v>
      </c>
      <c r="R13" s="10">
        <v>1</v>
      </c>
      <c r="S13" s="9">
        <v>7.1</v>
      </c>
      <c r="T13" s="10">
        <v>1.7</v>
      </c>
      <c r="U13" s="9">
        <v>10.7</v>
      </c>
      <c r="V13" s="10">
        <v>2.7</v>
      </c>
      <c r="W13" s="9">
        <v>14.4</v>
      </c>
      <c r="X13" s="10">
        <v>3.7</v>
      </c>
      <c r="Y13" s="9"/>
      <c r="Z13" s="10"/>
      <c r="AA13" s="9"/>
      <c r="AB13" s="10"/>
      <c r="AC13" s="32"/>
      <c r="AD13" s="214"/>
      <c r="AE13" s="215"/>
      <c r="AK13" s="1" t="s">
        <v>275</v>
      </c>
      <c r="AL13" s="2">
        <v>3.4</v>
      </c>
      <c r="AM13" s="2">
        <v>6.4</v>
      </c>
      <c r="AN13" s="2">
        <v>9.7</v>
      </c>
      <c r="AO13" s="2">
        <v>12.9</v>
      </c>
      <c r="AP13" s="2">
        <v>16.2</v>
      </c>
      <c r="AQ13" s="2">
        <v>20.5</v>
      </c>
      <c r="AR13" s="2">
        <v>22.77311840990623</v>
      </c>
    </row>
    <row r="14" spans="1:44" ht="12.75">
      <c r="A14" s="9">
        <v>3.4</v>
      </c>
      <c r="B14" s="10">
        <v>0.5</v>
      </c>
      <c r="C14" s="9">
        <v>7.5</v>
      </c>
      <c r="D14" s="10">
        <v>0.8</v>
      </c>
      <c r="E14" s="9">
        <v>10.7</v>
      </c>
      <c r="F14" s="10">
        <v>1.5</v>
      </c>
      <c r="G14" s="9">
        <v>14.5</v>
      </c>
      <c r="H14" s="10">
        <v>2</v>
      </c>
      <c r="I14" s="9"/>
      <c r="J14" s="10"/>
      <c r="K14" s="214"/>
      <c r="L14" s="215"/>
      <c r="M14" s="32"/>
      <c r="N14" s="214"/>
      <c r="O14" s="215"/>
      <c r="Q14" s="9">
        <v>3.6</v>
      </c>
      <c r="R14" s="10" t="s">
        <v>127</v>
      </c>
      <c r="S14" s="9">
        <v>7.4</v>
      </c>
      <c r="T14" s="10">
        <v>0.9</v>
      </c>
      <c r="U14" s="9">
        <v>10.8</v>
      </c>
      <c r="V14" s="10">
        <v>1</v>
      </c>
      <c r="W14" s="9">
        <v>14.1</v>
      </c>
      <c r="X14" s="10">
        <v>1.3</v>
      </c>
      <c r="Y14" s="9">
        <v>17.3</v>
      </c>
      <c r="Z14" s="10">
        <v>1.6</v>
      </c>
      <c r="AA14" s="9"/>
      <c r="AB14" s="10"/>
      <c r="AC14" s="32"/>
      <c r="AD14" s="214"/>
      <c r="AE14" s="215"/>
      <c r="AK14" s="1" t="s">
        <v>276</v>
      </c>
      <c r="AL14" s="2">
        <v>3.78</v>
      </c>
      <c r="AM14" s="2">
        <v>7.3</v>
      </c>
      <c r="AN14" s="2">
        <v>10.75</v>
      </c>
      <c r="AO14" s="2">
        <v>14.032</v>
      </c>
      <c r="AP14" s="2">
        <v>17.333333333333336</v>
      </c>
      <c r="AQ14" s="2">
        <v>21.5</v>
      </c>
      <c r="AR14" s="2">
        <v>24.647225630290013</v>
      </c>
    </row>
    <row r="15" spans="1:44" ht="12.75">
      <c r="A15" s="9">
        <v>3.6</v>
      </c>
      <c r="B15" s="10" t="s">
        <v>127</v>
      </c>
      <c r="C15" s="9">
        <v>7.3</v>
      </c>
      <c r="D15" s="10">
        <v>1</v>
      </c>
      <c r="E15" s="9"/>
      <c r="F15" s="10"/>
      <c r="G15" s="9"/>
      <c r="H15" s="10"/>
      <c r="I15" s="9">
        <v>17.2</v>
      </c>
      <c r="J15" s="10">
        <v>1.8</v>
      </c>
      <c r="K15" s="214"/>
      <c r="L15" s="215"/>
      <c r="M15" s="32"/>
      <c r="N15" s="214"/>
      <c r="O15" s="215"/>
      <c r="Q15" s="9">
        <v>3.8</v>
      </c>
      <c r="R15" s="10">
        <v>1</v>
      </c>
      <c r="S15" s="9">
        <v>7</v>
      </c>
      <c r="T15" s="10">
        <v>0.5</v>
      </c>
      <c r="U15" s="9">
        <v>10.3</v>
      </c>
      <c r="V15" s="10">
        <v>0.5</v>
      </c>
      <c r="W15" s="9">
        <v>13.4</v>
      </c>
      <c r="X15" s="10">
        <v>0.8</v>
      </c>
      <c r="Y15" s="9">
        <v>16.8</v>
      </c>
      <c r="Z15" s="10">
        <v>0.9</v>
      </c>
      <c r="AA15" s="9"/>
      <c r="AB15" s="10"/>
      <c r="AC15" s="32"/>
      <c r="AD15" s="214"/>
      <c r="AE15" s="215"/>
      <c r="AK15" s="1" t="s">
        <v>277</v>
      </c>
      <c r="AL15" s="2">
        <v>4.5</v>
      </c>
      <c r="AM15" s="2">
        <v>8</v>
      </c>
      <c r="AN15" s="2">
        <v>11.6</v>
      </c>
      <c r="AO15" s="2">
        <v>14.7</v>
      </c>
      <c r="AP15" s="2">
        <v>18.5</v>
      </c>
      <c r="AQ15" s="2">
        <v>22</v>
      </c>
      <c r="AR15" s="2">
        <v>25.42670057858322</v>
      </c>
    </row>
    <row r="16" spans="1:33" ht="12.75">
      <c r="A16" s="9">
        <v>3.8</v>
      </c>
      <c r="B16" s="10">
        <v>1.2</v>
      </c>
      <c r="C16" s="9"/>
      <c r="D16" s="10"/>
      <c r="E16" s="9">
        <v>10.7</v>
      </c>
      <c r="F16" s="10">
        <v>1</v>
      </c>
      <c r="G16" s="9">
        <v>14</v>
      </c>
      <c r="H16" s="10">
        <v>1.3</v>
      </c>
      <c r="I16" s="9">
        <v>17.5</v>
      </c>
      <c r="J16" s="10">
        <v>1.5</v>
      </c>
      <c r="K16" s="214"/>
      <c r="L16" s="215"/>
      <c r="M16" s="32"/>
      <c r="N16" s="214"/>
      <c r="O16" s="215"/>
      <c r="Q16" s="9">
        <v>3.6</v>
      </c>
      <c r="R16" s="10">
        <v>1.1</v>
      </c>
      <c r="S16" s="9"/>
      <c r="T16" s="10"/>
      <c r="U16" s="9">
        <v>11.6</v>
      </c>
      <c r="V16" s="10">
        <v>2</v>
      </c>
      <c r="W16" s="9"/>
      <c r="X16" s="10"/>
      <c r="Y16" s="9"/>
      <c r="Z16" s="10"/>
      <c r="AA16" s="9"/>
      <c r="AB16" s="10"/>
      <c r="AC16" s="32"/>
      <c r="AD16" s="214"/>
      <c r="AE16" s="215"/>
      <c r="AF16" s="1"/>
      <c r="AG16" s="1"/>
    </row>
    <row r="17" spans="1:33" ht="12.75">
      <c r="A17" s="9">
        <v>3.6</v>
      </c>
      <c r="B17" s="10">
        <v>1</v>
      </c>
      <c r="C17" s="9">
        <v>7.5</v>
      </c>
      <c r="D17" s="10">
        <v>0.6</v>
      </c>
      <c r="E17" s="9"/>
      <c r="F17" s="10"/>
      <c r="G17" s="9"/>
      <c r="H17" s="10"/>
      <c r="I17" s="9"/>
      <c r="J17" s="10"/>
      <c r="K17" s="214"/>
      <c r="L17" s="215"/>
      <c r="M17" s="32"/>
      <c r="N17" s="214"/>
      <c r="O17" s="215"/>
      <c r="Q17" s="9"/>
      <c r="R17" s="10"/>
      <c r="S17" s="9">
        <v>7.4</v>
      </c>
      <c r="T17" s="10">
        <v>0.8</v>
      </c>
      <c r="U17" s="9">
        <v>10.3</v>
      </c>
      <c r="V17" s="10">
        <v>1</v>
      </c>
      <c r="W17" s="9">
        <v>14</v>
      </c>
      <c r="X17" s="10">
        <v>1.3</v>
      </c>
      <c r="Y17" s="9">
        <v>17.4</v>
      </c>
      <c r="Z17" s="10">
        <v>1.5</v>
      </c>
      <c r="AA17" s="9"/>
      <c r="AB17" s="10"/>
      <c r="AC17" s="32"/>
      <c r="AD17" s="214"/>
      <c r="AE17" s="215"/>
      <c r="AF17" s="1"/>
      <c r="AG17" s="1"/>
    </row>
    <row r="18" spans="1:33" ht="12.75">
      <c r="A18" s="9"/>
      <c r="B18" s="10"/>
      <c r="C18" s="9"/>
      <c r="D18" s="10"/>
      <c r="E18" s="9">
        <v>10</v>
      </c>
      <c r="F18" s="10">
        <v>1.2</v>
      </c>
      <c r="G18" s="9">
        <v>13</v>
      </c>
      <c r="H18" s="10">
        <v>2.4</v>
      </c>
      <c r="I18" s="9">
        <v>17</v>
      </c>
      <c r="J18" s="10">
        <v>3.2</v>
      </c>
      <c r="K18" s="214"/>
      <c r="L18" s="215"/>
      <c r="M18" s="32"/>
      <c r="N18" s="214"/>
      <c r="O18" s="215"/>
      <c r="Q18" s="9"/>
      <c r="R18" s="10"/>
      <c r="S18" s="9">
        <v>7.3</v>
      </c>
      <c r="T18" s="10">
        <v>0.75</v>
      </c>
      <c r="U18" s="9">
        <v>10.6</v>
      </c>
      <c r="V18" s="10">
        <v>1</v>
      </c>
      <c r="W18" s="9">
        <v>14</v>
      </c>
      <c r="X18" s="10">
        <v>1.5</v>
      </c>
      <c r="Y18" s="9">
        <v>17.3</v>
      </c>
      <c r="Z18" s="10">
        <v>2.3</v>
      </c>
      <c r="AA18" s="9"/>
      <c r="AB18" s="10"/>
      <c r="AC18" s="32"/>
      <c r="AD18" s="214"/>
      <c r="AE18" s="215"/>
      <c r="AF18" s="1"/>
      <c r="AG18" s="1"/>
    </row>
    <row r="19" spans="1:33" ht="12.75">
      <c r="A19" s="9"/>
      <c r="B19" s="10"/>
      <c r="C19" s="9">
        <v>6.7</v>
      </c>
      <c r="D19" s="10">
        <v>0.8</v>
      </c>
      <c r="E19" s="9">
        <v>11</v>
      </c>
      <c r="F19" s="10">
        <v>3</v>
      </c>
      <c r="G19" s="9">
        <v>14</v>
      </c>
      <c r="H19" s="10">
        <v>3.8</v>
      </c>
      <c r="I19" s="9">
        <v>18</v>
      </c>
      <c r="J19" s="10">
        <v>5</v>
      </c>
      <c r="K19" s="214"/>
      <c r="L19" s="215"/>
      <c r="M19" s="32"/>
      <c r="N19" s="214"/>
      <c r="O19" s="215"/>
      <c r="Q19" s="9"/>
      <c r="R19" s="10"/>
      <c r="S19" s="9">
        <v>7.9</v>
      </c>
      <c r="T19" s="10"/>
      <c r="U19" s="9">
        <v>11.2</v>
      </c>
      <c r="V19" s="10"/>
      <c r="W19" s="9">
        <v>14.5</v>
      </c>
      <c r="X19" s="10"/>
      <c r="Y19" s="9"/>
      <c r="Z19" s="10"/>
      <c r="AA19" s="9"/>
      <c r="AB19" s="10"/>
      <c r="AC19" s="32"/>
      <c r="AD19" s="214"/>
      <c r="AE19" s="215"/>
      <c r="AF19" s="1"/>
      <c r="AG19" s="1"/>
    </row>
    <row r="20" spans="1:33" ht="12.75">
      <c r="A20" s="9"/>
      <c r="B20" s="10"/>
      <c r="C20" s="9">
        <v>7.2</v>
      </c>
      <c r="D20" s="10">
        <v>1.2</v>
      </c>
      <c r="E20" s="9"/>
      <c r="F20" s="10"/>
      <c r="G20" s="9"/>
      <c r="H20" s="10"/>
      <c r="I20" s="9"/>
      <c r="J20" s="10"/>
      <c r="K20" s="214"/>
      <c r="L20" s="215"/>
      <c r="M20" s="32"/>
      <c r="N20" s="214"/>
      <c r="O20" s="215"/>
      <c r="Q20" s="9"/>
      <c r="R20" s="10"/>
      <c r="S20" s="9">
        <v>7.3</v>
      </c>
      <c r="T20" s="10">
        <v>0.5</v>
      </c>
      <c r="U20" s="9">
        <v>10.5</v>
      </c>
      <c r="V20" s="10">
        <v>0.8</v>
      </c>
      <c r="W20" s="9">
        <v>13.8</v>
      </c>
      <c r="X20" s="10">
        <v>1</v>
      </c>
      <c r="Y20" s="9">
        <v>17.1</v>
      </c>
      <c r="Z20" s="10">
        <v>1.3</v>
      </c>
      <c r="AA20" s="9"/>
      <c r="AB20" s="10"/>
      <c r="AC20" s="32"/>
      <c r="AD20" s="214"/>
      <c r="AE20" s="215"/>
      <c r="AF20" s="1"/>
      <c r="AG20" s="1"/>
    </row>
    <row r="21" spans="1:32" ht="12.75">
      <c r="A21" s="9"/>
      <c r="B21" s="10"/>
      <c r="C21" s="9">
        <v>7.2</v>
      </c>
      <c r="D21" s="10">
        <v>1.5</v>
      </c>
      <c r="E21" s="9">
        <v>10</v>
      </c>
      <c r="F21" s="10">
        <v>1.8</v>
      </c>
      <c r="G21" s="9">
        <v>13.3</v>
      </c>
      <c r="H21" s="10">
        <v>2.4</v>
      </c>
      <c r="I21" s="9">
        <v>16.6</v>
      </c>
      <c r="J21" s="10">
        <v>3</v>
      </c>
      <c r="K21" s="214"/>
      <c r="L21" s="215"/>
      <c r="M21" s="32"/>
      <c r="N21" s="214"/>
      <c r="O21" s="215"/>
      <c r="Q21" s="9"/>
      <c r="R21" s="10"/>
      <c r="S21" s="9">
        <v>7.5</v>
      </c>
      <c r="T21" s="10">
        <v>0.6</v>
      </c>
      <c r="U21" s="9">
        <v>10.9</v>
      </c>
      <c r="V21" s="10">
        <v>1</v>
      </c>
      <c r="W21" s="9">
        <v>14</v>
      </c>
      <c r="X21" s="10">
        <v>1.1</v>
      </c>
      <c r="Y21" s="9">
        <v>17.5</v>
      </c>
      <c r="Z21" s="10">
        <v>1.5</v>
      </c>
      <c r="AA21" s="9"/>
      <c r="AB21" s="10"/>
      <c r="AC21" s="32"/>
      <c r="AD21" s="214"/>
      <c r="AE21" s="215"/>
      <c r="AF21" s="1"/>
    </row>
    <row r="22" spans="1:32" ht="12.75">
      <c r="A22" s="9"/>
      <c r="B22" s="10"/>
      <c r="C22" s="9">
        <v>6.7</v>
      </c>
      <c r="D22" s="10">
        <v>1.2</v>
      </c>
      <c r="E22" s="9"/>
      <c r="F22" s="10"/>
      <c r="G22" s="9"/>
      <c r="H22" s="10"/>
      <c r="I22" s="9"/>
      <c r="J22" s="10"/>
      <c r="K22" s="214"/>
      <c r="L22" s="215"/>
      <c r="M22" s="32"/>
      <c r="N22" s="214"/>
      <c r="O22" s="215"/>
      <c r="Q22" s="9"/>
      <c r="R22" s="10"/>
      <c r="S22" s="9">
        <v>8</v>
      </c>
      <c r="T22" s="10">
        <v>0.8</v>
      </c>
      <c r="U22" s="9">
        <v>11.4</v>
      </c>
      <c r="V22" s="10">
        <v>1.2</v>
      </c>
      <c r="W22" s="9">
        <v>14.5</v>
      </c>
      <c r="X22" s="10">
        <v>1.4</v>
      </c>
      <c r="Y22" s="9">
        <v>18.5</v>
      </c>
      <c r="Z22" s="10">
        <v>1.7</v>
      </c>
      <c r="AA22" s="9"/>
      <c r="AB22" s="10"/>
      <c r="AC22" s="32"/>
      <c r="AD22" s="214"/>
      <c r="AE22" s="215"/>
      <c r="AF22" s="1"/>
    </row>
    <row r="23" spans="1:32" ht="12.75">
      <c r="A23" s="9"/>
      <c r="B23" s="10"/>
      <c r="C23" s="9"/>
      <c r="D23" s="10"/>
      <c r="E23" s="9"/>
      <c r="F23" s="10"/>
      <c r="G23" s="9"/>
      <c r="H23" s="10"/>
      <c r="I23" s="9"/>
      <c r="J23" s="10"/>
      <c r="K23" s="214"/>
      <c r="L23" s="215"/>
      <c r="M23" s="32"/>
      <c r="N23" s="214"/>
      <c r="O23" s="215"/>
      <c r="Q23" s="9"/>
      <c r="R23" s="10"/>
      <c r="S23" s="9">
        <v>7</v>
      </c>
      <c r="T23" s="10">
        <v>0.7</v>
      </c>
      <c r="U23" s="9">
        <v>10.3</v>
      </c>
      <c r="V23" s="10">
        <v>1</v>
      </c>
      <c r="W23" s="9">
        <v>13.8</v>
      </c>
      <c r="X23" s="10">
        <v>1.6</v>
      </c>
      <c r="Y23" s="9">
        <v>16.9</v>
      </c>
      <c r="Z23" s="10">
        <v>1.9</v>
      </c>
      <c r="AA23" s="9"/>
      <c r="AB23" s="10"/>
      <c r="AC23" s="32"/>
      <c r="AD23" s="214"/>
      <c r="AE23" s="215"/>
      <c r="AF23" s="1"/>
    </row>
    <row r="24" spans="1:31" ht="12.75">
      <c r="A24" s="9"/>
      <c r="B24" s="10"/>
      <c r="C24" s="9"/>
      <c r="D24" s="10"/>
      <c r="E24" s="9"/>
      <c r="F24" s="10"/>
      <c r="G24" s="9"/>
      <c r="H24" s="10"/>
      <c r="I24" s="9"/>
      <c r="J24" s="10"/>
      <c r="K24" s="214"/>
      <c r="L24" s="215"/>
      <c r="M24" s="32"/>
      <c r="N24" s="214"/>
      <c r="O24" s="215"/>
      <c r="Q24" s="9"/>
      <c r="R24" s="10"/>
      <c r="S24" s="9"/>
      <c r="T24" s="10"/>
      <c r="U24" s="9">
        <v>11.5</v>
      </c>
      <c r="V24" s="10">
        <v>1.2</v>
      </c>
      <c r="W24" s="9">
        <v>14.7</v>
      </c>
      <c r="X24" s="10">
        <v>1.7</v>
      </c>
      <c r="Y24" s="9">
        <v>18.3</v>
      </c>
      <c r="Z24" s="10">
        <v>2.2</v>
      </c>
      <c r="AA24" s="9"/>
      <c r="AB24" s="10"/>
      <c r="AC24" s="32"/>
      <c r="AD24" s="214"/>
      <c r="AE24" s="215"/>
    </row>
    <row r="25" spans="1:33" ht="12.75">
      <c r="A25" s="9"/>
      <c r="B25" s="10"/>
      <c r="C25" s="9"/>
      <c r="D25" s="10"/>
      <c r="E25" s="9"/>
      <c r="F25" s="10"/>
      <c r="G25" s="9"/>
      <c r="H25" s="10"/>
      <c r="I25" s="9"/>
      <c r="J25" s="10"/>
      <c r="K25" s="214"/>
      <c r="L25" s="215"/>
      <c r="M25" s="32"/>
      <c r="N25" s="214"/>
      <c r="O25" s="215"/>
      <c r="Q25" s="9"/>
      <c r="R25" s="10"/>
      <c r="S25" s="9">
        <v>8</v>
      </c>
      <c r="T25" s="10">
        <v>1</v>
      </c>
      <c r="U25" s="9">
        <v>11.5</v>
      </c>
      <c r="V25" s="10">
        <v>1.2</v>
      </c>
      <c r="W25" s="9">
        <v>14.7</v>
      </c>
      <c r="X25" s="10">
        <v>1.7</v>
      </c>
      <c r="Y25" s="9">
        <v>18.3</v>
      </c>
      <c r="Z25" s="10">
        <v>2.2</v>
      </c>
      <c r="AA25" s="9"/>
      <c r="AB25" s="10"/>
      <c r="AC25" s="32"/>
      <c r="AD25" s="214"/>
      <c r="AE25" s="215"/>
      <c r="AG25" s="1"/>
    </row>
    <row r="26" spans="1:33" ht="12.75">
      <c r="A26" s="9"/>
      <c r="B26" s="10"/>
      <c r="C26" s="9"/>
      <c r="D26" s="10"/>
      <c r="E26" s="9"/>
      <c r="F26" s="10"/>
      <c r="G26" s="9"/>
      <c r="H26" s="10"/>
      <c r="I26" s="9"/>
      <c r="J26" s="10"/>
      <c r="K26" s="214"/>
      <c r="L26" s="215"/>
      <c r="M26" s="32"/>
      <c r="N26" s="214"/>
      <c r="O26" s="215"/>
      <c r="Q26" s="9"/>
      <c r="R26" s="10"/>
      <c r="S26" s="9">
        <v>7.5</v>
      </c>
      <c r="T26" s="10">
        <v>1</v>
      </c>
      <c r="U26" s="9">
        <v>10.7</v>
      </c>
      <c r="V26" s="10">
        <v>1</v>
      </c>
      <c r="W26" s="9">
        <v>14.2</v>
      </c>
      <c r="X26" s="10">
        <v>1.5</v>
      </c>
      <c r="Y26" s="9">
        <v>17</v>
      </c>
      <c r="Z26" s="10">
        <v>2</v>
      </c>
      <c r="AA26" s="9"/>
      <c r="AB26" s="10"/>
      <c r="AC26" s="32"/>
      <c r="AD26" s="214"/>
      <c r="AE26" s="215"/>
      <c r="AG26" s="1"/>
    </row>
    <row r="27" spans="1:33" ht="12.75">
      <c r="A27" s="9"/>
      <c r="B27" s="10"/>
      <c r="C27" s="9"/>
      <c r="D27" s="10"/>
      <c r="E27" s="9"/>
      <c r="F27" s="10"/>
      <c r="G27" s="9"/>
      <c r="H27" s="10"/>
      <c r="I27" s="9"/>
      <c r="J27" s="10"/>
      <c r="K27" s="214"/>
      <c r="L27" s="215"/>
      <c r="M27" s="32"/>
      <c r="N27" s="214"/>
      <c r="O27" s="215"/>
      <c r="Q27" s="9"/>
      <c r="R27" s="10"/>
      <c r="S27" s="9">
        <v>7.5</v>
      </c>
      <c r="T27" s="10">
        <v>1</v>
      </c>
      <c r="U27" s="9">
        <v>11</v>
      </c>
      <c r="V27" s="10">
        <v>1</v>
      </c>
      <c r="W27" s="9">
        <v>14.2</v>
      </c>
      <c r="X27" s="10">
        <v>1.5</v>
      </c>
      <c r="Y27" s="9">
        <v>17.8</v>
      </c>
      <c r="Z27" s="10">
        <v>2</v>
      </c>
      <c r="AA27" s="9"/>
      <c r="AB27" s="10"/>
      <c r="AC27" s="32"/>
      <c r="AD27" s="214"/>
      <c r="AE27" s="215"/>
      <c r="AG27" s="1"/>
    </row>
    <row r="28" spans="1:33" ht="12.75">
      <c r="A28" s="9"/>
      <c r="B28" s="10"/>
      <c r="C28" s="9"/>
      <c r="D28" s="10"/>
      <c r="E28" s="9"/>
      <c r="F28" s="10"/>
      <c r="G28" s="9"/>
      <c r="H28" s="10"/>
      <c r="I28" s="9"/>
      <c r="J28" s="10"/>
      <c r="K28" s="214"/>
      <c r="L28" s="215"/>
      <c r="M28" s="32"/>
      <c r="N28" s="214"/>
      <c r="O28" s="215"/>
      <c r="Q28" s="9"/>
      <c r="R28" s="10"/>
      <c r="S28" s="9"/>
      <c r="T28" s="10"/>
      <c r="U28" s="9">
        <v>11</v>
      </c>
      <c r="V28" s="10">
        <v>1</v>
      </c>
      <c r="W28" s="9">
        <v>14.5</v>
      </c>
      <c r="X28" s="10">
        <v>1.5</v>
      </c>
      <c r="Y28" s="9">
        <v>17.3</v>
      </c>
      <c r="Z28" s="10">
        <v>2</v>
      </c>
      <c r="AA28" s="9"/>
      <c r="AB28" s="10"/>
      <c r="AC28" s="32"/>
      <c r="AD28" s="214"/>
      <c r="AE28" s="215"/>
      <c r="AG28" s="1"/>
    </row>
    <row r="29" spans="1:31" ht="12.75">
      <c r="A29" s="9"/>
      <c r="B29" s="10"/>
      <c r="C29" s="9"/>
      <c r="D29" s="10"/>
      <c r="E29" s="9"/>
      <c r="F29" s="10"/>
      <c r="G29" s="9"/>
      <c r="H29" s="10"/>
      <c r="I29" s="9"/>
      <c r="J29" s="10"/>
      <c r="K29" s="214"/>
      <c r="L29" s="215"/>
      <c r="M29" s="32"/>
      <c r="N29" s="214"/>
      <c r="O29" s="215"/>
      <c r="Q29" s="9"/>
      <c r="R29" s="10"/>
      <c r="S29" s="9"/>
      <c r="T29" s="10"/>
      <c r="U29" s="9">
        <v>10.4</v>
      </c>
      <c r="V29" s="10">
        <v>0.8</v>
      </c>
      <c r="W29" s="9">
        <v>13.8</v>
      </c>
      <c r="X29" s="10">
        <v>1.3</v>
      </c>
      <c r="Y29" s="9">
        <v>16.8</v>
      </c>
      <c r="Z29" s="10">
        <v>1.5</v>
      </c>
      <c r="AA29" s="9"/>
      <c r="AB29" s="10"/>
      <c r="AC29" s="32"/>
      <c r="AD29" s="214"/>
      <c r="AE29" s="215"/>
    </row>
    <row r="30" spans="1:31" ht="12.75">
      <c r="A30" s="9"/>
      <c r="B30" s="10"/>
      <c r="C30" s="9"/>
      <c r="D30" s="10"/>
      <c r="E30" s="9"/>
      <c r="F30" s="10"/>
      <c r="G30" s="9"/>
      <c r="H30" s="10"/>
      <c r="I30" s="9"/>
      <c r="J30" s="10"/>
      <c r="K30" s="214"/>
      <c r="L30" s="215"/>
      <c r="M30" s="32"/>
      <c r="N30" s="214"/>
      <c r="O30" s="215"/>
      <c r="Q30" s="9"/>
      <c r="R30" s="10"/>
      <c r="S30" s="9">
        <v>7.5</v>
      </c>
      <c r="T30" s="10">
        <v>0.8</v>
      </c>
      <c r="U30" s="9">
        <v>10.8</v>
      </c>
      <c r="V30" s="10">
        <v>1</v>
      </c>
      <c r="W30" s="9">
        <v>14</v>
      </c>
      <c r="X30" s="10">
        <v>1.5</v>
      </c>
      <c r="Y30" s="9">
        <v>16.5</v>
      </c>
      <c r="Z30" s="10">
        <v>1.8</v>
      </c>
      <c r="AA30" s="9"/>
      <c r="AB30" s="10"/>
      <c r="AC30" s="32"/>
      <c r="AD30" s="214"/>
      <c r="AE30" s="215"/>
    </row>
    <row r="31" spans="1:31" ht="12.75">
      <c r="A31" s="9"/>
      <c r="B31" s="10"/>
      <c r="C31" s="9"/>
      <c r="D31" s="10"/>
      <c r="E31" s="9"/>
      <c r="F31" s="10"/>
      <c r="G31" s="9"/>
      <c r="H31" s="10"/>
      <c r="I31" s="9"/>
      <c r="J31" s="10"/>
      <c r="K31" s="214"/>
      <c r="L31" s="215"/>
      <c r="M31" s="32"/>
      <c r="N31" s="214"/>
      <c r="O31" s="215"/>
      <c r="Q31" s="9"/>
      <c r="R31" s="10"/>
      <c r="S31" s="9"/>
      <c r="T31" s="10"/>
      <c r="U31" s="9"/>
      <c r="V31" s="10"/>
      <c r="W31" s="9"/>
      <c r="X31" s="10"/>
      <c r="Y31" s="9">
        <v>16.2</v>
      </c>
      <c r="Z31" s="10">
        <v>1.6</v>
      </c>
      <c r="AA31" s="9"/>
      <c r="AB31" s="10"/>
      <c r="AC31" s="32"/>
      <c r="AD31" s="214"/>
      <c r="AE31" s="215"/>
    </row>
    <row r="32" spans="1:31" ht="12.75">
      <c r="A32" s="9"/>
      <c r="B32" s="10"/>
      <c r="C32" s="9"/>
      <c r="D32" s="10"/>
      <c r="E32" s="9"/>
      <c r="F32" s="10"/>
      <c r="G32" s="9"/>
      <c r="H32" s="10"/>
      <c r="I32" s="9"/>
      <c r="J32" s="10"/>
      <c r="K32" s="214"/>
      <c r="L32" s="215"/>
      <c r="M32" s="32"/>
      <c r="N32" s="214"/>
      <c r="O32" s="215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10"/>
      <c r="AC32" s="32"/>
      <c r="AD32" s="214"/>
      <c r="AE32" s="215"/>
    </row>
    <row r="33" spans="1:31" ht="12.75">
      <c r="A33" s="9"/>
      <c r="B33" s="10"/>
      <c r="C33" s="9"/>
      <c r="D33" s="10"/>
      <c r="E33" s="9"/>
      <c r="F33" s="10"/>
      <c r="G33" s="9"/>
      <c r="H33" s="10"/>
      <c r="I33" s="9"/>
      <c r="J33" s="10"/>
      <c r="K33" s="214"/>
      <c r="L33" s="215"/>
      <c r="M33" s="32"/>
      <c r="N33" s="214"/>
      <c r="O33" s="215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10"/>
      <c r="AC33" s="32"/>
      <c r="AD33" s="214"/>
      <c r="AE33" s="215"/>
    </row>
    <row r="34" spans="1:31" ht="12.75">
      <c r="A34" s="9"/>
      <c r="B34" s="10"/>
      <c r="C34" s="9"/>
      <c r="D34" s="10"/>
      <c r="E34" s="9"/>
      <c r="F34" s="10"/>
      <c r="G34" s="9"/>
      <c r="H34" s="10"/>
      <c r="I34" s="9"/>
      <c r="J34" s="10"/>
      <c r="K34" s="214"/>
      <c r="L34" s="215"/>
      <c r="M34" s="32"/>
      <c r="N34" s="214"/>
      <c r="O34" s="215"/>
      <c r="Q34" s="9"/>
      <c r="R34" s="10"/>
      <c r="S34" s="9"/>
      <c r="T34" s="10"/>
      <c r="U34" s="9"/>
      <c r="V34" s="10"/>
      <c r="W34" s="9"/>
      <c r="X34" s="10"/>
      <c r="Y34" s="9"/>
      <c r="Z34" s="10"/>
      <c r="AA34" s="9"/>
      <c r="AB34" s="10"/>
      <c r="AC34" s="32"/>
      <c r="AD34" s="214"/>
      <c r="AE34" s="215"/>
    </row>
    <row r="35" spans="1:31" ht="12.75">
      <c r="A35" s="9"/>
      <c r="B35" s="10"/>
      <c r="C35" s="9"/>
      <c r="D35" s="10"/>
      <c r="E35" s="9"/>
      <c r="F35" s="10"/>
      <c r="G35" s="9"/>
      <c r="H35" s="10"/>
      <c r="I35" s="9"/>
      <c r="J35" s="10"/>
      <c r="K35" s="214"/>
      <c r="L35" s="215"/>
      <c r="M35" s="32"/>
      <c r="N35" s="214"/>
      <c r="O35" s="215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10"/>
      <c r="AC35" s="32"/>
      <c r="AD35" s="214"/>
      <c r="AE35" s="215"/>
    </row>
    <row r="36" spans="1:31" ht="12.75">
      <c r="A36" s="9"/>
      <c r="B36" s="10"/>
      <c r="C36" s="9"/>
      <c r="D36" s="10"/>
      <c r="E36" s="9"/>
      <c r="F36" s="10"/>
      <c r="G36" s="9"/>
      <c r="H36" s="10"/>
      <c r="I36" s="9"/>
      <c r="J36" s="10"/>
      <c r="K36" s="214"/>
      <c r="L36" s="215"/>
      <c r="M36" s="32"/>
      <c r="N36" s="214"/>
      <c r="O36" s="215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9"/>
      <c r="AB36" s="10"/>
      <c r="AC36" s="32"/>
      <c r="AD36" s="214"/>
      <c r="AE36" s="215"/>
    </row>
    <row r="37" spans="1:31" ht="12.75">
      <c r="A37" s="9"/>
      <c r="B37" s="10"/>
      <c r="C37" s="9"/>
      <c r="D37" s="10"/>
      <c r="E37" s="9"/>
      <c r="F37" s="10"/>
      <c r="G37" s="9"/>
      <c r="H37" s="10"/>
      <c r="I37" s="9"/>
      <c r="J37" s="10"/>
      <c r="K37" s="214"/>
      <c r="L37" s="215"/>
      <c r="M37" s="32"/>
      <c r="N37" s="214"/>
      <c r="O37" s="215"/>
      <c r="Q37" s="9"/>
      <c r="R37" s="10"/>
      <c r="S37" s="9"/>
      <c r="T37" s="10"/>
      <c r="U37" s="9"/>
      <c r="V37" s="10"/>
      <c r="W37" s="9"/>
      <c r="X37" s="10"/>
      <c r="Y37" s="9"/>
      <c r="Z37" s="10"/>
      <c r="AA37" s="9"/>
      <c r="AB37" s="10"/>
      <c r="AC37" s="32"/>
      <c r="AD37" s="214"/>
      <c r="AE37" s="215"/>
    </row>
    <row r="38" spans="1:31" ht="12.75">
      <c r="A38" s="9"/>
      <c r="B38" s="10"/>
      <c r="C38" s="9"/>
      <c r="D38" s="10"/>
      <c r="E38" s="9"/>
      <c r="F38" s="10"/>
      <c r="G38" s="9"/>
      <c r="H38" s="10"/>
      <c r="I38" s="9"/>
      <c r="J38" s="10"/>
      <c r="K38" s="214"/>
      <c r="L38" s="215"/>
      <c r="M38" s="32"/>
      <c r="N38" s="214"/>
      <c r="O38" s="215"/>
      <c r="Q38" s="9"/>
      <c r="R38" s="10"/>
      <c r="S38" s="9"/>
      <c r="T38" s="10"/>
      <c r="U38" s="9"/>
      <c r="V38" s="10"/>
      <c r="W38" s="9"/>
      <c r="X38" s="10"/>
      <c r="Y38" s="9"/>
      <c r="Z38" s="10"/>
      <c r="AA38" s="9"/>
      <c r="AB38" s="10"/>
      <c r="AC38" s="32"/>
      <c r="AD38" s="214"/>
      <c r="AE38" s="215"/>
    </row>
    <row r="39" spans="1:31" ht="12.75">
      <c r="A39" s="9"/>
      <c r="B39" s="10"/>
      <c r="C39" s="9"/>
      <c r="D39" s="10"/>
      <c r="E39" s="9"/>
      <c r="F39" s="10"/>
      <c r="G39" s="9"/>
      <c r="H39" s="10"/>
      <c r="I39" s="9"/>
      <c r="J39" s="10"/>
      <c r="K39" s="214"/>
      <c r="L39" s="215"/>
      <c r="M39" s="32"/>
      <c r="N39" s="214"/>
      <c r="O39" s="215"/>
      <c r="Q39" s="9"/>
      <c r="R39" s="10"/>
      <c r="S39" s="9"/>
      <c r="T39" s="10"/>
      <c r="U39" s="9"/>
      <c r="V39" s="10"/>
      <c r="W39" s="9"/>
      <c r="X39" s="10"/>
      <c r="Y39" s="9"/>
      <c r="Z39" s="10"/>
      <c r="AA39" s="9"/>
      <c r="AB39" s="10"/>
      <c r="AC39" s="32"/>
      <c r="AD39" s="214"/>
      <c r="AE39" s="215"/>
    </row>
    <row r="40" spans="1:31" ht="12.75">
      <c r="A40" s="9"/>
      <c r="B40" s="10"/>
      <c r="C40" s="9"/>
      <c r="D40" s="10"/>
      <c r="E40" s="9"/>
      <c r="F40" s="10"/>
      <c r="G40" s="9"/>
      <c r="H40" s="10"/>
      <c r="I40" s="9"/>
      <c r="J40" s="10"/>
      <c r="K40" s="214"/>
      <c r="L40" s="215"/>
      <c r="M40" s="32"/>
      <c r="N40" s="214"/>
      <c r="O40" s="215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10"/>
      <c r="AC40" s="32"/>
      <c r="AD40" s="214"/>
      <c r="AE40" s="215"/>
    </row>
    <row r="41" spans="1:31" ht="12.75">
      <c r="A41" s="9"/>
      <c r="B41" s="10"/>
      <c r="C41" s="9"/>
      <c r="D41" s="10"/>
      <c r="E41" s="9"/>
      <c r="F41" s="10"/>
      <c r="G41" s="9"/>
      <c r="H41" s="10"/>
      <c r="I41" s="9"/>
      <c r="J41" s="10"/>
      <c r="K41" s="216"/>
      <c r="L41" s="217"/>
      <c r="M41" s="32"/>
      <c r="N41" s="216"/>
      <c r="O41" s="217"/>
      <c r="Q41" s="9"/>
      <c r="R41" s="10"/>
      <c r="S41" s="9"/>
      <c r="T41" s="10"/>
      <c r="U41" s="9"/>
      <c r="V41" s="10"/>
      <c r="W41" s="9"/>
      <c r="X41" s="10"/>
      <c r="Y41" s="9"/>
      <c r="Z41" s="10"/>
      <c r="AA41" s="9"/>
      <c r="AB41" s="10"/>
      <c r="AC41" s="32"/>
      <c r="AD41" s="216"/>
      <c r="AE41" s="217"/>
    </row>
    <row r="42" spans="1:31" ht="12.75">
      <c r="A42" s="7"/>
      <c r="B42" s="8"/>
      <c r="C42" s="7"/>
      <c r="D42" s="8"/>
      <c r="E42" s="7"/>
      <c r="F42" s="8"/>
      <c r="G42" s="7"/>
      <c r="H42" s="8"/>
      <c r="I42" s="7"/>
      <c r="J42" s="8"/>
      <c r="K42" s="7"/>
      <c r="L42" s="8"/>
      <c r="M42" s="32"/>
      <c r="N42" s="7"/>
      <c r="O42" s="8"/>
      <c r="Q42" s="7"/>
      <c r="R42" s="8"/>
      <c r="S42" s="7"/>
      <c r="T42" s="8"/>
      <c r="U42" s="7"/>
      <c r="V42" s="8"/>
      <c r="W42" s="7"/>
      <c r="X42" s="8"/>
      <c r="Y42" s="7"/>
      <c r="Z42" s="8"/>
      <c r="AA42" s="7"/>
      <c r="AB42" s="8"/>
      <c r="AC42" s="32"/>
      <c r="AD42" s="7"/>
      <c r="AE42" s="8"/>
    </row>
    <row r="43" spans="1:31" ht="12.75">
      <c r="A43" s="146">
        <f aca="true" t="shared" si="0" ref="A43:J43">AVERAGE(A5:A42)</f>
        <v>3.6250000000000004</v>
      </c>
      <c r="B43" s="147">
        <f t="shared" si="0"/>
        <v>0.6285714285714287</v>
      </c>
      <c r="C43" s="146">
        <f t="shared" si="0"/>
        <v>7.218750000000001</v>
      </c>
      <c r="D43" s="147">
        <f t="shared" si="0"/>
        <v>0.7333333333333332</v>
      </c>
      <c r="E43" s="146">
        <f t="shared" si="0"/>
        <v>10.718181818181819</v>
      </c>
      <c r="F43" s="147">
        <f t="shared" si="0"/>
        <v>1.2272727272727273</v>
      </c>
      <c r="G43" s="146">
        <f t="shared" si="0"/>
        <v>13.945454545454545</v>
      </c>
      <c r="H43" s="147">
        <f t="shared" si="0"/>
        <v>1.5727272727272728</v>
      </c>
      <c r="I43" s="146">
        <f t="shared" si="0"/>
        <v>17.3</v>
      </c>
      <c r="J43" s="147">
        <f t="shared" si="0"/>
        <v>2.2444444444444445</v>
      </c>
      <c r="K43" s="146">
        <f>K3+K48</f>
        <v>20.78458741152897</v>
      </c>
      <c r="L43" s="6"/>
      <c r="M43" s="32"/>
      <c r="N43" s="5">
        <f>N3+N48</f>
        <v>24.192268646783802</v>
      </c>
      <c r="O43" s="6"/>
      <c r="Q43" s="5">
        <f aca="true" t="shared" si="1" ref="Q43:AB43">AVERAGE(Q5:Q42)</f>
        <v>3.7800000000000002</v>
      </c>
      <c r="R43" s="6">
        <f t="shared" si="1"/>
        <v>1.0333333333333334</v>
      </c>
      <c r="S43" s="5">
        <f t="shared" si="1"/>
        <v>7.300000000000001</v>
      </c>
      <c r="T43" s="6">
        <f t="shared" si="1"/>
        <v>0.8547619047619047</v>
      </c>
      <c r="U43" s="5">
        <f t="shared" si="1"/>
        <v>10.749999999999998</v>
      </c>
      <c r="V43" s="6">
        <f t="shared" si="1"/>
        <v>1.172</v>
      </c>
      <c r="W43" s="5">
        <f t="shared" si="1"/>
        <v>14.032</v>
      </c>
      <c r="X43" s="6">
        <f t="shared" si="1"/>
        <v>1.6083333333333332</v>
      </c>
      <c r="Y43" s="5">
        <f t="shared" si="1"/>
        <v>17.333333333333336</v>
      </c>
      <c r="Z43" s="6">
        <f t="shared" si="1"/>
        <v>1.833333333333333</v>
      </c>
      <c r="AA43" s="5">
        <f t="shared" si="1"/>
        <v>21.5</v>
      </c>
      <c r="AB43" s="6">
        <f t="shared" si="1"/>
        <v>2.75</v>
      </c>
      <c r="AC43" s="32"/>
      <c r="AD43" s="5">
        <f>AD3+AD48</f>
        <v>24.647225630290013</v>
      </c>
      <c r="AE43" s="6"/>
    </row>
    <row r="44" spans="1:30" ht="12.75">
      <c r="A44" s="144">
        <f>MAX(A4:A41)</f>
        <v>3.9</v>
      </c>
      <c r="B44" s="142"/>
      <c r="C44" s="144">
        <f>MAX(C4:C41)</f>
        <v>7.7</v>
      </c>
      <c r="D44" s="143"/>
      <c r="E44" s="144">
        <f>MAX(E4:E41)</f>
        <v>11.4</v>
      </c>
      <c r="F44" s="142"/>
      <c r="G44" s="144">
        <f>MAX(G4:G41)</f>
        <v>14.5</v>
      </c>
      <c r="H44" s="142"/>
      <c r="I44" s="144">
        <f>MAX(I4:I41)</f>
        <v>18.3</v>
      </c>
      <c r="J44" s="142"/>
      <c r="K44" s="145">
        <f>K3+K49</f>
        <v>21.839794024943092</v>
      </c>
      <c r="N44" s="34">
        <f>N3+N49</f>
        <v>25.39975969576694</v>
      </c>
      <c r="Q44" s="33">
        <f>MAX(Q4:Q41)</f>
        <v>4.5</v>
      </c>
      <c r="S44" s="33">
        <f>MAX(S4:S41)</f>
        <v>8</v>
      </c>
      <c r="U44" s="33">
        <f>MAX(U4:U41)</f>
        <v>11.6</v>
      </c>
      <c r="W44" s="33">
        <f>MAX(W4:W41)</f>
        <v>14.7</v>
      </c>
      <c r="Y44" s="33">
        <f>MAX(Y4:Y41)</f>
        <v>18.5</v>
      </c>
      <c r="AA44" s="33">
        <f>MAX(AA4:AA41)</f>
        <v>22</v>
      </c>
      <c r="AD44" s="34">
        <f>AD3+AD49</f>
        <v>25.42670057858322</v>
      </c>
    </row>
    <row r="45" spans="1:30" ht="12.75">
      <c r="A45" s="149">
        <f>MIN(A4:A41)</f>
        <v>3.4</v>
      </c>
      <c r="C45" s="149">
        <f>MIN(C4:C41)</f>
        <v>6.7</v>
      </c>
      <c r="E45" s="149">
        <f>MIN(E4:E41)</f>
        <v>10</v>
      </c>
      <c r="G45" s="149">
        <f>MIN(G4:G41)</f>
        <v>13</v>
      </c>
      <c r="I45" s="149">
        <f>MIN(I4:I41)</f>
        <v>16.5</v>
      </c>
      <c r="K45" s="150">
        <f>K3+K50</f>
        <v>19.669941510064646</v>
      </c>
      <c r="N45" s="150">
        <f>N3+N50</f>
        <v>22.919931761742088</v>
      </c>
      <c r="Q45" s="149">
        <f>MIN(Q4:Q41)</f>
        <v>3.4</v>
      </c>
      <c r="S45" s="149">
        <f>MIN(S4:S41)</f>
        <v>6.4</v>
      </c>
      <c r="U45" s="149">
        <f>MIN(U4:U41)</f>
        <v>9.7</v>
      </c>
      <c r="W45" s="149">
        <f>MIN(W4:W41)</f>
        <v>12.9</v>
      </c>
      <c r="Y45" s="149">
        <f>MIN(Y4:Y41)</f>
        <v>16.2</v>
      </c>
      <c r="AA45" s="149">
        <f>MIN(AA4:AA41)</f>
        <v>20.5</v>
      </c>
      <c r="AD45" s="150">
        <f>AD3+AD50</f>
        <v>22.77311840990623</v>
      </c>
    </row>
    <row r="47" spans="1:30" ht="12.75">
      <c r="A47" s="31">
        <v>2</v>
      </c>
      <c r="B47" s="31"/>
      <c r="C47" s="31">
        <v>4</v>
      </c>
      <c r="D47" s="31"/>
      <c r="E47" s="31">
        <v>8</v>
      </c>
      <c r="F47" s="31"/>
      <c r="G47" s="31">
        <v>16</v>
      </c>
      <c r="H47" s="31"/>
      <c r="I47" s="31">
        <v>32</v>
      </c>
      <c r="J47" s="31"/>
      <c r="K47" s="31">
        <v>64</v>
      </c>
      <c r="L47" s="31"/>
      <c r="M47" s="31"/>
      <c r="N47" s="31">
        <v>128</v>
      </c>
      <c r="Q47" s="31">
        <v>2</v>
      </c>
      <c r="R47" s="31"/>
      <c r="S47" s="31">
        <v>4</v>
      </c>
      <c r="T47" s="31"/>
      <c r="U47" s="31">
        <v>8</v>
      </c>
      <c r="V47" s="31"/>
      <c r="W47" s="31">
        <v>16</v>
      </c>
      <c r="X47" s="31"/>
      <c r="Y47" s="31">
        <v>32</v>
      </c>
      <c r="Z47" s="31"/>
      <c r="AA47" s="31">
        <v>64</v>
      </c>
      <c r="AB47" s="31"/>
      <c r="AC47" s="31"/>
      <c r="AD47" s="31">
        <v>128</v>
      </c>
    </row>
    <row r="48" spans="1:30" ht="12.75">
      <c r="A48" s="22">
        <f>A43-A3</f>
        <v>0.6147000433601884</v>
      </c>
      <c r="B48" s="20"/>
      <c r="C48" s="22">
        <f>C43-C3</f>
        <v>1.1981500867203767</v>
      </c>
      <c r="D48" s="20"/>
      <c r="E48" s="22">
        <f>E43-E3</f>
        <v>1.6872819482623829</v>
      </c>
      <c r="F48" s="20"/>
      <c r="G48" s="22">
        <f>G43-G3</f>
        <v>1.904254718895297</v>
      </c>
      <c r="H48" s="20"/>
      <c r="I48" s="22">
        <f>I43-I3</f>
        <v>2.2485002168009007</v>
      </c>
      <c r="J48" s="20"/>
      <c r="K48" s="22">
        <f>0.5733*LN(K47)+0.3385</f>
        <v>2.7227876716900994</v>
      </c>
      <c r="L48" s="20"/>
      <c r="M48" s="20"/>
      <c r="N48" s="22">
        <f>0.5733*LN(N47)+0.3385</f>
        <v>3.120168950305117</v>
      </c>
      <c r="Q48" s="22">
        <f>Q43-Q3</f>
        <v>0.7697000433601882</v>
      </c>
      <c r="R48" s="20"/>
      <c r="S48" s="22">
        <f>S43-S3</f>
        <v>1.2794000867203765</v>
      </c>
      <c r="T48" s="20"/>
      <c r="U48" s="22">
        <f>U43-U3</f>
        <v>1.7191001300805624</v>
      </c>
      <c r="V48" s="20"/>
      <c r="W48" s="22">
        <f>W43-W3</f>
        <v>1.9908001734407517</v>
      </c>
      <c r="X48" s="20"/>
      <c r="Y48" s="22">
        <f>Y43-Y3</f>
        <v>2.2818335501342357</v>
      </c>
      <c r="Z48" s="20"/>
      <c r="AA48" s="22">
        <f>AA43-AA3</f>
        <v>3.4382002601611283</v>
      </c>
      <c r="AB48" s="20"/>
      <c r="AC48" s="20"/>
      <c r="AD48" s="22">
        <f>0.6851*LN(AD47)+0.251</f>
        <v>3.5751259338113295</v>
      </c>
    </row>
    <row r="49" spans="1:30" ht="12.75">
      <c r="A49" s="34">
        <f>A44-A3</f>
        <v>0.8897000433601878</v>
      </c>
      <c r="B49" s="33"/>
      <c r="C49" s="34">
        <f>C44-C3</f>
        <v>1.679400086720376</v>
      </c>
      <c r="D49" s="33"/>
      <c r="E49" s="34">
        <f>E44-E3</f>
        <v>2.3691001300805645</v>
      </c>
      <c r="F49" s="33"/>
      <c r="G49" s="34">
        <f>G44-G3</f>
        <v>2.4588001734407516</v>
      </c>
      <c r="H49" s="33"/>
      <c r="I49" s="34">
        <f>I44-I3</f>
        <v>3.2485002168009007</v>
      </c>
      <c r="J49" s="33"/>
      <c r="K49" s="34">
        <f>0.793*LN(K47)+0.48</f>
        <v>3.7779942851042194</v>
      </c>
      <c r="L49" s="33"/>
      <c r="M49" s="33"/>
      <c r="N49" s="34">
        <f>0.793*LN(N47)+0.48</f>
        <v>4.327659999288256</v>
      </c>
      <c r="Q49" s="34">
        <f>Q44-Q3</f>
        <v>1.489700043360188</v>
      </c>
      <c r="S49" s="34">
        <f>S44-S3</f>
        <v>1.9794000867203758</v>
      </c>
      <c r="U49" s="34">
        <f>U44-U3</f>
        <v>2.569100130080564</v>
      </c>
      <c r="W49" s="34">
        <f>W44-W3</f>
        <v>2.658800173440751</v>
      </c>
      <c r="Y49" s="34">
        <f>Y44-Y3</f>
        <v>3.4485002168009</v>
      </c>
      <c r="AA49" s="34">
        <f>AA44-AA3</f>
        <v>3.9382002601611283</v>
      </c>
      <c r="AD49" s="34">
        <f>0.69*LN(AD47)+1.0067</f>
        <v>4.354600882104535</v>
      </c>
    </row>
    <row r="50" spans="1:30" ht="12.75">
      <c r="A50" s="148">
        <f>A45-A3</f>
        <v>0.3897000433601878</v>
      </c>
      <c r="B50" s="148"/>
      <c r="C50" s="148">
        <f>C45-C3</f>
        <v>0.679400086720376</v>
      </c>
      <c r="D50" s="148"/>
      <c r="E50" s="148">
        <f>E45-E3</f>
        <v>0.9691001300805642</v>
      </c>
      <c r="F50" s="148"/>
      <c r="G50" s="148">
        <f>G45-G3</f>
        <v>0.9588001734407516</v>
      </c>
      <c r="H50" s="148"/>
      <c r="I50" s="148">
        <f>I45-I3</f>
        <v>1.4485002168009</v>
      </c>
      <c r="J50" s="148"/>
      <c r="K50" s="148">
        <f>0.3458*LN(K47)+0.17</f>
        <v>1.6081417702257743</v>
      </c>
      <c r="L50" s="148"/>
      <c r="M50" s="148"/>
      <c r="N50" s="148">
        <f>0.3458*LN(N47)+0.17</f>
        <v>1.8478320652634035</v>
      </c>
      <c r="Q50" s="148">
        <f>Q45-Q3</f>
        <v>0.3897000433601878</v>
      </c>
      <c r="R50" s="148"/>
      <c r="S50" s="148">
        <f>S45-S3</f>
        <v>0.3794000867203762</v>
      </c>
      <c r="T50" s="148"/>
      <c r="U50" s="148">
        <f>U45-U3</f>
        <v>0.6691001300805635</v>
      </c>
      <c r="V50" s="148"/>
      <c r="W50" s="148">
        <f>W45-W3</f>
        <v>0.858800173440752</v>
      </c>
      <c r="X50" s="148"/>
      <c r="Y50" s="148">
        <f>Y45-Y3</f>
        <v>1.1485002168008993</v>
      </c>
      <c r="Z50" s="148"/>
      <c r="AA50" s="148">
        <f>0.3458*LN(AA47)+0.17</f>
        <v>1.6081417702257743</v>
      </c>
      <c r="AB50" s="148"/>
      <c r="AC50" s="148"/>
      <c r="AD50" s="148">
        <f>0.354*LN(AD47)-0.0166</f>
        <v>1.7010187134275443</v>
      </c>
    </row>
    <row r="73" spans="1:23" ht="12.75">
      <c r="A73" s="1">
        <v>2</v>
      </c>
      <c r="B73" s="1">
        <v>4</v>
      </c>
      <c r="C73" s="1">
        <v>8</v>
      </c>
      <c r="D73" s="1">
        <v>16</v>
      </c>
      <c r="E73" s="1">
        <v>32</v>
      </c>
      <c r="F73" s="1">
        <v>64</v>
      </c>
      <c r="G73" s="1">
        <v>128</v>
      </c>
      <c r="Q73" s="1">
        <v>2</v>
      </c>
      <c r="R73" s="1">
        <v>4</v>
      </c>
      <c r="S73" s="1">
        <v>8</v>
      </c>
      <c r="T73" s="1">
        <v>16</v>
      </c>
      <c r="U73" s="1">
        <v>32</v>
      </c>
      <c r="V73" s="1">
        <v>64</v>
      </c>
      <c r="W73" s="1">
        <v>128</v>
      </c>
    </row>
    <row r="74" spans="1:23" ht="12.75">
      <c r="A74" s="2">
        <f>A45</f>
        <v>3.4</v>
      </c>
      <c r="B74" s="2">
        <f>C45</f>
        <v>6.7</v>
      </c>
      <c r="C74" s="2">
        <f>E45</f>
        <v>10</v>
      </c>
      <c r="D74" s="2">
        <f>G45</f>
        <v>13</v>
      </c>
      <c r="E74" s="2">
        <f>I45</f>
        <v>16.5</v>
      </c>
      <c r="F74" s="2">
        <f>K45</f>
        <v>19.669941510064646</v>
      </c>
      <c r="G74" s="2">
        <f>N45</f>
        <v>22.919931761742088</v>
      </c>
      <c r="Q74" s="2">
        <f>Q45</f>
        <v>3.4</v>
      </c>
      <c r="R74" s="2">
        <f>S45</f>
        <v>6.4</v>
      </c>
      <c r="S74" s="2">
        <f>U45</f>
        <v>9.7</v>
      </c>
      <c r="T74" s="2">
        <f>W45</f>
        <v>12.9</v>
      </c>
      <c r="U74" s="2">
        <f>Y45</f>
        <v>16.2</v>
      </c>
      <c r="V74" s="2">
        <f>AA45</f>
        <v>20.5</v>
      </c>
      <c r="W74" s="2">
        <f>AD45</f>
        <v>22.77311840990623</v>
      </c>
    </row>
    <row r="75" spans="1:23" ht="12.75">
      <c r="A75" s="2">
        <f>A43</f>
        <v>3.6250000000000004</v>
      </c>
      <c r="B75" s="2">
        <f>C43</f>
        <v>7.218750000000001</v>
      </c>
      <c r="C75" s="2">
        <f>E43</f>
        <v>10.718181818181819</v>
      </c>
      <c r="D75" s="2">
        <f>G43</f>
        <v>13.945454545454545</v>
      </c>
      <c r="E75" s="2">
        <f>I43</f>
        <v>17.3</v>
      </c>
      <c r="F75" s="2">
        <f>K43</f>
        <v>20.78458741152897</v>
      </c>
      <c r="G75" s="2">
        <f>N43</f>
        <v>24.192268646783802</v>
      </c>
      <c r="Q75" s="2">
        <f>Q43</f>
        <v>3.7800000000000002</v>
      </c>
      <c r="R75" s="2">
        <f>S43</f>
        <v>7.300000000000001</v>
      </c>
      <c r="S75" s="2">
        <f>U43</f>
        <v>10.749999999999998</v>
      </c>
      <c r="T75" s="2">
        <f>W43</f>
        <v>14.032</v>
      </c>
      <c r="U75" s="2">
        <f>Y43</f>
        <v>17.333333333333336</v>
      </c>
      <c r="V75" s="2">
        <f>AA43</f>
        <v>21.5</v>
      </c>
      <c r="W75" s="2">
        <f>AD43</f>
        <v>24.647225630290013</v>
      </c>
    </row>
    <row r="76" spans="1:23" ht="12.75">
      <c r="A76" s="2">
        <f>A44</f>
        <v>3.9</v>
      </c>
      <c r="B76" s="2">
        <f>C44</f>
        <v>7.7</v>
      </c>
      <c r="C76" s="2">
        <f>E44</f>
        <v>11.4</v>
      </c>
      <c r="D76" s="2">
        <f>G44</f>
        <v>14.5</v>
      </c>
      <c r="E76" s="2">
        <f>I44</f>
        <v>18.3</v>
      </c>
      <c r="F76" s="2">
        <f>K44</f>
        <v>21.839794024943092</v>
      </c>
      <c r="G76" s="2">
        <f>N44</f>
        <v>25.39975969576694</v>
      </c>
      <c r="Q76" s="2">
        <f>Q44</f>
        <v>4.5</v>
      </c>
      <c r="R76" s="2">
        <f>S44</f>
        <v>8</v>
      </c>
      <c r="S76" s="2">
        <f>U44</f>
        <v>11.6</v>
      </c>
      <c r="T76" s="2">
        <f>W44</f>
        <v>14.7</v>
      </c>
      <c r="U76" s="2">
        <f>Y44</f>
        <v>18.5</v>
      </c>
      <c r="V76" s="2">
        <f>AA44</f>
        <v>22</v>
      </c>
      <c r="W76" s="2">
        <f>AD44</f>
        <v>25.42670057858322</v>
      </c>
    </row>
  </sheetData>
  <mergeCells count="33">
    <mergeCell ref="K4:L41"/>
    <mergeCell ref="N2:O2"/>
    <mergeCell ref="N3:O3"/>
    <mergeCell ref="C2:D2"/>
    <mergeCell ref="C3:D3"/>
    <mergeCell ref="K2:L2"/>
    <mergeCell ref="K3:L3"/>
    <mergeCell ref="A3:B3"/>
    <mergeCell ref="I2:J2"/>
    <mergeCell ref="I3:J3"/>
    <mergeCell ref="G2:H2"/>
    <mergeCell ref="G3:H3"/>
    <mergeCell ref="E2:F2"/>
    <mergeCell ref="E3:F3"/>
    <mergeCell ref="A1:O1"/>
    <mergeCell ref="Q1:AE1"/>
    <mergeCell ref="Q2:R2"/>
    <mergeCell ref="S2:T2"/>
    <mergeCell ref="U2:V2"/>
    <mergeCell ref="W2:X2"/>
    <mergeCell ref="Y2:Z2"/>
    <mergeCell ref="AA2:AB2"/>
    <mergeCell ref="AD2:AE2"/>
    <mergeCell ref="A2:B2"/>
    <mergeCell ref="Y3:Z3"/>
    <mergeCell ref="AA3:AB3"/>
    <mergeCell ref="AD3:AE3"/>
    <mergeCell ref="N4:O41"/>
    <mergeCell ref="AD4:AE41"/>
    <mergeCell ref="Q3:R3"/>
    <mergeCell ref="S3:T3"/>
    <mergeCell ref="U3:V3"/>
    <mergeCell ref="W3:X3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14" sqref="D14"/>
    </sheetView>
  </sheetViews>
  <sheetFormatPr defaultColWidth="9.140625" defaultRowHeight="12.75"/>
  <cols>
    <col min="1" max="1" width="20.140625" style="1" bestFit="1" customWidth="1"/>
    <col min="2" max="2" width="5.57421875" style="2" bestFit="1" customWidth="1"/>
    <col min="3" max="3" width="9.140625" style="1" customWidth="1"/>
    <col min="4" max="4" width="20.140625" style="1" bestFit="1" customWidth="1"/>
    <col min="5" max="5" width="5.57421875" style="2" bestFit="1" customWidth="1"/>
    <col min="6" max="16384" width="9.140625" style="1" customWidth="1"/>
  </cols>
  <sheetData>
    <row r="1" spans="1:5" ht="12.75">
      <c r="A1" s="223" t="s">
        <v>44</v>
      </c>
      <c r="B1" s="223"/>
      <c r="D1" s="223" t="s">
        <v>42</v>
      </c>
      <c r="E1" s="223"/>
    </row>
    <row r="2" spans="1:5" ht="13.5" thickBot="1">
      <c r="A2" s="12"/>
      <c r="B2" s="16"/>
      <c r="D2" s="12"/>
      <c r="E2" s="16"/>
    </row>
    <row r="3" spans="1:5" ht="12.75">
      <c r="A3" s="13" t="s">
        <v>68</v>
      </c>
      <c r="B3" s="19"/>
      <c r="D3" s="13" t="s">
        <v>68</v>
      </c>
      <c r="E3" s="19"/>
    </row>
    <row r="4" spans="1:5" ht="13.5" thickBot="1">
      <c r="A4" s="14" t="s">
        <v>55</v>
      </c>
      <c r="B4" s="15">
        <f>'Splitter comparison'!K43</f>
        <v>20.78458741152897</v>
      </c>
      <c r="D4" s="14" t="s">
        <v>55</v>
      </c>
      <c r="E4" s="15">
        <f>'Splitter comparison'!AA43</f>
        <v>21.5</v>
      </c>
    </row>
    <row r="5" spans="1:5" ht="13.5" thickBot="1">
      <c r="A5" s="12"/>
      <c r="B5" s="16"/>
      <c r="D5" s="12"/>
      <c r="E5" s="16"/>
    </row>
    <row r="6" spans="1:5" ht="12.75">
      <c r="A6" s="13" t="s">
        <v>69</v>
      </c>
      <c r="B6" s="19"/>
      <c r="D6" s="13" t="s">
        <v>69</v>
      </c>
      <c r="E6" s="19"/>
    </row>
    <row r="7" spans="1:5" ht="12.75">
      <c r="A7" s="17" t="s">
        <v>56</v>
      </c>
      <c r="B7" s="18">
        <f>'Splitter comparison'!I43+'Splitter comparison'!A43</f>
        <v>20.925</v>
      </c>
      <c r="D7" s="17" t="s">
        <v>56</v>
      </c>
      <c r="E7" s="18">
        <f>'Splitter comparison'!Y43+'Splitter comparison'!Q43</f>
        <v>21.113333333333337</v>
      </c>
    </row>
    <row r="8" spans="1:5" ht="12.75">
      <c r="A8" s="17" t="s">
        <v>57</v>
      </c>
      <c r="B8" s="18">
        <f>'Splitter comparison'!G43+'Splitter comparison'!C43</f>
        <v>21.164204545454545</v>
      </c>
      <c r="D8" s="17" t="s">
        <v>57</v>
      </c>
      <c r="E8" s="18">
        <f>'Splitter comparison'!W43+'Splitter comparison'!S43</f>
        <v>21.332</v>
      </c>
    </row>
    <row r="9" spans="1:5" ht="13.5" thickBot="1">
      <c r="A9" s="14" t="s">
        <v>58</v>
      </c>
      <c r="B9" s="15">
        <f>2*'Splitter comparison'!E43</f>
        <v>21.436363636363637</v>
      </c>
      <c r="D9" s="14" t="s">
        <v>58</v>
      </c>
      <c r="E9" s="15">
        <f>2*'Splitter comparison'!U43</f>
        <v>21.499999999999996</v>
      </c>
    </row>
    <row r="10" spans="1:5" ht="13.5" thickBot="1">
      <c r="A10" s="12"/>
      <c r="B10" s="16"/>
      <c r="D10" s="12"/>
      <c r="E10" s="16"/>
    </row>
    <row r="11" spans="1:5" ht="12.75">
      <c r="A11" s="13" t="s">
        <v>70</v>
      </c>
      <c r="B11" s="19"/>
      <c r="D11" s="13" t="s">
        <v>70</v>
      </c>
      <c r="E11" s="19"/>
    </row>
    <row r="12" spans="1:5" ht="12.75">
      <c r="A12" s="17" t="s">
        <v>59</v>
      </c>
      <c r="B12" s="18">
        <f>'Splitter comparison'!G43+2*'Splitter comparison'!A43</f>
        <v>21.195454545454545</v>
      </c>
      <c r="D12" s="17" t="s">
        <v>59</v>
      </c>
      <c r="E12" s="18">
        <f>'Splitter comparison'!W43+2*'Splitter comparison'!Q43</f>
        <v>21.592</v>
      </c>
    </row>
    <row r="13" spans="1:5" ht="12.75">
      <c r="A13" s="17" t="s">
        <v>60</v>
      </c>
      <c r="B13" s="18">
        <f>'Splitter comparison'!E43+'Splitter comparison'!C43+'Splitter comparison'!A43</f>
        <v>21.56193181818182</v>
      </c>
      <c r="D13" s="17" t="s">
        <v>60</v>
      </c>
      <c r="E13" s="18">
        <f>'Splitter comparison'!U43+'Splitter comparison'!S43+'Splitter comparison'!Q43</f>
        <v>21.83</v>
      </c>
    </row>
    <row r="14" spans="1:5" ht="13.5" thickBot="1">
      <c r="A14" s="14" t="s">
        <v>61</v>
      </c>
      <c r="B14" s="15">
        <f>3*'Splitter comparison'!C43</f>
        <v>21.656250000000004</v>
      </c>
      <c r="D14" s="14" t="s">
        <v>61</v>
      </c>
      <c r="E14" s="15">
        <f>3*'Splitter comparison'!S43</f>
        <v>21.900000000000002</v>
      </c>
    </row>
    <row r="15" spans="1:5" ht="13.5" thickBot="1">
      <c r="A15" s="12"/>
      <c r="B15" s="16"/>
      <c r="D15" s="12"/>
      <c r="E15" s="16"/>
    </row>
    <row r="16" spans="1:5" ht="12.75">
      <c r="A16" s="13" t="s">
        <v>71</v>
      </c>
      <c r="B16" s="19"/>
      <c r="D16" s="13" t="s">
        <v>71</v>
      </c>
      <c r="E16" s="19"/>
    </row>
    <row r="17" spans="1:5" ht="12.75">
      <c r="A17" s="17" t="s">
        <v>62</v>
      </c>
      <c r="B17" s="18">
        <f>'Splitter comparison'!E43+3*'Splitter comparison'!A43</f>
        <v>21.59318181818182</v>
      </c>
      <c r="D17" s="17" t="s">
        <v>62</v>
      </c>
      <c r="E17" s="18">
        <f>'Splitter comparison'!U43+3*'Splitter comparison'!Q43</f>
        <v>22.089999999999996</v>
      </c>
    </row>
    <row r="18" spans="1:5" ht="13.5" thickBot="1">
      <c r="A18" s="14" t="s">
        <v>63</v>
      </c>
      <c r="B18" s="15">
        <f>2*'Splitter comparison'!C43+2*'Splitter comparison'!A43</f>
        <v>21.687500000000004</v>
      </c>
      <c r="D18" s="14" t="s">
        <v>63</v>
      </c>
      <c r="E18" s="15">
        <f>'Splitter comparison'!S43*2+2*'Splitter comparison'!Q43</f>
        <v>22.160000000000004</v>
      </c>
    </row>
    <row r="19" spans="1:5" ht="13.5" thickBot="1">
      <c r="A19" s="12"/>
      <c r="B19" s="16"/>
      <c r="D19" s="12"/>
      <c r="E19" s="16"/>
    </row>
    <row r="20" spans="1:5" ht="12.75">
      <c r="A20" s="13" t="s">
        <v>64</v>
      </c>
      <c r="B20" s="19"/>
      <c r="D20" s="13" t="s">
        <v>64</v>
      </c>
      <c r="E20" s="19"/>
    </row>
    <row r="21" spans="1:5" ht="13.5" thickBot="1">
      <c r="A21" s="14" t="s">
        <v>65</v>
      </c>
      <c r="B21" s="15">
        <f>'Splitter comparison'!C43+4*'Splitter comparison'!A43</f>
        <v>21.718750000000004</v>
      </c>
      <c r="D21" s="14" t="s">
        <v>65</v>
      </c>
      <c r="E21" s="15">
        <f>1*'Splitter comparison'!S43+4*'Splitter comparison'!Q43</f>
        <v>22.42</v>
      </c>
    </row>
    <row r="22" spans="1:5" ht="13.5" thickBot="1">
      <c r="A22" s="12"/>
      <c r="B22" s="16"/>
      <c r="D22" s="12"/>
      <c r="E22" s="16"/>
    </row>
    <row r="23" spans="1:5" ht="12.75">
      <c r="A23" s="13" t="s">
        <v>66</v>
      </c>
      <c r="B23" s="19"/>
      <c r="D23" s="13" t="s">
        <v>66</v>
      </c>
      <c r="E23" s="19"/>
    </row>
    <row r="24" spans="1:5" ht="13.5" thickBot="1">
      <c r="A24" s="14" t="s">
        <v>67</v>
      </c>
      <c r="B24" s="15">
        <f>6*'Splitter comparison'!A43</f>
        <v>21.750000000000004</v>
      </c>
      <c r="D24" s="14" t="s">
        <v>67</v>
      </c>
      <c r="E24" s="15">
        <f>6*'Splitter comparison'!Q43</f>
        <v>22.68</v>
      </c>
    </row>
  </sheetData>
  <mergeCells count="2">
    <mergeCell ref="A1:B1"/>
    <mergeCell ref="D1:E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H21" sqref="A1:IV16384"/>
    </sheetView>
  </sheetViews>
  <sheetFormatPr defaultColWidth="9.140625" defaultRowHeight="12.75"/>
  <cols>
    <col min="1" max="1" width="16.421875" style="0" bestFit="1" customWidth="1"/>
    <col min="2" max="2" width="5.57421875" style="2" bestFit="1" customWidth="1"/>
    <col min="4" max="4" width="16.421875" style="0" bestFit="1" customWidth="1"/>
    <col min="5" max="5" width="5.57421875" style="0" bestFit="1" customWidth="1"/>
  </cols>
  <sheetData>
    <row r="1" spans="1:5" ht="12.75">
      <c r="A1" s="224" t="s">
        <v>44</v>
      </c>
      <c r="B1" s="224"/>
      <c r="D1" s="224" t="s">
        <v>42</v>
      </c>
      <c r="E1" s="224"/>
    </row>
    <row r="2" spans="1:5" ht="13.5" thickBot="1">
      <c r="A2" s="21"/>
      <c r="B2" s="22"/>
      <c r="D2" s="21"/>
      <c r="E2" s="22"/>
    </row>
    <row r="3" spans="1:5" ht="12.75">
      <c r="A3" s="23" t="s">
        <v>68</v>
      </c>
      <c r="B3" s="24"/>
      <c r="D3" s="23" t="s">
        <v>68</v>
      </c>
      <c r="E3" s="24"/>
    </row>
    <row r="4" spans="1:5" ht="13.5" thickBot="1">
      <c r="A4" s="25" t="s">
        <v>73</v>
      </c>
      <c r="B4" s="26">
        <f>'Splitter comparison'!N43</f>
        <v>24.192268646783802</v>
      </c>
      <c r="D4" s="25" t="s">
        <v>73</v>
      </c>
      <c r="E4" s="26">
        <f>'Splitter comparison'!AD43</f>
        <v>24.647225630290013</v>
      </c>
    </row>
    <row r="5" spans="1:5" ht="13.5" thickBot="1">
      <c r="A5" s="20"/>
      <c r="B5" s="22"/>
      <c r="D5" s="20"/>
      <c r="E5" s="22"/>
    </row>
    <row r="6" spans="1:5" ht="12.75">
      <c r="A6" s="23" t="s">
        <v>69</v>
      </c>
      <c r="B6" s="24"/>
      <c r="D6" s="23" t="s">
        <v>69</v>
      </c>
      <c r="E6" s="24"/>
    </row>
    <row r="7" spans="1:5" ht="12.75">
      <c r="A7" s="27" t="s">
        <v>74</v>
      </c>
      <c r="B7" s="28">
        <f>'Splitter comparison'!K43+'Splitter comparison'!A43</f>
        <v>24.40958741152897</v>
      </c>
      <c r="D7" s="27" t="s">
        <v>74</v>
      </c>
      <c r="E7" s="28">
        <f>'Splitter comparison'!AA43+'Splitter comparison'!Q43</f>
        <v>25.28</v>
      </c>
    </row>
    <row r="8" spans="1:5" ht="12.75">
      <c r="A8" s="27" t="s">
        <v>75</v>
      </c>
      <c r="B8" s="28">
        <f>'Splitter comparison'!I43+'Splitter comparison'!C43</f>
        <v>24.51875</v>
      </c>
      <c r="D8" s="27" t="s">
        <v>75</v>
      </c>
      <c r="E8" s="28">
        <f>'Splitter comparison'!Y43+'Splitter comparison'!S43</f>
        <v>24.633333333333336</v>
      </c>
    </row>
    <row r="9" spans="1:5" ht="13.5" thickBot="1">
      <c r="A9" s="25" t="s">
        <v>76</v>
      </c>
      <c r="B9" s="26">
        <f>'Splitter comparison'!G43+'Splitter comparison'!E43</f>
        <v>24.663636363636364</v>
      </c>
      <c r="D9" s="25" t="s">
        <v>76</v>
      </c>
      <c r="E9" s="26">
        <f>'Splitter comparison'!W43+'Splitter comparison'!U43</f>
        <v>24.781999999999996</v>
      </c>
    </row>
    <row r="10" spans="1:5" ht="13.5" thickBot="1">
      <c r="A10" s="20"/>
      <c r="B10" s="22"/>
      <c r="D10" s="20"/>
      <c r="E10" s="22"/>
    </row>
    <row r="11" spans="1:5" ht="12.75">
      <c r="A11" s="23" t="s">
        <v>70</v>
      </c>
      <c r="B11" s="24"/>
      <c r="D11" s="23" t="s">
        <v>70</v>
      </c>
      <c r="E11" s="24"/>
    </row>
    <row r="12" spans="1:5" ht="12.75">
      <c r="A12" s="27" t="s">
        <v>77</v>
      </c>
      <c r="B12" s="28">
        <f>'Splitter comparison'!I43+2*'Splitter comparison'!A43</f>
        <v>24.55</v>
      </c>
      <c r="D12" s="27" t="s">
        <v>77</v>
      </c>
      <c r="E12" s="28">
        <f>'Splitter comparison'!Y43+2*'Splitter comparison'!Q43</f>
        <v>24.893333333333338</v>
      </c>
    </row>
    <row r="13" spans="1:5" ht="12.75">
      <c r="A13" s="27" t="s">
        <v>78</v>
      </c>
      <c r="B13" s="28">
        <f>'Splitter comparison'!G43+'Splitter comparison'!C43+'Splitter comparison'!A43</f>
        <v>24.789204545454545</v>
      </c>
      <c r="D13" s="27" t="s">
        <v>78</v>
      </c>
      <c r="E13" s="28">
        <f>'Splitter comparison'!W43+'Splitter comparison'!S43+'Splitter comparison'!Q43</f>
        <v>25.112000000000002</v>
      </c>
    </row>
    <row r="14" spans="1:5" ht="12.75">
      <c r="A14" s="27" t="s">
        <v>79</v>
      </c>
      <c r="B14" s="28">
        <f>2*'Splitter comparison'!E43+'Splitter comparison'!A43</f>
        <v>25.061363636363637</v>
      </c>
      <c r="D14" s="27" t="s">
        <v>79</v>
      </c>
      <c r="E14" s="28">
        <f>2*'Splitter comparison'!U43+'Splitter comparison'!Q43</f>
        <v>25.279999999999998</v>
      </c>
    </row>
    <row r="15" spans="1:5" ht="13.5" thickBot="1">
      <c r="A15" s="25" t="s">
        <v>80</v>
      </c>
      <c r="B15" s="26">
        <f>2*'Splitter comparison'!C43+'Splitter comparison'!E43</f>
        <v>25.15568181818182</v>
      </c>
      <c r="D15" s="25" t="s">
        <v>80</v>
      </c>
      <c r="E15" s="26">
        <f>2*'Splitter comparison'!S43+'Splitter comparison'!U43</f>
        <v>25.35</v>
      </c>
    </row>
    <row r="16" spans="1:5" ht="13.5" thickBot="1">
      <c r="A16" s="11"/>
      <c r="B16" s="29"/>
      <c r="D16" s="11"/>
      <c r="E16" s="29"/>
    </row>
    <row r="17" spans="1:5" ht="12.75">
      <c r="A17" s="23" t="s">
        <v>71</v>
      </c>
      <c r="B17" s="24"/>
      <c r="D17" s="23" t="s">
        <v>71</v>
      </c>
      <c r="E17" s="24"/>
    </row>
    <row r="18" spans="1:5" ht="12.75">
      <c r="A18" s="27" t="s">
        <v>81</v>
      </c>
      <c r="B18" s="28">
        <f>'Splitter comparison'!G43+3*'Splitter comparison'!A43</f>
        <v>24.820454545454545</v>
      </c>
      <c r="D18" s="27" t="s">
        <v>81</v>
      </c>
      <c r="E18" s="28">
        <f>'Splitter comparison'!W43+3*'Splitter comparison'!Q43</f>
        <v>25.372</v>
      </c>
    </row>
    <row r="19" spans="1:5" ht="12.75">
      <c r="A19" s="27" t="s">
        <v>82</v>
      </c>
      <c r="B19" s="28">
        <f>'Splitter comparison'!E43+'Splitter comparison'!C43+2*'Splitter comparison'!A43</f>
        <v>25.18693181818182</v>
      </c>
      <c r="D19" s="27" t="s">
        <v>82</v>
      </c>
      <c r="E19" s="28">
        <f>'Splitter comparison'!U43+'Splitter comparison'!S43+2*'Splitter comparison'!Q43</f>
        <v>25.61</v>
      </c>
    </row>
    <row r="20" spans="1:5" ht="13.5" thickBot="1">
      <c r="A20" s="25" t="s">
        <v>83</v>
      </c>
      <c r="B20" s="26">
        <f>'Splitter comparison'!C43*3+'Splitter comparison'!A43</f>
        <v>25.281250000000004</v>
      </c>
      <c r="D20" s="25" t="s">
        <v>83</v>
      </c>
      <c r="E20" s="26">
        <f>3*'Splitter comparison'!S43+'Splitter comparison'!Q43</f>
        <v>25.680000000000003</v>
      </c>
    </row>
    <row r="21" spans="1:5" ht="13.5" thickBot="1">
      <c r="A21" s="11"/>
      <c r="B21" s="29"/>
      <c r="D21" s="11"/>
      <c r="E21" s="29"/>
    </row>
    <row r="22" spans="1:5" ht="12.75">
      <c r="A22" s="23" t="s">
        <v>64</v>
      </c>
      <c r="B22" s="24"/>
      <c r="D22" s="23" t="s">
        <v>64</v>
      </c>
      <c r="E22" s="24"/>
    </row>
    <row r="23" spans="1:5" ht="12.75">
      <c r="A23" s="27" t="s">
        <v>84</v>
      </c>
      <c r="B23" s="28">
        <f>'Splitter comparison'!E43+4*'Splitter comparison'!A43</f>
        <v>25.21818181818182</v>
      </c>
      <c r="D23" s="27" t="s">
        <v>84</v>
      </c>
      <c r="E23" s="28">
        <f>'Splitter comparison'!U43+4*'Splitter comparison'!Q43</f>
        <v>25.869999999999997</v>
      </c>
    </row>
    <row r="24" spans="1:5" ht="13.5" thickBot="1">
      <c r="A24" s="25" t="s">
        <v>85</v>
      </c>
      <c r="B24" s="26">
        <f>2*'Splitter comparison'!C43+3*'Splitter comparison'!A43</f>
        <v>25.312500000000004</v>
      </c>
      <c r="D24" s="25" t="s">
        <v>85</v>
      </c>
      <c r="E24" s="26">
        <f>2*'Splitter comparison'!S43+3*'Splitter comparison'!Q43</f>
        <v>25.94</v>
      </c>
    </row>
    <row r="25" spans="1:5" ht="13.5" thickBot="1">
      <c r="A25" s="30"/>
      <c r="B25" s="29"/>
      <c r="D25" s="30"/>
      <c r="E25" s="29"/>
    </row>
    <row r="26" spans="1:5" ht="12.75">
      <c r="A26" s="23" t="s">
        <v>66</v>
      </c>
      <c r="B26" s="24"/>
      <c r="D26" s="23" t="s">
        <v>66</v>
      </c>
      <c r="E26" s="24"/>
    </row>
    <row r="27" spans="1:5" ht="13.5" thickBot="1">
      <c r="A27" s="25" t="s">
        <v>86</v>
      </c>
      <c r="B27" s="26">
        <f>5*'Splitter comparison'!A43+'Splitter comparison'!C43</f>
        <v>25.343750000000004</v>
      </c>
      <c r="D27" s="25" t="s">
        <v>86</v>
      </c>
      <c r="E27" s="26">
        <f>'Splitter comparison'!S43+5*'Splitter comparison'!Q43</f>
        <v>26.200000000000003</v>
      </c>
    </row>
    <row r="28" spans="1:5" ht="13.5" thickBot="1">
      <c r="A28" s="21"/>
      <c r="B28" s="22"/>
      <c r="D28" s="21"/>
      <c r="E28" s="22"/>
    </row>
    <row r="29" spans="1:5" ht="12.75">
      <c r="A29" s="23" t="s">
        <v>87</v>
      </c>
      <c r="B29" s="24"/>
      <c r="D29" s="23" t="s">
        <v>87</v>
      </c>
      <c r="E29" s="24"/>
    </row>
    <row r="30" spans="1:5" ht="13.5" thickBot="1">
      <c r="A30" s="25" t="s">
        <v>88</v>
      </c>
      <c r="B30" s="26">
        <f>7*'Splitter comparison'!A43</f>
        <v>25.375000000000004</v>
      </c>
      <c r="D30" s="25" t="s">
        <v>88</v>
      </c>
      <c r="E30" s="26">
        <f>7*'Splitter comparison'!Q43</f>
        <v>26.46</v>
      </c>
    </row>
  </sheetData>
  <mergeCells count="2">
    <mergeCell ref="A1:B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2" sqref="A12:G20"/>
    </sheetView>
  </sheetViews>
  <sheetFormatPr defaultColWidth="9.140625" defaultRowHeight="12.75"/>
  <cols>
    <col min="1" max="1" width="15.7109375" style="1" bestFit="1" customWidth="1"/>
    <col min="2" max="2" width="9.140625" style="1" customWidth="1"/>
    <col min="3" max="3" width="6.8515625" style="1" bestFit="1" customWidth="1"/>
    <col min="4" max="4" width="12.8515625" style="1" customWidth="1"/>
    <col min="5" max="5" width="9.140625" style="1" customWidth="1"/>
    <col min="6" max="6" width="6.8515625" style="1" bestFit="1" customWidth="1"/>
    <col min="7" max="7" width="13.140625" style="1" customWidth="1"/>
    <col min="8" max="16384" width="9.140625" style="1" customWidth="1"/>
  </cols>
  <sheetData>
    <row r="1" spans="1:7" s="153" customFormat="1" ht="12.75">
      <c r="A1" s="152" t="s">
        <v>55</v>
      </c>
      <c r="B1" s="225" t="s">
        <v>290</v>
      </c>
      <c r="C1" s="225"/>
      <c r="D1" s="225"/>
      <c r="E1" s="225" t="s">
        <v>291</v>
      </c>
      <c r="F1" s="225"/>
      <c r="G1" s="225"/>
    </row>
    <row r="2" spans="1:7" s="153" customFormat="1" ht="25.5">
      <c r="A2" s="152" t="s">
        <v>283</v>
      </c>
      <c r="B2" s="152" t="s">
        <v>280</v>
      </c>
      <c r="C2" s="154" t="s">
        <v>281</v>
      </c>
      <c r="D2" s="156" t="s">
        <v>282</v>
      </c>
      <c r="E2" s="152" t="s">
        <v>280</v>
      </c>
      <c r="F2" s="154" t="s">
        <v>281</v>
      </c>
      <c r="G2" s="156" t="s">
        <v>282</v>
      </c>
    </row>
    <row r="3" spans="1:7" ht="12.75">
      <c r="A3" s="151" t="s">
        <v>55</v>
      </c>
      <c r="B3" s="151">
        <v>5</v>
      </c>
      <c r="C3" s="155">
        <f>'Power budget'!A17</f>
        <v>26.9</v>
      </c>
      <c r="D3" s="157">
        <f>'Power budget'!J17</f>
        <v>27.3</v>
      </c>
      <c r="E3" s="151">
        <v>10</v>
      </c>
      <c r="F3" s="155">
        <v>31.9</v>
      </c>
      <c r="G3" s="157">
        <v>32.3</v>
      </c>
    </row>
    <row r="4" spans="1:7" ht="12.75">
      <c r="A4" s="151" t="s">
        <v>56</v>
      </c>
      <c r="B4" s="151">
        <v>5</v>
      </c>
      <c r="C4" s="155">
        <f>'Power budget'!A33</f>
        <v>26.513333333333335</v>
      </c>
      <c r="D4" s="157">
        <f>'Power budget'!J33</f>
        <v>27.313333333333336</v>
      </c>
      <c r="E4" s="151">
        <v>10</v>
      </c>
      <c r="F4" s="155">
        <v>31.513333333333335</v>
      </c>
      <c r="G4" s="157">
        <v>32.31333333333334</v>
      </c>
    </row>
    <row r="5" spans="1:7" ht="12.75">
      <c r="A5" s="151" t="s">
        <v>57</v>
      </c>
      <c r="B5" s="151">
        <v>5</v>
      </c>
      <c r="C5" s="155">
        <f>'Power budget'!A49</f>
        <v>26.732</v>
      </c>
      <c r="D5" s="157">
        <f>'Power budget'!J49</f>
        <v>27.532</v>
      </c>
      <c r="E5" s="151">
        <v>10</v>
      </c>
      <c r="F5" s="155">
        <v>31.732</v>
      </c>
      <c r="G5" s="157">
        <v>32.532000000000004</v>
      </c>
    </row>
    <row r="6" spans="1:7" ht="12.75">
      <c r="A6" s="151" t="s">
        <v>58</v>
      </c>
      <c r="B6" s="151">
        <v>5</v>
      </c>
      <c r="C6" s="155">
        <f>'Power budget'!A65</f>
        <v>26.899999999999995</v>
      </c>
      <c r="D6" s="157">
        <f>'Power budget'!J65</f>
        <v>27.699999999999996</v>
      </c>
      <c r="E6" s="151">
        <v>10</v>
      </c>
      <c r="F6" s="155">
        <v>31.9</v>
      </c>
      <c r="G6" s="157">
        <v>32.7</v>
      </c>
    </row>
    <row r="7" spans="1:7" ht="12.75">
      <c r="A7" s="151" t="s">
        <v>59</v>
      </c>
      <c r="B7" s="151">
        <v>5</v>
      </c>
      <c r="C7" s="155">
        <f>'Power budget'!A81</f>
        <v>26.991999999999997</v>
      </c>
      <c r="D7" s="157">
        <f>'Power budget'!J81</f>
        <v>28.192</v>
      </c>
      <c r="E7" s="151">
        <v>10</v>
      </c>
      <c r="F7" s="155">
        <v>31.991999999999997</v>
      </c>
      <c r="G7" s="157">
        <v>33.192</v>
      </c>
    </row>
    <row r="8" spans="1:7" ht="12.75">
      <c r="A8" s="151" t="s">
        <v>60</v>
      </c>
      <c r="B8" s="151">
        <v>5</v>
      </c>
      <c r="C8" s="155">
        <f>'Power budget'!A97</f>
        <v>27.229999999999997</v>
      </c>
      <c r="D8" s="157">
        <f>'Power budget'!J97</f>
        <v>28.43</v>
      </c>
      <c r="E8" s="151">
        <v>10</v>
      </c>
      <c r="F8" s="155">
        <v>32.23</v>
      </c>
      <c r="G8" s="157">
        <v>33.43</v>
      </c>
    </row>
    <row r="9" spans="1:7" ht="12.75">
      <c r="A9" s="151" t="s">
        <v>61</v>
      </c>
      <c r="B9" s="151">
        <v>5</v>
      </c>
      <c r="C9" s="155">
        <f>'Power budget'!A113</f>
        <v>27.3</v>
      </c>
      <c r="D9" s="157">
        <f>'Power budget'!J113</f>
        <v>28.500000000000004</v>
      </c>
      <c r="E9" s="151">
        <v>10</v>
      </c>
      <c r="F9" s="155">
        <v>32.3</v>
      </c>
      <c r="G9" s="157">
        <v>33.5</v>
      </c>
    </row>
    <row r="10" spans="3:4" ht="12.75">
      <c r="C10" s="2"/>
      <c r="D10" s="2"/>
    </row>
    <row r="11" spans="3:4" ht="12.75">
      <c r="C11" s="2"/>
      <c r="D11" s="2"/>
    </row>
    <row r="12" spans="1:7" s="153" customFormat="1" ht="12.75">
      <c r="A12" s="152" t="s">
        <v>73</v>
      </c>
      <c r="B12" s="225" t="s">
        <v>290</v>
      </c>
      <c r="C12" s="225"/>
      <c r="D12" s="225"/>
      <c r="E12" s="225" t="s">
        <v>291</v>
      </c>
      <c r="F12" s="225"/>
      <c r="G12" s="225"/>
    </row>
    <row r="13" spans="1:7" s="153" customFormat="1" ht="25.5">
      <c r="A13" s="152" t="s">
        <v>283</v>
      </c>
      <c r="B13" s="152" t="s">
        <v>280</v>
      </c>
      <c r="C13" s="154" t="s">
        <v>281</v>
      </c>
      <c r="D13" s="156" t="s">
        <v>282</v>
      </c>
      <c r="E13" s="152" t="s">
        <v>280</v>
      </c>
      <c r="F13" s="154" t="s">
        <v>281</v>
      </c>
      <c r="G13" s="156" t="s">
        <v>282</v>
      </c>
    </row>
    <row r="14" spans="1:7" ht="12.75">
      <c r="A14" s="151" t="s">
        <v>73</v>
      </c>
      <c r="B14" s="151">
        <v>5</v>
      </c>
      <c r="C14" s="155">
        <f>'Power budget'!S17</f>
        <v>30.04722563029001</v>
      </c>
      <c r="D14" s="157">
        <f>'Power budget'!AB17</f>
        <v>30.447225630290013</v>
      </c>
      <c r="E14" s="152">
        <v>10</v>
      </c>
      <c r="F14" s="167">
        <v>35.04722563029001</v>
      </c>
      <c r="G14" s="168">
        <v>35.447225630290006</v>
      </c>
    </row>
    <row r="15" spans="1:7" ht="12.75">
      <c r="A15" s="151" t="s">
        <v>74</v>
      </c>
      <c r="B15" s="151">
        <v>5</v>
      </c>
      <c r="C15" s="155">
        <f>'Power budget'!S33</f>
        <v>30.68</v>
      </c>
      <c r="D15" s="157">
        <f>'Power budget'!AB33</f>
        <v>31.48</v>
      </c>
      <c r="E15" s="152">
        <v>10</v>
      </c>
      <c r="F15" s="167">
        <v>35.68</v>
      </c>
      <c r="G15" s="168">
        <v>36.48</v>
      </c>
    </row>
    <row r="16" spans="1:7" ht="12.75">
      <c r="A16" s="151" t="s">
        <v>75</v>
      </c>
      <c r="B16" s="151">
        <v>5</v>
      </c>
      <c r="C16" s="155">
        <f>'Power budget'!S49</f>
        <v>30.033333333333335</v>
      </c>
      <c r="D16" s="157">
        <f>'Power budget'!AB49</f>
        <v>30.833333333333336</v>
      </c>
      <c r="E16" s="152">
        <v>10</v>
      </c>
      <c r="F16" s="167">
        <v>35.03333333333334</v>
      </c>
      <c r="G16" s="168">
        <v>35.83333333333334</v>
      </c>
    </row>
    <row r="17" spans="1:7" ht="12.75">
      <c r="A17" s="151" t="s">
        <v>76</v>
      </c>
      <c r="B17" s="151">
        <v>5</v>
      </c>
      <c r="C17" s="155">
        <f>'Power budget'!S65</f>
        <v>30.181999999999995</v>
      </c>
      <c r="D17" s="157">
        <f>'Power budget'!AB65</f>
        <v>30.981999999999996</v>
      </c>
      <c r="E17" s="152">
        <v>10</v>
      </c>
      <c r="F17" s="167">
        <v>35.181999999999995</v>
      </c>
      <c r="G17" s="168">
        <v>35.982</v>
      </c>
    </row>
    <row r="18" spans="1:7" ht="12.75">
      <c r="A18" s="151" t="s">
        <v>77</v>
      </c>
      <c r="B18" s="151">
        <v>5</v>
      </c>
      <c r="C18" s="155">
        <f>'Power budget'!S81</f>
        <v>30.293333333333337</v>
      </c>
      <c r="D18" s="157">
        <f>'Power budget'!AB81</f>
        <v>31.49333333333334</v>
      </c>
      <c r="E18" s="152">
        <v>10</v>
      </c>
      <c r="F18" s="167">
        <v>35.29333333333334</v>
      </c>
      <c r="G18" s="168">
        <v>36.49333333333334</v>
      </c>
    </row>
    <row r="19" spans="1:7" ht="12.75">
      <c r="A19" s="151" t="s">
        <v>78</v>
      </c>
      <c r="B19" s="151">
        <v>5</v>
      </c>
      <c r="C19" s="155">
        <f>'Power budget'!S97</f>
        <v>30.512</v>
      </c>
      <c r="D19" s="157">
        <f>'Power budget'!AB97</f>
        <v>31.712000000000003</v>
      </c>
      <c r="E19" s="152">
        <v>10</v>
      </c>
      <c r="F19" s="167">
        <v>35.512</v>
      </c>
      <c r="G19" s="168">
        <v>36.712</v>
      </c>
    </row>
    <row r="20" spans="1:7" ht="12.75">
      <c r="A20" s="151" t="s">
        <v>79</v>
      </c>
      <c r="B20" s="151">
        <v>5</v>
      </c>
      <c r="C20" s="155">
        <f>'Power budget'!S113</f>
        <v>30.679999999999996</v>
      </c>
      <c r="D20" s="157">
        <f>'Power budget'!AB113</f>
        <v>31.88</v>
      </c>
      <c r="E20" s="152">
        <v>10</v>
      </c>
      <c r="F20" s="167">
        <v>35.68</v>
      </c>
      <c r="G20" s="168">
        <v>36.88</v>
      </c>
    </row>
    <row r="21" spans="3:4" ht="12.75">
      <c r="C21" s="2"/>
      <c r="D21" s="2"/>
    </row>
  </sheetData>
  <mergeCells count="4">
    <mergeCell ref="B1:D1"/>
    <mergeCell ref="B12:D12"/>
    <mergeCell ref="E1:G1"/>
    <mergeCell ref="E12:G1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 Hajduczenia</cp:lastModifiedBy>
  <dcterms:modified xsi:type="dcterms:W3CDTF">2006-10-25T19:56:51Z</dcterms:modified>
  <cp:category/>
  <cp:version/>
  <cp:contentType/>
  <cp:contentStatus/>
</cp:coreProperties>
</file>