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235" windowHeight="12570" tabRatio="804" activeTab="1"/>
  </bookViews>
  <sheets>
    <sheet name="Notes" sheetId="46" r:id="rId1"/>
    <sheet name="BaseOM4" sheetId="48" r:id="rId2"/>
    <sheet name="BaseOM4(c)" sheetId="77" r:id="rId3"/>
    <sheet name="BaseOM3" sheetId="78" r:id="rId4"/>
    <sheet name="10GbE Notes" sheetId="30" r:id="rId5"/>
    <sheet name="850S2000" sheetId="31" r:id="rId6"/>
  </sheets>
  <externalReferences>
    <externalReference r:id="rId7"/>
  </externalReferences>
  <definedNames>
    <definedName name="B_1" localSheetId="5">'850S2000'!$AB$3</definedName>
    <definedName name="B_1" localSheetId="3">BaseOM3!$AB$3</definedName>
    <definedName name="B_1" localSheetId="1">BaseOM4!$AB$3</definedName>
    <definedName name="B_1" localSheetId="2">'BaseOM4(c)'!$AB$3</definedName>
    <definedName name="B_1" localSheetId="0">#REF!</definedName>
    <definedName name="B_1">#REF!</definedName>
    <definedName name="C_1" localSheetId="5">'850S2000'!$L$9</definedName>
    <definedName name="C_1" localSheetId="3">BaseOM3!$L$9</definedName>
    <definedName name="C_1" localSheetId="1">BaseOM4!$L$9</definedName>
    <definedName name="C_1" localSheetId="2">'BaseOM4(c)'!$L$9</definedName>
    <definedName name="C_1" localSheetId="0">#REF!</definedName>
    <definedName name="C_1">#REF!</definedName>
    <definedName name="date_of_revision">'[1]InfiniBand IB-1X-SX_50'!$O$1</definedName>
    <definedName name="ER" localSheetId="5">'850S2000'!$AB$6</definedName>
    <definedName name="ER" localSheetId="3">BaseOM3!$AB$6</definedName>
    <definedName name="ER" localSheetId="1">BaseOM4!$AB$6</definedName>
    <definedName name="ER" localSheetId="2">'BaseOM4(c)'!$AB$6</definedName>
    <definedName name="ER" localSheetId="0">#REF!</definedName>
    <definedName name="ER">#REF!</definedName>
    <definedName name="header">'[1]InfiniBand IB-1X-SX_50'!$A$1</definedName>
    <definedName name="kRIN" localSheetId="5">'850S2000'!$G$6</definedName>
    <definedName name="kRIN" localSheetId="3">BaseOM3!$G$6</definedName>
    <definedName name="kRIN" localSheetId="1">BaseOM4!$G$6</definedName>
    <definedName name="kRIN" localSheetId="2">'BaseOM4(c)'!$G$6</definedName>
    <definedName name="kRIN" localSheetId="0">#REF!</definedName>
    <definedName name="kRIN">#REF!</definedName>
    <definedName name="Pmn" localSheetId="5">'850S2000'!$G$13</definedName>
    <definedName name="Pmn" localSheetId="3">BaseOM3!$G$13</definedName>
    <definedName name="Pmn" localSheetId="1">BaseOM4!$G$13</definedName>
    <definedName name="Pmn" localSheetId="2">'BaseOM4(c)'!$G$13</definedName>
    <definedName name="Pmn" localSheetId="0">#REF!</definedName>
    <definedName name="Pmn">#REF!</definedName>
    <definedName name="_xlnm.Print_Area" localSheetId="5">'850S2000'!$A$1:$X$52</definedName>
    <definedName name="_xlnm.Print_Area" localSheetId="3">BaseOM3!$A$1:$X$52</definedName>
    <definedName name="_xlnm.Print_Area" localSheetId="1">BaseOM4!$A$1:$X$52</definedName>
    <definedName name="_xlnm.Print_Area" localSheetId="2">'BaseOM4(c)'!$A$1:$X$52</definedName>
    <definedName name="_xlnm.Print_Area" localSheetId="0">Notes!$A$1:$Q$95</definedName>
    <definedName name="PRINT_AREA_MI" localSheetId="5">'850S2000'!$A$5:$H$33</definedName>
    <definedName name="PRINT_AREA_MI" localSheetId="3">BaseOM3!$A$5:$H$33</definedName>
    <definedName name="PRINT_AREA_MI" localSheetId="1">BaseOM4!$A$5:$H$33</definedName>
    <definedName name="PRINT_AREA_MI" localSheetId="2">'BaseOM4(c)'!$A$5:$H$33</definedName>
    <definedName name="PRINT_AREA_MI">#REF!</definedName>
    <definedName name="Q" localSheetId="5">'850S2000'!$C$3</definedName>
    <definedName name="Q" localSheetId="3">BaseOM3!$C$3</definedName>
    <definedName name="Q" localSheetId="1">BaseOM4!$C$3</definedName>
    <definedName name="Q" localSheetId="2">'BaseOM4(c)'!$C$3</definedName>
    <definedName name="Q" localSheetId="0">#REF!</definedName>
    <definedName name="Q">#REF!</definedName>
    <definedName name="revision">'[1]InfiniBand IB-1X-SX_50'!$R$1</definedName>
    <definedName name="SD_blw" localSheetId="5">'850S2000'!$T$10</definedName>
    <definedName name="SD_blw" localSheetId="3">BaseOM3!$T$10</definedName>
    <definedName name="SD_blw" localSheetId="1">BaseOM4!$T$10</definedName>
    <definedName name="SD_blw" localSheetId="2">'BaseOM4(c)'!$T$10</definedName>
    <definedName name="SD_blw" localSheetId="0">#REF!</definedName>
    <definedName name="SD_blw">#REF!</definedName>
    <definedName name="Tb_eff" localSheetId="5">'850S2000'!$L$12</definedName>
    <definedName name="Tb_eff" localSheetId="3">BaseOM3!$L$12</definedName>
    <definedName name="Tb_eff" localSheetId="1">BaseOM4!$L$12</definedName>
    <definedName name="Tb_eff" localSheetId="2">'BaseOM4(c)'!$L$12</definedName>
    <definedName name="Tb_eff" localSheetId="0">#REF!</definedName>
    <definedName name="Tb_eff">#REF!</definedName>
    <definedName name="temp1" localSheetId="3">#REF!</definedName>
    <definedName name="temp1">#REF!</definedName>
    <definedName name="Uc" localSheetId="5">'850S2000'!$C$6</definedName>
    <definedName name="Uc" localSheetId="3">BaseOM3!$C$6</definedName>
    <definedName name="Uc" localSheetId="1">BaseOM4!$C$6</definedName>
    <definedName name="Uc" localSheetId="2">'BaseOM4(c)'!$C$6</definedName>
    <definedName name="Uc" localSheetId="0">#REF!</definedName>
    <definedName name="Uc">#REF!</definedName>
    <definedName name="Uo" localSheetId="5">'850S2000'!$P$7</definedName>
    <definedName name="Uo" localSheetId="3">BaseOM3!$P$7</definedName>
    <definedName name="Uo" localSheetId="1">BaseOM4!$P$7</definedName>
    <definedName name="Uo" localSheetId="2">'BaseOM4(c)'!$P$7</definedName>
    <definedName name="Uo" localSheetId="0">#REF!</definedName>
    <definedName name="Uo">#REF!</definedName>
    <definedName name="Vmn" localSheetId="5">'850S2000'!$AG$7</definedName>
    <definedName name="Vmn" localSheetId="3">BaseOM3!$AG$7</definedName>
    <definedName name="Vmn" localSheetId="1">BaseOM4!$AG$7</definedName>
    <definedName name="Vmn" localSheetId="2">'BaseOM4(c)'!$AG$7</definedName>
    <definedName name="Vmn" localSheetId="0">#REF!</definedName>
    <definedName name="Vmn">#REF!</definedName>
  </definedNames>
  <calcPr calcId="125725"/>
</workbook>
</file>

<file path=xl/calcChain.xml><?xml version="1.0" encoding="utf-8"?>
<calcChain xmlns="http://schemas.openxmlformats.org/spreadsheetml/2006/main">
  <c r="W3" i="78"/>
  <c r="L3"/>
  <c r="G47"/>
  <c r="F47" s="1"/>
  <c r="B52"/>
  <c r="B51"/>
  <c r="B50"/>
  <c r="A52"/>
  <c r="A51"/>
  <c r="A50"/>
  <c r="A48"/>
  <c r="A46"/>
  <c r="B44"/>
  <c r="F41"/>
  <c r="G41"/>
  <c r="F40"/>
  <c r="G40"/>
  <c r="F51" i="48"/>
  <c r="G51" s="1"/>
  <c r="AO46" i="78"/>
  <c r="F46"/>
  <c r="AO45"/>
  <c r="F45"/>
  <c r="AN44"/>
  <c r="F44"/>
  <c r="AO43"/>
  <c r="AN43"/>
  <c r="AN45" s="1"/>
  <c r="F43"/>
  <c r="AO42"/>
  <c r="AN42"/>
  <c r="AN46" s="1"/>
  <c r="Z42"/>
  <c r="AK42" s="1"/>
  <c r="AN41"/>
  <c r="AN47" s="1"/>
  <c r="AK41"/>
  <c r="AJ41"/>
  <c r="G14"/>
  <c r="P13"/>
  <c r="G17" s="1"/>
  <c r="Q11"/>
  <c r="O11"/>
  <c r="T10"/>
  <c r="AK9"/>
  <c r="W9"/>
  <c r="AK8"/>
  <c r="AB8"/>
  <c r="P8"/>
  <c r="C8"/>
  <c r="P7"/>
  <c r="L7"/>
  <c r="C7"/>
  <c r="C6"/>
  <c r="P6" s="1"/>
  <c r="AB5"/>
  <c r="T5"/>
  <c r="T7" s="1"/>
  <c r="A18"/>
  <c r="G4"/>
  <c r="T3"/>
  <c r="L6" s="1"/>
  <c r="C3"/>
  <c r="W2"/>
  <c r="U2"/>
  <c r="P2"/>
  <c r="G2"/>
  <c r="G3" s="1"/>
  <c r="W1"/>
  <c r="R1"/>
  <c r="O1"/>
  <c r="G13" i="48"/>
  <c r="G13" i="78" s="1"/>
  <c r="F41" i="48"/>
  <c r="G48" i="78" l="1"/>
  <c r="AG7"/>
  <c r="P4"/>
  <c r="P5" s="1"/>
  <c r="P3"/>
  <c r="AL38"/>
  <c r="AL37"/>
  <c r="AL36"/>
  <c r="AL35"/>
  <c r="AL34"/>
  <c r="AL33"/>
  <c r="AL32"/>
  <c r="AL31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21"/>
  <c r="L8"/>
  <c r="AL28"/>
  <c r="AL26"/>
  <c r="AL24"/>
  <c r="AL29"/>
  <c r="AL27"/>
  <c r="AL25"/>
  <c r="AL23"/>
  <c r="AL20"/>
  <c r="AL18"/>
  <c r="AL30"/>
  <c r="AL22"/>
  <c r="AL17"/>
  <c r="P9"/>
  <c r="D17" s="1"/>
  <c r="AB4"/>
  <c r="G18"/>
  <c r="A19"/>
  <c r="G19" s="1"/>
  <c r="AB11"/>
  <c r="T12"/>
  <c r="AL19"/>
  <c r="Z43"/>
  <c r="AJ42"/>
  <c r="F46" i="77"/>
  <c r="F44"/>
  <c r="Y1" i="48"/>
  <c r="F52" i="78" l="1"/>
  <c r="G52" s="1"/>
  <c r="F50"/>
  <c r="G50" s="1"/>
  <c r="F48"/>
  <c r="F51"/>
  <c r="G51" s="1"/>
  <c r="G49"/>
  <c r="C9"/>
  <c r="AB6" s="1"/>
  <c r="AB7" s="1"/>
  <c r="C11" s="1"/>
  <c r="G5" s="1"/>
  <c r="B18"/>
  <c r="C18" s="1"/>
  <c r="B17"/>
  <c r="C17" s="1"/>
  <c r="A20"/>
  <c r="D19"/>
  <c r="E19"/>
  <c r="B19"/>
  <c r="C19" s="1"/>
  <c r="E17"/>
  <c r="F17" s="1"/>
  <c r="E18"/>
  <c r="Z44"/>
  <c r="AK43"/>
  <c r="AJ43"/>
  <c r="D18"/>
  <c r="C10" i="48"/>
  <c r="C10" i="78" s="1"/>
  <c r="AB12" s="1"/>
  <c r="F42" i="48"/>
  <c r="F42" i="78" s="1"/>
  <c r="B44" i="48"/>
  <c r="F49" i="78" l="1"/>
  <c r="G53"/>
  <c r="F53" s="1"/>
  <c r="G42"/>
  <c r="AB9"/>
  <c r="H17"/>
  <c r="F18"/>
  <c r="A21"/>
  <c r="E20"/>
  <c r="B20"/>
  <c r="C20" s="1"/>
  <c r="D20"/>
  <c r="G20"/>
  <c r="F19"/>
  <c r="Z45"/>
  <c r="AJ44"/>
  <c r="AK44"/>
  <c r="C4" i="48"/>
  <c r="C4" i="78" s="1"/>
  <c r="L11" l="1"/>
  <c r="G44"/>
  <c r="G43"/>
  <c r="T8"/>
  <c r="G46"/>
  <c r="G45"/>
  <c r="A22"/>
  <c r="E21"/>
  <c r="B21"/>
  <c r="C21" s="1"/>
  <c r="D21"/>
  <c r="G21"/>
  <c r="I17"/>
  <c r="AK45"/>
  <c r="Z46"/>
  <c r="AJ45"/>
  <c r="H18"/>
  <c r="I18" s="1"/>
  <c r="AK18"/>
  <c r="F20"/>
  <c r="AK19"/>
  <c r="H19"/>
  <c r="I19" s="1"/>
  <c r="G40" i="48"/>
  <c r="G8"/>
  <c r="G8" i="78" s="1"/>
  <c r="W5" i="48"/>
  <c r="W5" i="78" s="1"/>
  <c r="G41" i="48"/>
  <c r="AG8" i="78" l="1"/>
  <c r="AG9" s="1"/>
  <c r="AG6"/>
  <c r="L12"/>
  <c r="Y44"/>
  <c r="O17"/>
  <c r="P17" s="1"/>
  <c r="Q17" s="1"/>
  <c r="O19"/>
  <c r="P19" s="1"/>
  <c r="Q19" s="1"/>
  <c r="O18"/>
  <c r="P18" s="1"/>
  <c r="Q18" s="1"/>
  <c r="O20"/>
  <c r="P20" s="1"/>
  <c r="Q20" s="1"/>
  <c r="G9"/>
  <c r="AJ19" s="1"/>
  <c r="L13"/>
  <c r="AK20"/>
  <c r="H20"/>
  <c r="I20" s="1"/>
  <c r="A23"/>
  <c r="E22"/>
  <c r="D22"/>
  <c r="B22"/>
  <c r="C22" s="1"/>
  <c r="G22"/>
  <c r="AF17"/>
  <c r="Y17"/>
  <c r="Z17" s="1"/>
  <c r="J17" s="1"/>
  <c r="AE18"/>
  <c r="Y18"/>
  <c r="Z18" s="1"/>
  <c r="J18" s="1"/>
  <c r="Y19"/>
  <c r="Z19" s="1"/>
  <c r="J19" s="1"/>
  <c r="AA46"/>
  <c r="AJ46"/>
  <c r="Z47"/>
  <c r="AK46"/>
  <c r="O21"/>
  <c r="P21" s="1"/>
  <c r="Q21" s="1"/>
  <c r="F21"/>
  <c r="F45" i="77"/>
  <c r="F43"/>
  <c r="F42"/>
  <c r="AG17" i="78" l="1"/>
  <c r="AH17"/>
  <c r="AC17" s="1"/>
  <c r="S17" s="1"/>
  <c r="AG11"/>
  <c r="H7"/>
  <c r="AL42"/>
  <c r="AM43"/>
  <c r="AM41"/>
  <c r="AL43"/>
  <c r="AM42"/>
  <c r="AL41"/>
  <c r="AM44"/>
  <c r="AL44"/>
  <c r="AM45"/>
  <c r="AL45"/>
  <c r="AG3"/>
  <c r="AG4" s="1"/>
  <c r="AG5"/>
  <c r="T13" s="1"/>
  <c r="AA41"/>
  <c r="AA42"/>
  <c r="AA43"/>
  <c r="AB43" s="1"/>
  <c r="AD43" s="1"/>
  <c r="AA44"/>
  <c r="AB44" s="1"/>
  <c r="AD44" s="1"/>
  <c r="AA45"/>
  <c r="AB45" s="1"/>
  <c r="AD45" s="1"/>
  <c r="AG45" s="1"/>
  <c r="AI19"/>
  <c r="AH19"/>
  <c r="AI18"/>
  <c r="AJ18"/>
  <c r="AJ17"/>
  <c r="AK2"/>
  <c r="AM46"/>
  <c r="AE19"/>
  <c r="AG18"/>
  <c r="AC18" s="1"/>
  <c r="AH18"/>
  <c r="AG10"/>
  <c r="AL46"/>
  <c r="AF19"/>
  <c r="AG19"/>
  <c r="AC19" s="1"/>
  <c r="AF18"/>
  <c r="AB18" s="1"/>
  <c r="K18" s="1"/>
  <c r="AE17"/>
  <c r="AB17" s="1"/>
  <c r="K17" s="1"/>
  <c r="AI17"/>
  <c r="AD17" s="1"/>
  <c r="AC43"/>
  <c r="AE43" s="1"/>
  <c r="AH43" s="1"/>
  <c r="AK1"/>
  <c r="AD19"/>
  <c r="L19" s="1"/>
  <c r="AK21"/>
  <c r="H21"/>
  <c r="I21" s="1"/>
  <c r="AM47"/>
  <c r="AA47"/>
  <c r="AJ47"/>
  <c r="Z48"/>
  <c r="AK47"/>
  <c r="AL47"/>
  <c r="AG43"/>
  <c r="AH20"/>
  <c r="AJ20"/>
  <c r="AI20"/>
  <c r="AF20"/>
  <c r="Y20"/>
  <c r="Z20" s="1"/>
  <c r="J20" s="1"/>
  <c r="AG20"/>
  <c r="AE20"/>
  <c r="AG44"/>
  <c r="AB46"/>
  <c r="AD46" s="1"/>
  <c r="AC46"/>
  <c r="AE46" s="1"/>
  <c r="AH46" s="1"/>
  <c r="F22"/>
  <c r="O22"/>
  <c r="P22" s="1"/>
  <c r="Q22" s="1"/>
  <c r="A24"/>
  <c r="E23"/>
  <c r="D23"/>
  <c r="B23"/>
  <c r="C23" s="1"/>
  <c r="G23"/>
  <c r="G47" i="48"/>
  <c r="F47" s="1"/>
  <c r="G45"/>
  <c r="G43"/>
  <c r="G42"/>
  <c r="AB19" i="78" l="1"/>
  <c r="K19" s="1"/>
  <c r="AK3"/>
  <c r="AK4" s="1"/>
  <c r="AG12"/>
  <c r="G11" s="1"/>
  <c r="M18"/>
  <c r="AD18"/>
  <c r="L18" s="1"/>
  <c r="AB41"/>
  <c r="AD41" s="1"/>
  <c r="AC41"/>
  <c r="AE41" s="1"/>
  <c r="AH41" s="1"/>
  <c r="AC45"/>
  <c r="AE45" s="1"/>
  <c r="AH45" s="1"/>
  <c r="AC42"/>
  <c r="AE42" s="1"/>
  <c r="AH42" s="1"/>
  <c r="AB42"/>
  <c r="AD42" s="1"/>
  <c r="AC44"/>
  <c r="AE44" s="1"/>
  <c r="AH44" s="1"/>
  <c r="AF43"/>
  <c r="AI43" s="1"/>
  <c r="M19"/>
  <c r="N19"/>
  <c r="AB20"/>
  <c r="K20" s="1"/>
  <c r="AA19"/>
  <c r="R19" s="1"/>
  <c r="F23"/>
  <c r="O23"/>
  <c r="P23" s="1"/>
  <c r="Q23" s="1"/>
  <c r="D24"/>
  <c r="A25"/>
  <c r="E24"/>
  <c r="B24"/>
  <c r="C24" s="1"/>
  <c r="G24"/>
  <c r="AB47"/>
  <c r="AD47" s="1"/>
  <c r="AC47"/>
  <c r="AE47" s="1"/>
  <c r="AH47" s="1"/>
  <c r="Z49"/>
  <c r="AJ48"/>
  <c r="AK48"/>
  <c r="AA48"/>
  <c r="AM48"/>
  <c r="AL48"/>
  <c r="AG21"/>
  <c r="AH21"/>
  <c r="AE21"/>
  <c r="AF21"/>
  <c r="AJ21"/>
  <c r="AI21"/>
  <c r="Y21"/>
  <c r="Z21" s="1"/>
  <c r="J21" s="1"/>
  <c r="M17"/>
  <c r="U17" s="1"/>
  <c r="AC20"/>
  <c r="AD20"/>
  <c r="AA17"/>
  <c r="L17"/>
  <c r="T17" s="1"/>
  <c r="AK22"/>
  <c r="H22"/>
  <c r="I22" s="1"/>
  <c r="AF46"/>
  <c r="AI46" s="1"/>
  <c r="AG46"/>
  <c r="G44" i="48"/>
  <c r="G46"/>
  <c r="G48"/>
  <c r="N18" i="78" l="1"/>
  <c r="S18" s="1"/>
  <c r="AA18"/>
  <c r="R18" s="1"/>
  <c r="AF42"/>
  <c r="AI42" s="1"/>
  <c r="AG42"/>
  <c r="AF45"/>
  <c r="AI45" s="1"/>
  <c r="AF44"/>
  <c r="AI44" s="1"/>
  <c r="AF41"/>
  <c r="AI41" s="1"/>
  <c r="AG41"/>
  <c r="F52" i="48"/>
  <c r="F50"/>
  <c r="G50" s="1"/>
  <c r="S19" i="78"/>
  <c r="U19" s="1"/>
  <c r="AB21"/>
  <c r="K21" s="1"/>
  <c r="M20"/>
  <c r="AC21"/>
  <c r="AH22"/>
  <c r="AG22"/>
  <c r="AE22"/>
  <c r="AI22"/>
  <c r="Y22"/>
  <c r="Z22" s="1"/>
  <c r="J22" s="1"/>
  <c r="AF22"/>
  <c r="AJ22"/>
  <c r="V17"/>
  <c r="W17"/>
  <c r="AL49"/>
  <c r="AM49"/>
  <c r="AA49"/>
  <c r="AJ49"/>
  <c r="AK49"/>
  <c r="Z50"/>
  <c r="AF47"/>
  <c r="AI47" s="1"/>
  <c r="AG47"/>
  <c r="O24"/>
  <c r="P24" s="1"/>
  <c r="Q24" s="1"/>
  <c r="F24"/>
  <c r="L20"/>
  <c r="AA20"/>
  <c r="N20"/>
  <c r="AC48"/>
  <c r="AE48" s="1"/>
  <c r="AH48" s="1"/>
  <c r="AB48"/>
  <c r="AD48" s="1"/>
  <c r="D25"/>
  <c r="A26"/>
  <c r="E25"/>
  <c r="B25"/>
  <c r="C25" s="1"/>
  <c r="G25"/>
  <c r="AK23"/>
  <c r="H23"/>
  <c r="I23" s="1"/>
  <c r="AD21"/>
  <c r="G52" i="48"/>
  <c r="G49"/>
  <c r="F49" s="1"/>
  <c r="F48"/>
  <c r="M21" i="78" l="1"/>
  <c r="T19"/>
  <c r="W19" s="1"/>
  <c r="AD22"/>
  <c r="N22" s="1"/>
  <c r="F25"/>
  <c r="O25"/>
  <c r="P25" s="1"/>
  <c r="Q25" s="1"/>
  <c r="AA21"/>
  <c r="L21"/>
  <c r="N21"/>
  <c r="AF48"/>
  <c r="AI48" s="1"/>
  <c r="AG48"/>
  <c r="T18"/>
  <c r="AB22"/>
  <c r="K22" s="1"/>
  <c r="U18"/>
  <c r="AJ23"/>
  <c r="AG23"/>
  <c r="AE23"/>
  <c r="AF23"/>
  <c r="Y23"/>
  <c r="Z23" s="1"/>
  <c r="J23" s="1"/>
  <c r="AH23"/>
  <c r="AI23"/>
  <c r="D26"/>
  <c r="A27"/>
  <c r="E26"/>
  <c r="B26"/>
  <c r="C26" s="1"/>
  <c r="G26"/>
  <c r="R20"/>
  <c r="S20" s="1"/>
  <c r="T20" s="1"/>
  <c r="H24"/>
  <c r="I24" s="1"/>
  <c r="AK24"/>
  <c r="Z51"/>
  <c r="AJ50"/>
  <c r="AK50"/>
  <c r="AL50"/>
  <c r="AM50"/>
  <c r="AA50"/>
  <c r="AB49"/>
  <c r="AD49" s="1"/>
  <c r="AC49"/>
  <c r="AE49" s="1"/>
  <c r="AH49" s="1"/>
  <c r="AC22"/>
  <c r="G53" i="48"/>
  <c r="F53" s="1"/>
  <c r="P6"/>
  <c r="P4"/>
  <c r="P5" s="1"/>
  <c r="P3"/>
  <c r="M22" i="78" l="1"/>
  <c r="V19"/>
  <c r="AC23"/>
  <c r="AA22"/>
  <c r="R22" s="1"/>
  <c r="AD23"/>
  <c r="N23" s="1"/>
  <c r="AB23"/>
  <c r="K23" s="1"/>
  <c r="M23" s="1"/>
  <c r="L22"/>
  <c r="U20"/>
  <c r="V20"/>
  <c r="W20"/>
  <c r="AG49"/>
  <c r="AF49"/>
  <c r="AI49" s="1"/>
  <c r="AC50"/>
  <c r="AE50" s="1"/>
  <c r="AH50" s="1"/>
  <c r="AB50"/>
  <c r="AD50" s="1"/>
  <c r="AF24"/>
  <c r="Y24"/>
  <c r="Z24" s="1"/>
  <c r="J24" s="1"/>
  <c r="AI24"/>
  <c r="AE24"/>
  <c r="AJ24"/>
  <c r="AG24"/>
  <c r="AH24"/>
  <c r="R21"/>
  <c r="S21" s="1"/>
  <c r="U21" s="1"/>
  <c r="H25"/>
  <c r="I25" s="1"/>
  <c r="AK25"/>
  <c r="AL51"/>
  <c r="AM51"/>
  <c r="AA51"/>
  <c r="Z52"/>
  <c r="AK51"/>
  <c r="AJ51"/>
  <c r="O26"/>
  <c r="P26" s="1"/>
  <c r="Q26" s="1"/>
  <c r="F26"/>
  <c r="V18"/>
  <c r="W18"/>
  <c r="D27"/>
  <c r="A28"/>
  <c r="E27"/>
  <c r="B27"/>
  <c r="C27" s="1"/>
  <c r="G27"/>
  <c r="A18" i="48"/>
  <c r="A19" s="1"/>
  <c r="A20" s="1"/>
  <c r="A21" s="1"/>
  <c r="P13"/>
  <c r="G17" s="1"/>
  <c r="L4" i="77"/>
  <c r="A18" s="1"/>
  <c r="L3" i="48"/>
  <c r="L5" i="77"/>
  <c r="G8"/>
  <c r="C4"/>
  <c r="G46" s="1"/>
  <c r="C7"/>
  <c r="P8"/>
  <c r="C6"/>
  <c r="P7"/>
  <c r="P12"/>
  <c r="P13" s="1"/>
  <c r="G17" s="1"/>
  <c r="G2"/>
  <c r="G3" s="1"/>
  <c r="W5"/>
  <c r="AG8" s="1"/>
  <c r="T5"/>
  <c r="T7" s="1"/>
  <c r="L7"/>
  <c r="P2"/>
  <c r="C10"/>
  <c r="AB12" s="1"/>
  <c r="C8"/>
  <c r="AB11" s="1"/>
  <c r="G4"/>
  <c r="C3"/>
  <c r="T10"/>
  <c r="T3"/>
  <c r="P9" i="48"/>
  <c r="AB4"/>
  <c r="E17" s="1"/>
  <c r="AB5" i="77"/>
  <c r="G13"/>
  <c r="G14"/>
  <c r="L11" i="48"/>
  <c r="Y44" s="1"/>
  <c r="AA41" s="1"/>
  <c r="G3"/>
  <c r="T7"/>
  <c r="AB11"/>
  <c r="AB5"/>
  <c r="AG7"/>
  <c r="G14"/>
  <c r="T8" s="1"/>
  <c r="L13" s="1"/>
  <c r="L6"/>
  <c r="L8" s="1"/>
  <c r="G7" i="31"/>
  <c r="O1" i="77"/>
  <c r="R1"/>
  <c r="W1"/>
  <c r="U2"/>
  <c r="W2"/>
  <c r="AB8"/>
  <c r="AK8"/>
  <c r="W9"/>
  <c r="AK9"/>
  <c r="O11"/>
  <c r="Q11"/>
  <c r="AJ41"/>
  <c r="AK41"/>
  <c r="AN41"/>
  <c r="AN44" s="1"/>
  <c r="Z42"/>
  <c r="AJ42" s="1"/>
  <c r="AN42"/>
  <c r="AN43" s="1"/>
  <c r="AN45" s="1"/>
  <c r="AO42"/>
  <c r="Z43"/>
  <c r="AO43"/>
  <c r="AO45"/>
  <c r="AO46" s="1"/>
  <c r="AG8" i="48"/>
  <c r="O1"/>
  <c r="R1"/>
  <c r="W1"/>
  <c r="U2"/>
  <c r="W2"/>
  <c r="AB8"/>
  <c r="AK8"/>
  <c r="W9"/>
  <c r="AK9"/>
  <c r="O11"/>
  <c r="Q11"/>
  <c r="T12"/>
  <c r="AM19"/>
  <c r="AM30"/>
  <c r="AM38"/>
  <c r="AJ41"/>
  <c r="AK41"/>
  <c r="AN41"/>
  <c r="AN44" s="1"/>
  <c r="Z42"/>
  <c r="AN42"/>
  <c r="AN46" s="1"/>
  <c r="AO42"/>
  <c r="AO43"/>
  <c r="AO45"/>
  <c r="AO46" s="1"/>
  <c r="P4" i="31"/>
  <c r="P5" s="1"/>
  <c r="A18"/>
  <c r="A19" s="1"/>
  <c r="P9"/>
  <c r="D18" s="1"/>
  <c r="L11"/>
  <c r="AB4"/>
  <c r="E18" s="1"/>
  <c r="P13"/>
  <c r="G3"/>
  <c r="T7"/>
  <c r="G9"/>
  <c r="AL41" s="1"/>
  <c r="AB5"/>
  <c r="C10"/>
  <c r="AB12" s="1"/>
  <c r="C9" s="1"/>
  <c r="AB6" s="1"/>
  <c r="AB7" s="1"/>
  <c r="C11" s="1"/>
  <c r="AB11"/>
  <c r="AG7"/>
  <c r="G14"/>
  <c r="T8"/>
  <c r="L13" s="1"/>
  <c r="L6"/>
  <c r="L8"/>
  <c r="G17"/>
  <c r="AG8"/>
  <c r="Y44"/>
  <c r="AM41" s="1"/>
  <c r="AB8"/>
  <c r="AQ18"/>
  <c r="AR18"/>
  <c r="AP18"/>
  <c r="Z42"/>
  <c r="Z43" s="1"/>
  <c r="AA41"/>
  <c r="P3"/>
  <c r="AK9"/>
  <c r="AK8"/>
  <c r="W1"/>
  <c r="O1"/>
  <c r="U2"/>
  <c r="W2"/>
  <c r="O11"/>
  <c r="W9"/>
  <c r="R1"/>
  <c r="AO45"/>
  <c r="AO46" s="1"/>
  <c r="AO43"/>
  <c r="AO42"/>
  <c r="AN41"/>
  <c r="AN47" s="1"/>
  <c r="AN42"/>
  <c r="AN46" s="1"/>
  <c r="AN43"/>
  <c r="AN45" s="1"/>
  <c r="X4"/>
  <c r="T12"/>
  <c r="AL42"/>
  <c r="AK42"/>
  <c r="AK41"/>
  <c r="AJ41"/>
  <c r="AN38"/>
  <c r="P6"/>
  <c r="H7"/>
  <c r="Q11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M38"/>
  <c r="AN37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24" i="48" l="1"/>
  <c r="AC24" i="78"/>
  <c r="AA23"/>
  <c r="R23" s="1"/>
  <c r="L23"/>
  <c r="AB24"/>
  <c r="K24" s="1"/>
  <c r="S22"/>
  <c r="T22" s="1"/>
  <c r="AC51"/>
  <c r="AE51" s="1"/>
  <c r="AH51" s="1"/>
  <c r="AB51"/>
  <c r="AD51" s="1"/>
  <c r="H26"/>
  <c r="I26" s="1"/>
  <c r="AK26"/>
  <c r="F27"/>
  <c r="O27"/>
  <c r="P27" s="1"/>
  <c r="Q27" s="1"/>
  <c r="AJ25"/>
  <c r="AG25"/>
  <c r="AH25"/>
  <c r="AI25"/>
  <c r="AE25"/>
  <c r="AF25"/>
  <c r="Y25"/>
  <c r="Z25" s="1"/>
  <c r="J25" s="1"/>
  <c r="AF50"/>
  <c r="AI50" s="1"/>
  <c r="AG50"/>
  <c r="U22"/>
  <c r="Z53"/>
  <c r="AJ52"/>
  <c r="AK52"/>
  <c r="AA52"/>
  <c r="AL52"/>
  <c r="AM52"/>
  <c r="D28"/>
  <c r="A29"/>
  <c r="E28"/>
  <c r="B28"/>
  <c r="C28" s="1"/>
  <c r="G28"/>
  <c r="T21"/>
  <c r="AD24"/>
  <c r="AM18" i="48"/>
  <c r="AN47" i="77"/>
  <c r="AN46"/>
  <c r="AL30" i="48"/>
  <c r="AL37"/>
  <c r="AL26"/>
  <c r="AL17"/>
  <c r="AL33"/>
  <c r="AL22"/>
  <c r="AR21"/>
  <c r="E20"/>
  <c r="AO21"/>
  <c r="B18"/>
  <c r="C18" s="1"/>
  <c r="D21"/>
  <c r="O21" s="1"/>
  <c r="P21" s="1"/>
  <c r="Q21" s="1"/>
  <c r="AL34"/>
  <c r="AL23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35"/>
  <c r="AL31"/>
  <c r="AL28"/>
  <c r="AL24"/>
  <c r="AL20"/>
  <c r="AB12"/>
  <c r="C9" s="1"/>
  <c r="AB6" s="1"/>
  <c r="AB7" s="1"/>
  <c r="C11" s="1"/>
  <c r="G5" s="1"/>
  <c r="AL38"/>
  <c r="AL27"/>
  <c r="AL18"/>
  <c r="AL36"/>
  <c r="AL32"/>
  <c r="AL29"/>
  <c r="AL25"/>
  <c r="AL21"/>
  <c r="AL19"/>
  <c r="G45" i="77"/>
  <c r="G42"/>
  <c r="G43"/>
  <c r="G44"/>
  <c r="G7" s="1"/>
  <c r="G21" i="48"/>
  <c r="AA42"/>
  <c r="AM22"/>
  <c r="AQ19"/>
  <c r="AQ18"/>
  <c r="AM26"/>
  <c r="AM21"/>
  <c r="AM20"/>
  <c r="G19"/>
  <c r="AR18"/>
  <c r="AO19"/>
  <c r="AM36"/>
  <c r="AM28"/>
  <c r="AP18"/>
  <c r="AM34"/>
  <c r="AP19"/>
  <c r="AM32"/>
  <c r="AP20"/>
  <c r="B20"/>
  <c r="C20" s="1"/>
  <c r="AR19"/>
  <c r="AO20"/>
  <c r="AQ20"/>
  <c r="L3" i="77"/>
  <c r="AM23" s="1"/>
  <c r="E21" i="48"/>
  <c r="B21"/>
  <c r="C21" s="1"/>
  <c r="B19"/>
  <c r="C19" s="1"/>
  <c r="E18"/>
  <c r="AM37"/>
  <c r="AM35"/>
  <c r="AM33"/>
  <c r="AM31"/>
  <c r="AM29"/>
  <c r="AM27"/>
  <c r="AM25"/>
  <c r="AM23"/>
  <c r="AP21"/>
  <c r="E19"/>
  <c r="AR20"/>
  <c r="X4"/>
  <c r="AO18"/>
  <c r="G18"/>
  <c r="B17"/>
  <c r="C17" s="1"/>
  <c r="AN43"/>
  <c r="AN45" s="1"/>
  <c r="G20"/>
  <c r="AN47"/>
  <c r="D17"/>
  <c r="O17" s="1"/>
  <c r="P17" s="1"/>
  <c r="Q17" s="1"/>
  <c r="D18"/>
  <c r="O18" s="1"/>
  <c r="P18" s="1"/>
  <c r="Q18" s="1"/>
  <c r="D20"/>
  <c r="O20" s="1"/>
  <c r="P20" s="1"/>
  <c r="Q20" s="1"/>
  <c r="D19"/>
  <c r="O19" s="1"/>
  <c r="P19" s="1"/>
  <c r="Q19" s="1"/>
  <c r="AB4" i="77"/>
  <c r="E18" s="1"/>
  <c r="T12"/>
  <c r="C9"/>
  <c r="AB6" s="1"/>
  <c r="AB7" s="1"/>
  <c r="C11" s="1"/>
  <c r="AB9" s="1"/>
  <c r="A20" i="31"/>
  <c r="AO20" s="1"/>
  <c r="AR19"/>
  <c r="AO19"/>
  <c r="AQ19"/>
  <c r="AK43" i="77"/>
  <c r="AJ43"/>
  <c r="Z44"/>
  <c r="G9" i="48"/>
  <c r="AL42" s="1"/>
  <c r="L12"/>
  <c r="AG3" s="1"/>
  <c r="AG4" s="1"/>
  <c r="P3" i="77"/>
  <c r="P9"/>
  <c r="D17" s="1"/>
  <c r="P4"/>
  <c r="B18" s="1"/>
  <c r="C18" s="1"/>
  <c r="P6"/>
  <c r="A22" i="48"/>
  <c r="AQ21"/>
  <c r="B18" i="31"/>
  <c r="C18" s="1"/>
  <c r="Z43" i="48"/>
  <c r="AK43" s="1"/>
  <c r="AJ42"/>
  <c r="L11" i="77"/>
  <c r="AN44" i="31"/>
  <c r="G18"/>
  <c r="AO18"/>
  <c r="AK42" i="77"/>
  <c r="L6"/>
  <c r="A19"/>
  <c r="T8"/>
  <c r="G18"/>
  <c r="O18" i="31"/>
  <c r="P18" s="1"/>
  <c r="Q18" s="1"/>
  <c r="F18"/>
  <c r="AL43"/>
  <c r="AJ43"/>
  <c r="Z44"/>
  <c r="AA43"/>
  <c r="AM43"/>
  <c r="AK43"/>
  <c r="AB9"/>
  <c r="G5"/>
  <c r="B20"/>
  <c r="C20" s="1"/>
  <c r="AQ20"/>
  <c r="AJ42"/>
  <c r="AM42"/>
  <c r="AA42"/>
  <c r="AP19"/>
  <c r="E17"/>
  <c r="D17"/>
  <c r="B17"/>
  <c r="C17" s="1"/>
  <c r="G19"/>
  <c r="E19"/>
  <c r="D19"/>
  <c r="B19"/>
  <c r="C19" s="1"/>
  <c r="L12"/>
  <c r="AK42" i="48"/>
  <c r="AG7" i="77"/>
  <c r="AB25" i="78" l="1"/>
  <c r="M24"/>
  <c r="AM24"/>
  <c r="AM28"/>
  <c r="AM21"/>
  <c r="AM26"/>
  <c r="X4"/>
  <c r="AR18"/>
  <c r="AM36"/>
  <c r="AM32"/>
  <c r="AM20"/>
  <c r="AM29"/>
  <c r="AM35"/>
  <c r="AM23"/>
  <c r="AO18"/>
  <c r="AM37"/>
  <c r="AM33"/>
  <c r="AM18"/>
  <c r="AM27"/>
  <c r="AM30"/>
  <c r="AQ18"/>
  <c r="AM38"/>
  <c r="AM34"/>
  <c r="AM19"/>
  <c r="AM25"/>
  <c r="AP18"/>
  <c r="AM22"/>
  <c r="AM31"/>
  <c r="AO19"/>
  <c r="AP19"/>
  <c r="AR19"/>
  <c r="AQ19"/>
  <c r="AR20"/>
  <c r="AP20"/>
  <c r="AO20"/>
  <c r="AQ20"/>
  <c r="AQ21"/>
  <c r="AR21"/>
  <c r="AP21"/>
  <c r="AO21"/>
  <c r="AO22"/>
  <c r="AQ22"/>
  <c r="AP22"/>
  <c r="AR22"/>
  <c r="AR23"/>
  <c r="AP23"/>
  <c r="AO23"/>
  <c r="AQ23"/>
  <c r="AQ24"/>
  <c r="AP24"/>
  <c r="AR24"/>
  <c r="AO24"/>
  <c r="AP25"/>
  <c r="AR25"/>
  <c r="AO25"/>
  <c r="AQ25"/>
  <c r="AP26"/>
  <c r="AQ26"/>
  <c r="AR26"/>
  <c r="AO26"/>
  <c r="AP27"/>
  <c r="AR27"/>
  <c r="AO27"/>
  <c r="AQ27"/>
  <c r="S23"/>
  <c r="T23" s="1"/>
  <c r="W23" s="1"/>
  <c r="K25"/>
  <c r="U23"/>
  <c r="AC25"/>
  <c r="L24"/>
  <c r="AA24"/>
  <c r="N24"/>
  <c r="AR29"/>
  <c r="D29"/>
  <c r="A30"/>
  <c r="AO29"/>
  <c r="E29"/>
  <c r="AP29"/>
  <c r="B29"/>
  <c r="C29" s="1"/>
  <c r="AQ29"/>
  <c r="G29"/>
  <c r="H27"/>
  <c r="I27" s="1"/>
  <c r="AK27"/>
  <c r="AL53"/>
  <c r="AM53"/>
  <c r="AA53"/>
  <c r="AJ53"/>
  <c r="AK53"/>
  <c r="Z54"/>
  <c r="AH26"/>
  <c r="AG26"/>
  <c r="AE26"/>
  <c r="AB26" s="1"/>
  <c r="AI26"/>
  <c r="AF26"/>
  <c r="Y26"/>
  <c r="Z26" s="1"/>
  <c r="J26" s="1"/>
  <c r="AJ26"/>
  <c r="O28"/>
  <c r="P28" s="1"/>
  <c r="Q28" s="1"/>
  <c r="F28"/>
  <c r="V21"/>
  <c r="W21"/>
  <c r="AB52"/>
  <c r="AD52" s="1"/>
  <c r="AC52"/>
  <c r="AE52" s="1"/>
  <c r="AH52" s="1"/>
  <c r="V22"/>
  <c r="W22"/>
  <c r="AF51"/>
  <c r="AI51" s="1"/>
  <c r="AG51"/>
  <c r="AD25"/>
  <c r="F17" i="48"/>
  <c r="AG6" s="1"/>
  <c r="F21"/>
  <c r="AK21" s="1"/>
  <c r="E17" i="77"/>
  <c r="F17" s="1"/>
  <c r="AG6" s="1"/>
  <c r="AM31"/>
  <c r="AM32"/>
  <c r="AR18"/>
  <c r="AQ19"/>
  <c r="AM35"/>
  <c r="AQ18"/>
  <c r="AO18"/>
  <c r="AP18"/>
  <c r="AM28"/>
  <c r="AM38"/>
  <c r="AG5" i="48"/>
  <c r="T13" s="1"/>
  <c r="AM36" i="77"/>
  <c r="AM22"/>
  <c r="AM26"/>
  <c r="AM34"/>
  <c r="AM24"/>
  <c r="AM21"/>
  <c r="AM25"/>
  <c r="AM29"/>
  <c r="AM33"/>
  <c r="AM37"/>
  <c r="AM19"/>
  <c r="AM27"/>
  <c r="X4"/>
  <c r="AM18"/>
  <c r="AM20"/>
  <c r="AM30"/>
  <c r="F18" i="48"/>
  <c r="AK18" s="1"/>
  <c r="AB9"/>
  <c r="F20"/>
  <c r="H20" s="1"/>
  <c r="I20" s="1"/>
  <c r="F19"/>
  <c r="H19" s="1"/>
  <c r="I19" s="1"/>
  <c r="AH19" s="1"/>
  <c r="AM42"/>
  <c r="AO19" i="77"/>
  <c r="G5"/>
  <c r="L13"/>
  <c r="D18"/>
  <c r="O18" s="1"/>
  <c r="P18" s="1"/>
  <c r="Q18" s="1"/>
  <c r="E19"/>
  <c r="AP19"/>
  <c r="AA43" i="48"/>
  <c r="AL43"/>
  <c r="AJ43"/>
  <c r="B17" i="77"/>
  <c r="C17" s="1"/>
  <c r="P5"/>
  <c r="L12"/>
  <c r="Y44"/>
  <c r="AA44" s="1"/>
  <c r="AM41" i="48"/>
  <c r="AL41"/>
  <c r="H7"/>
  <c r="Z45" i="77"/>
  <c r="AK44"/>
  <c r="AJ44"/>
  <c r="D20" i="31"/>
  <c r="F20" s="1"/>
  <c r="A20" i="77"/>
  <c r="E20" s="1"/>
  <c r="AR19"/>
  <c r="Z44" i="48"/>
  <c r="AL44" s="1"/>
  <c r="A21" i="31"/>
  <c r="E20"/>
  <c r="B19" i="77"/>
  <c r="C19" s="1"/>
  <c r="L8"/>
  <c r="AL18"/>
  <c r="AL19"/>
  <c r="AL20"/>
  <c r="AL22"/>
  <c r="AL24"/>
  <c r="AL26"/>
  <c r="AL28"/>
  <c r="AL30"/>
  <c r="AL32"/>
  <c r="AL34"/>
  <c r="AL36"/>
  <c r="AL38"/>
  <c r="AL17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21"/>
  <c r="AL23"/>
  <c r="AL25"/>
  <c r="AL27"/>
  <c r="AL29"/>
  <c r="AL31"/>
  <c r="AL33"/>
  <c r="AL35"/>
  <c r="AL37"/>
  <c r="A23" i="48"/>
  <c r="AQ22"/>
  <c r="E22"/>
  <c r="D22"/>
  <c r="AO22"/>
  <c r="AR22"/>
  <c r="B22"/>
  <c r="C22" s="1"/>
  <c r="G22"/>
  <c r="AP22"/>
  <c r="AR20" i="31"/>
  <c r="AM43" i="48"/>
  <c r="AP20" i="31"/>
  <c r="G20"/>
  <c r="D19" i="77"/>
  <c r="G19"/>
  <c r="O17"/>
  <c r="P17" s="1"/>
  <c r="Q17" s="1"/>
  <c r="AG5" i="31"/>
  <c r="T13" s="1"/>
  <c r="AG3"/>
  <c r="AG4" s="1"/>
  <c r="O19"/>
  <c r="P19" s="1"/>
  <c r="Q19" s="1"/>
  <c r="F19"/>
  <c r="O17"/>
  <c r="P17" s="1"/>
  <c r="Q17" s="1"/>
  <c r="F17"/>
  <c r="A22"/>
  <c r="B21"/>
  <c r="C21" s="1"/>
  <c r="D21"/>
  <c r="E21"/>
  <c r="G21"/>
  <c r="AP21"/>
  <c r="AO21"/>
  <c r="AQ21"/>
  <c r="AR21"/>
  <c r="Z45"/>
  <c r="AA44"/>
  <c r="AM44"/>
  <c r="AJ44"/>
  <c r="AL44"/>
  <c r="AK44"/>
  <c r="H18"/>
  <c r="I18" s="1"/>
  <c r="AJ18" s="1"/>
  <c r="AK18"/>
  <c r="M25" i="78" l="1"/>
  <c r="AC26"/>
  <c r="V23"/>
  <c r="L25"/>
  <c r="AA25"/>
  <c r="N25"/>
  <c r="AF52"/>
  <c r="AI52" s="1"/>
  <c r="AG52"/>
  <c r="AR30"/>
  <c r="D30"/>
  <c r="A31"/>
  <c r="AO30"/>
  <c r="E30"/>
  <c r="AQ30"/>
  <c r="AP30"/>
  <c r="B30"/>
  <c r="C30" s="1"/>
  <c r="G30"/>
  <c r="R24"/>
  <c r="Z55"/>
  <c r="AJ54"/>
  <c r="AK54"/>
  <c r="AL54"/>
  <c r="AM54"/>
  <c r="AA54"/>
  <c r="AJ27"/>
  <c r="AG27"/>
  <c r="AE27"/>
  <c r="AH27"/>
  <c r="AI27"/>
  <c r="AD27" s="1"/>
  <c r="AF27"/>
  <c r="Y27"/>
  <c r="Z27" s="1"/>
  <c r="J27" s="1"/>
  <c r="H28"/>
  <c r="AK28"/>
  <c r="AB53"/>
  <c r="AD53" s="1"/>
  <c r="AC53"/>
  <c r="AE53" s="1"/>
  <c r="AH53" s="1"/>
  <c r="K26"/>
  <c r="AD26"/>
  <c r="O29"/>
  <c r="P29" s="1"/>
  <c r="Q29" s="1"/>
  <c r="F29"/>
  <c r="H21" i="48"/>
  <c r="I21" s="1"/>
  <c r="AJ21" s="1"/>
  <c r="H17"/>
  <c r="I17" s="1"/>
  <c r="AJ17" s="1"/>
  <c r="AA44"/>
  <c r="AK44"/>
  <c r="AJ44"/>
  <c r="Z45"/>
  <c r="Z46" s="1"/>
  <c r="AM44"/>
  <c r="O20" i="31"/>
  <c r="P20" s="1"/>
  <c r="Q20" s="1"/>
  <c r="AK20" i="48"/>
  <c r="AE19"/>
  <c r="Y19"/>
  <c r="Z19" s="1"/>
  <c r="J19" s="1"/>
  <c r="H18"/>
  <c r="I18" s="1"/>
  <c r="Y18" s="1"/>
  <c r="Z18" s="1"/>
  <c r="J18" s="1"/>
  <c r="AI19"/>
  <c r="AF19"/>
  <c r="AG19"/>
  <c r="AC19" s="1"/>
  <c r="AJ19"/>
  <c r="A21" i="77"/>
  <c r="A22" s="1"/>
  <c r="H17"/>
  <c r="G20"/>
  <c r="AK19" i="48"/>
  <c r="F18" i="77"/>
  <c r="AK18" s="1"/>
  <c r="O19"/>
  <c r="P19" s="1"/>
  <c r="Q19" s="1"/>
  <c r="F19"/>
  <c r="A24" i="48"/>
  <c r="AQ23"/>
  <c r="AO23"/>
  <c r="AR23"/>
  <c r="B23"/>
  <c r="C23" s="1"/>
  <c r="G23"/>
  <c r="D23"/>
  <c r="O23" s="1"/>
  <c r="P23" s="1"/>
  <c r="Q23" s="1"/>
  <c r="AP23"/>
  <c r="E23"/>
  <c r="Y20"/>
  <c r="Z20" s="1"/>
  <c r="J20" s="1"/>
  <c r="AG20"/>
  <c r="AH20"/>
  <c r="AI20"/>
  <c r="AJ20"/>
  <c r="AE20"/>
  <c r="AF20"/>
  <c r="AA43" i="77"/>
  <c r="AA42"/>
  <c r="AA41"/>
  <c r="AA45"/>
  <c r="AJ45"/>
  <c r="Z46"/>
  <c r="AK45"/>
  <c r="AP20"/>
  <c r="B20"/>
  <c r="C20" s="1"/>
  <c r="AR20"/>
  <c r="AO20"/>
  <c r="AG3"/>
  <c r="AG4" s="1"/>
  <c r="AG5"/>
  <c r="T13" s="1"/>
  <c r="O22" i="48"/>
  <c r="P22" s="1"/>
  <c r="Q22" s="1"/>
  <c r="F22"/>
  <c r="D20" i="77"/>
  <c r="O20" s="1"/>
  <c r="P20" s="1"/>
  <c r="Q20" s="1"/>
  <c r="AQ20"/>
  <c r="AL45" i="31"/>
  <c r="AJ45"/>
  <c r="Z46"/>
  <c r="AA45"/>
  <c r="AM45"/>
  <c r="AK45"/>
  <c r="O21"/>
  <c r="P21" s="1"/>
  <c r="Q21" s="1"/>
  <c r="F21"/>
  <c r="AO22"/>
  <c r="B22"/>
  <c r="C22" s="1"/>
  <c r="D22"/>
  <c r="E22"/>
  <c r="G22"/>
  <c r="AQ22"/>
  <c r="AR22"/>
  <c r="A23"/>
  <c r="AP22"/>
  <c r="AG6"/>
  <c r="H17"/>
  <c r="H19"/>
  <c r="I19" s="1"/>
  <c r="AK19"/>
  <c r="AE18"/>
  <c r="AH18"/>
  <c r="Y18"/>
  <c r="Z18" s="1"/>
  <c r="J18" s="1"/>
  <c r="H20"/>
  <c r="I20" s="1"/>
  <c r="AK20"/>
  <c r="AJ45" i="48"/>
  <c r="AL45"/>
  <c r="AG18" i="31"/>
  <c r="AI18"/>
  <c r="AD18" s="1"/>
  <c r="AF18"/>
  <c r="S24" i="78" l="1"/>
  <c r="T24" s="1"/>
  <c r="W24" s="1"/>
  <c r="H29"/>
  <c r="I29" s="1"/>
  <c r="AK29"/>
  <c r="AC54"/>
  <c r="AE54" s="1"/>
  <c r="AH54" s="1"/>
  <c r="AB54"/>
  <c r="AD54" s="1"/>
  <c r="L27"/>
  <c r="AA27"/>
  <c r="N27"/>
  <c r="O30"/>
  <c r="P30" s="1"/>
  <c r="Q30" s="1"/>
  <c r="F30"/>
  <c r="L26"/>
  <c r="AA26"/>
  <c r="N26"/>
  <c r="AF53"/>
  <c r="AI53" s="1"/>
  <c r="AG53"/>
  <c r="I28"/>
  <c r="AQ28"/>
  <c r="AR28"/>
  <c r="AP31"/>
  <c r="AQ31"/>
  <c r="A32"/>
  <c r="E31"/>
  <c r="AR31"/>
  <c r="AO31"/>
  <c r="B31"/>
  <c r="C31" s="1"/>
  <c r="D31"/>
  <c r="G31"/>
  <c r="R25"/>
  <c r="S25" s="1"/>
  <c r="U25" s="1"/>
  <c r="AL55"/>
  <c r="AM55"/>
  <c r="AA55"/>
  <c r="Z56"/>
  <c r="AJ55"/>
  <c r="AK55"/>
  <c r="M26"/>
  <c r="AC27"/>
  <c r="AB27"/>
  <c r="K27" s="1"/>
  <c r="AI17" i="48"/>
  <c r="AD17" s="1"/>
  <c r="AA17" s="1"/>
  <c r="AH21"/>
  <c r="AH17"/>
  <c r="AI21"/>
  <c r="AD21" s="1"/>
  <c r="AA21" s="1"/>
  <c r="R21" s="1"/>
  <c r="AG21"/>
  <c r="AE21"/>
  <c r="AF21"/>
  <c r="Y21"/>
  <c r="Z21" s="1"/>
  <c r="J21" s="1"/>
  <c r="Y17"/>
  <c r="Z17" s="1"/>
  <c r="J17" s="1"/>
  <c r="AE17"/>
  <c r="AF17"/>
  <c r="AG17"/>
  <c r="AG9"/>
  <c r="AC41" s="1"/>
  <c r="AE41" s="1"/>
  <c r="AH41" s="1"/>
  <c r="AK45"/>
  <c r="AM45"/>
  <c r="AA45"/>
  <c r="AH18"/>
  <c r="AJ18"/>
  <c r="AC18" i="31"/>
  <c r="AE18" i="48"/>
  <c r="AC21"/>
  <c r="AD19"/>
  <c r="N19" s="1"/>
  <c r="B21" i="77"/>
  <c r="C21" s="1"/>
  <c r="AR21"/>
  <c r="G21"/>
  <c r="D21"/>
  <c r="O21" s="1"/>
  <c r="P21" s="1"/>
  <c r="Q21" s="1"/>
  <c r="AB19" i="48"/>
  <c r="K19" s="1"/>
  <c r="M19" s="1"/>
  <c r="AO21" i="77"/>
  <c r="E21"/>
  <c r="AQ21"/>
  <c r="AP21"/>
  <c r="AG18" i="48"/>
  <c r="AF18"/>
  <c r="AI18"/>
  <c r="I17" i="77"/>
  <c r="AG9"/>
  <c r="AB42" s="1"/>
  <c r="AD42" s="1"/>
  <c r="AG42" s="1"/>
  <c r="H18"/>
  <c r="I18" s="1"/>
  <c r="AE18" s="1"/>
  <c r="F20"/>
  <c r="H20" s="1"/>
  <c r="I20" s="1"/>
  <c r="AB20" i="48"/>
  <c r="K20" s="1"/>
  <c r="AC20"/>
  <c r="F23"/>
  <c r="AK23" s="1"/>
  <c r="A25"/>
  <c r="AR24"/>
  <c r="B24"/>
  <c r="C24" s="1"/>
  <c r="G24"/>
  <c r="AP24"/>
  <c r="AO24"/>
  <c r="D24"/>
  <c r="E24"/>
  <c r="AQ24"/>
  <c r="AK22"/>
  <c r="H22"/>
  <c r="I22" s="1"/>
  <c r="AD20"/>
  <c r="AA46" i="77"/>
  <c r="AJ46"/>
  <c r="Z47"/>
  <c r="AK46"/>
  <c r="AK19"/>
  <c r="H19"/>
  <c r="I19" s="1"/>
  <c r="AQ22"/>
  <c r="B22"/>
  <c r="C22" s="1"/>
  <c r="E22"/>
  <c r="A23"/>
  <c r="D22"/>
  <c r="AP22"/>
  <c r="G22"/>
  <c r="AR22"/>
  <c r="AO22"/>
  <c r="AJ46" i="48"/>
  <c r="AL46"/>
  <c r="Z47"/>
  <c r="AA46"/>
  <c r="AK46"/>
  <c r="AM46"/>
  <c r="AJ19" i="31"/>
  <c r="AF19"/>
  <c r="AG19"/>
  <c r="Y19"/>
  <c r="Z19" s="1"/>
  <c r="J19" s="1"/>
  <c r="AH19"/>
  <c r="AI19"/>
  <c r="AE19"/>
  <c r="A24"/>
  <c r="B23"/>
  <c r="C23" s="1"/>
  <c r="D23"/>
  <c r="E23"/>
  <c r="G23"/>
  <c r="AP23"/>
  <c r="AO23"/>
  <c r="AQ23"/>
  <c r="AR23"/>
  <c r="H21"/>
  <c r="I21" s="1"/>
  <c r="AK21"/>
  <c r="Z47"/>
  <c r="AA46"/>
  <c r="AM46"/>
  <c r="AL46"/>
  <c r="AJ46"/>
  <c r="AK46"/>
  <c r="AB18"/>
  <c r="K18" s="1"/>
  <c r="M18" s="1"/>
  <c r="AA18"/>
  <c r="L18"/>
  <c r="N18"/>
  <c r="AJ20"/>
  <c r="AF20"/>
  <c r="AI20"/>
  <c r="AG20"/>
  <c r="Y20"/>
  <c r="Z20" s="1"/>
  <c r="J20" s="1"/>
  <c r="AH20"/>
  <c r="AE20"/>
  <c r="I17"/>
  <c r="AG9"/>
  <c r="AC45" s="1"/>
  <c r="AE45" s="1"/>
  <c r="AH45" s="1"/>
  <c r="O22"/>
  <c r="P22" s="1"/>
  <c r="Q22" s="1"/>
  <c r="F22"/>
  <c r="U24" i="78" l="1"/>
  <c r="V24"/>
  <c r="T25"/>
  <c r="W25" s="1"/>
  <c r="M27"/>
  <c r="Z57"/>
  <c r="AJ56"/>
  <c r="AK56"/>
  <c r="AA56"/>
  <c r="AM56"/>
  <c r="AL56"/>
  <c r="R27"/>
  <c r="S27" s="1"/>
  <c r="T27" s="1"/>
  <c r="AF54"/>
  <c r="AI54" s="1"/>
  <c r="AG54"/>
  <c r="AF28"/>
  <c r="Y28"/>
  <c r="Z28" s="1"/>
  <c r="J28" s="1"/>
  <c r="AI28"/>
  <c r="AH28"/>
  <c r="AJ28"/>
  <c r="AG28"/>
  <c r="AE28"/>
  <c r="AP28"/>
  <c r="R26"/>
  <c r="S26" s="1"/>
  <c r="T26" s="1"/>
  <c r="AJ29"/>
  <c r="AG29"/>
  <c r="AE29"/>
  <c r="AI29"/>
  <c r="AH29"/>
  <c r="AF29"/>
  <c r="Y29"/>
  <c r="Z29" s="1"/>
  <c r="J29" s="1"/>
  <c r="AP32"/>
  <c r="B32"/>
  <c r="C32" s="1"/>
  <c r="AQ32"/>
  <c r="AO32"/>
  <c r="AR32"/>
  <c r="D32"/>
  <c r="A33"/>
  <c r="E32"/>
  <c r="G32"/>
  <c r="AC55"/>
  <c r="AE55" s="1"/>
  <c r="AH55" s="1"/>
  <c r="AB55"/>
  <c r="AD55" s="1"/>
  <c r="F31"/>
  <c r="O31"/>
  <c r="P31" s="1"/>
  <c r="Q31" s="1"/>
  <c r="H30"/>
  <c r="I30" s="1"/>
  <c r="AK30"/>
  <c r="AB21" i="48"/>
  <c r="K21" s="1"/>
  <c r="M21" s="1"/>
  <c r="AB41"/>
  <c r="AD41" s="1"/>
  <c r="AG41" s="1"/>
  <c r="AC18"/>
  <c r="AC17"/>
  <c r="S17" s="1"/>
  <c r="L21"/>
  <c r="N21"/>
  <c r="AB17"/>
  <c r="K17" s="1"/>
  <c r="AG11"/>
  <c r="AC45"/>
  <c r="AE45" s="1"/>
  <c r="AH45" s="1"/>
  <c r="AK2"/>
  <c r="AG10"/>
  <c r="AB44"/>
  <c r="AD44" s="1"/>
  <c r="AG44" s="1"/>
  <c r="AB43"/>
  <c r="AD43" s="1"/>
  <c r="AG43" s="1"/>
  <c r="AB42"/>
  <c r="AD42" s="1"/>
  <c r="AG42" s="1"/>
  <c r="AC43"/>
  <c r="AE43" s="1"/>
  <c r="AH43" s="1"/>
  <c r="AC44"/>
  <c r="AE44" s="1"/>
  <c r="AH44" s="1"/>
  <c r="AC42"/>
  <c r="AE42" s="1"/>
  <c r="AH42" s="1"/>
  <c r="AK1"/>
  <c r="AK3" s="1"/>
  <c r="AK4" s="1"/>
  <c r="AB45"/>
  <c r="AD45" s="1"/>
  <c r="AD18"/>
  <c r="L18" s="1"/>
  <c r="AB18"/>
  <c r="K18" s="1"/>
  <c r="AA19"/>
  <c r="R19" s="1"/>
  <c r="L19"/>
  <c r="F21" i="77"/>
  <c r="AK21" s="1"/>
  <c r="AK20"/>
  <c r="AF41" i="48"/>
  <c r="AI41" s="1"/>
  <c r="AF18" i="77"/>
  <c r="AB18" s="1"/>
  <c r="Y18"/>
  <c r="Z18" s="1"/>
  <c r="J18" s="1"/>
  <c r="AF17"/>
  <c r="Y17"/>
  <c r="Z17" s="1"/>
  <c r="J17" s="1"/>
  <c r="AE17"/>
  <c r="AC43"/>
  <c r="AE43" s="1"/>
  <c r="AH43" s="1"/>
  <c r="AC45"/>
  <c r="AE45" s="1"/>
  <c r="AH45" s="1"/>
  <c r="AB44"/>
  <c r="AD44" s="1"/>
  <c r="AC41"/>
  <c r="AE41" s="1"/>
  <c r="AH41" s="1"/>
  <c r="AC44"/>
  <c r="AE44" s="1"/>
  <c r="AH44" s="1"/>
  <c r="AB43"/>
  <c r="AD43" s="1"/>
  <c r="AB41"/>
  <c r="AD41" s="1"/>
  <c r="AB45"/>
  <c r="AD45" s="1"/>
  <c r="AC42"/>
  <c r="AE42" s="1"/>
  <c r="M20" i="48"/>
  <c r="L17"/>
  <c r="H23"/>
  <c r="I23" s="1"/>
  <c r="AH23" s="1"/>
  <c r="AB45" i="31"/>
  <c r="AD45" s="1"/>
  <c r="AG45" s="1"/>
  <c r="AD20"/>
  <c r="N20" s="1"/>
  <c r="O24" i="48"/>
  <c r="P24" s="1"/>
  <c r="Q24" s="1"/>
  <c r="F24"/>
  <c r="AA47" i="77"/>
  <c r="AJ47"/>
  <c r="AK47"/>
  <c r="Z48"/>
  <c r="AB46"/>
  <c r="AD46" s="1"/>
  <c r="AC46"/>
  <c r="AE46" s="1"/>
  <c r="AH46" s="1"/>
  <c r="AA20" i="48"/>
  <c r="R20" s="1"/>
  <c r="L20"/>
  <c r="N20"/>
  <c r="AE22"/>
  <c r="AF22"/>
  <c r="Y22"/>
  <c r="Z22" s="1"/>
  <c r="J22" s="1"/>
  <c r="AG22"/>
  <c r="AH22"/>
  <c r="AJ22"/>
  <c r="AI22"/>
  <c r="Y19" i="77"/>
  <c r="Z19" s="1"/>
  <c r="J19" s="1"/>
  <c r="AE19"/>
  <c r="AF19"/>
  <c r="A26" i="48"/>
  <c r="AQ25"/>
  <c r="E25"/>
  <c r="G25"/>
  <c r="D25"/>
  <c r="O25" s="1"/>
  <c r="P25" s="1"/>
  <c r="Q25" s="1"/>
  <c r="AR25"/>
  <c r="B25"/>
  <c r="C25" s="1"/>
  <c r="AP25"/>
  <c r="AO25"/>
  <c r="AQ23" i="77"/>
  <c r="A24"/>
  <c r="B23"/>
  <c r="C23" s="1"/>
  <c r="E23"/>
  <c r="AP23"/>
  <c r="D23"/>
  <c r="O23" s="1"/>
  <c r="P23" s="1"/>
  <c r="Q23" s="1"/>
  <c r="G23"/>
  <c r="AO23"/>
  <c r="AR23"/>
  <c r="O22"/>
  <c r="P22" s="1"/>
  <c r="Q22" s="1"/>
  <c r="F22"/>
  <c r="Y20"/>
  <c r="Z20" s="1"/>
  <c r="J20" s="1"/>
  <c r="AE20"/>
  <c r="AF20"/>
  <c r="AB19" i="31"/>
  <c r="K19" s="1"/>
  <c r="AC42"/>
  <c r="AE42" s="1"/>
  <c r="AH42" s="1"/>
  <c r="AB41"/>
  <c r="AD41" s="1"/>
  <c r="AG11"/>
  <c r="AK2"/>
  <c r="AG10"/>
  <c r="AK1"/>
  <c r="AB43"/>
  <c r="AD43" s="1"/>
  <c r="AC43"/>
  <c r="AE43" s="1"/>
  <c r="AH43" s="1"/>
  <c r="AC41"/>
  <c r="AE41" s="1"/>
  <c r="AH41" s="1"/>
  <c r="AB42"/>
  <c r="AD42" s="1"/>
  <c r="AB44"/>
  <c r="AD44" s="1"/>
  <c r="AC44"/>
  <c r="AE44" s="1"/>
  <c r="AH44" s="1"/>
  <c r="R18"/>
  <c r="S18" s="1"/>
  <c r="AC46"/>
  <c r="AE46" s="1"/>
  <c r="AH46" s="1"/>
  <c r="AB46"/>
  <c r="AD46" s="1"/>
  <c r="AJ21"/>
  <c r="AF21"/>
  <c r="AG21"/>
  <c r="Y21"/>
  <c r="Z21" s="1"/>
  <c r="J21" s="1"/>
  <c r="AH21"/>
  <c r="AI21"/>
  <c r="AE21"/>
  <c r="AB46" i="48"/>
  <c r="AD46" s="1"/>
  <c r="AC46"/>
  <c r="AE46" s="1"/>
  <c r="AH46" s="1"/>
  <c r="AC20" i="31"/>
  <c r="AD19"/>
  <c r="H22"/>
  <c r="I22" s="1"/>
  <c r="AK22"/>
  <c r="AH17"/>
  <c r="AI17"/>
  <c r="Y17"/>
  <c r="Z17" s="1"/>
  <c r="J17" s="1"/>
  <c r="AF17"/>
  <c r="AG17"/>
  <c r="AC17" s="1"/>
  <c r="AJ17"/>
  <c r="AE17"/>
  <c r="AJ47"/>
  <c r="Z48"/>
  <c r="AA47"/>
  <c r="AM47"/>
  <c r="AL47"/>
  <c r="AK47"/>
  <c r="O23"/>
  <c r="P23" s="1"/>
  <c r="Q23" s="1"/>
  <c r="F23"/>
  <c r="AO24"/>
  <c r="B24"/>
  <c r="C24" s="1"/>
  <c r="D24"/>
  <c r="E24"/>
  <c r="G24"/>
  <c r="AQ24"/>
  <c r="AR24"/>
  <c r="A25"/>
  <c r="AP24"/>
  <c r="AJ47" i="48"/>
  <c r="AL47"/>
  <c r="AA47"/>
  <c r="AK47"/>
  <c r="AM47"/>
  <c r="Z48"/>
  <c r="AB20" i="31"/>
  <c r="K20" s="1"/>
  <c r="AC19"/>
  <c r="V25" i="78" l="1"/>
  <c r="AC29"/>
  <c r="AD29"/>
  <c r="AA29" s="1"/>
  <c r="AF55"/>
  <c r="AI55" s="1"/>
  <c r="AG55"/>
  <c r="V27"/>
  <c r="W27"/>
  <c r="V26"/>
  <c r="W26"/>
  <c r="AK31"/>
  <c r="H31"/>
  <c r="I31" s="1"/>
  <c r="O32"/>
  <c r="P32" s="1"/>
  <c r="Q32" s="1"/>
  <c r="F32"/>
  <c r="AP33"/>
  <c r="B33"/>
  <c r="C33" s="1"/>
  <c r="AQ33"/>
  <c r="A34"/>
  <c r="E33"/>
  <c r="D33"/>
  <c r="AO33"/>
  <c r="AR33"/>
  <c r="G33"/>
  <c r="AC56"/>
  <c r="AE56" s="1"/>
  <c r="AH56" s="1"/>
  <c r="AB56"/>
  <c r="AD56" s="1"/>
  <c r="AE30"/>
  <c r="AJ30"/>
  <c r="AG30"/>
  <c r="AC30" s="1"/>
  <c r="AH30"/>
  <c r="AF30"/>
  <c r="Y30"/>
  <c r="Z30" s="1"/>
  <c r="J30" s="1"/>
  <c r="AI30"/>
  <c r="AL57"/>
  <c r="AM57"/>
  <c r="AA57"/>
  <c r="AJ57"/>
  <c r="AK57"/>
  <c r="Z58"/>
  <c r="AB29"/>
  <c r="K29" s="1"/>
  <c r="U26"/>
  <c r="AC28"/>
  <c r="U27"/>
  <c r="AB28"/>
  <c r="K28" s="1"/>
  <c r="AD28"/>
  <c r="M18" i="48"/>
  <c r="AF44"/>
  <c r="AI44" s="1"/>
  <c r="AF45"/>
  <c r="AI45" s="1"/>
  <c r="S21"/>
  <c r="T21" s="1"/>
  <c r="W21" s="1"/>
  <c r="AG12"/>
  <c r="G11" s="1"/>
  <c r="M17"/>
  <c r="U17" s="1"/>
  <c r="AF43"/>
  <c r="AI43" s="1"/>
  <c r="AF42"/>
  <c r="AI42" s="1"/>
  <c r="L20" i="31"/>
  <c r="AF45"/>
  <c r="AI45" s="1"/>
  <c r="AG45" i="48"/>
  <c r="AA20" i="31"/>
  <c r="R20" s="1"/>
  <c r="M19"/>
  <c r="AA18" i="48"/>
  <c r="R18" s="1"/>
  <c r="N18"/>
  <c r="H21" i="77"/>
  <c r="I21" s="1"/>
  <c r="Y21" s="1"/>
  <c r="Z21" s="1"/>
  <c r="J21" s="1"/>
  <c r="AB17"/>
  <c r="K17" s="1"/>
  <c r="K18"/>
  <c r="Y23" i="48"/>
  <c r="Z23" s="1"/>
  <c r="J23" s="1"/>
  <c r="AI23"/>
  <c r="AF23"/>
  <c r="AG43" i="77"/>
  <c r="AF43"/>
  <c r="AI43" s="1"/>
  <c r="AF41"/>
  <c r="AI41" s="1"/>
  <c r="AG41"/>
  <c r="AG44"/>
  <c r="AF44"/>
  <c r="AI44" s="1"/>
  <c r="AG45"/>
  <c r="AF45"/>
  <c r="AI45" s="1"/>
  <c r="AH42"/>
  <c r="AF42"/>
  <c r="AI42" s="1"/>
  <c r="T17" i="48"/>
  <c r="W17" s="1"/>
  <c r="AE23"/>
  <c r="AG23"/>
  <c r="AC23" s="1"/>
  <c r="AJ23"/>
  <c r="F25"/>
  <c r="H25" s="1"/>
  <c r="I25" s="1"/>
  <c r="AD22"/>
  <c r="N22" s="1"/>
  <c r="AK3" i="31"/>
  <c r="AK4" s="1"/>
  <c r="AG12"/>
  <c r="G11" s="1"/>
  <c r="AB19" i="77"/>
  <c r="K19" s="1"/>
  <c r="S20" i="48"/>
  <c r="AB17" i="31"/>
  <c r="K17" s="1"/>
  <c r="M17" s="1"/>
  <c r="AB20" i="77"/>
  <c r="K20" s="1"/>
  <c r="AB22" i="48"/>
  <c r="K22" s="1"/>
  <c r="A27"/>
  <c r="AQ26"/>
  <c r="E26"/>
  <c r="AO26"/>
  <c r="D26"/>
  <c r="AR26"/>
  <c r="B26"/>
  <c r="C26" s="1"/>
  <c r="G26"/>
  <c r="AP26"/>
  <c r="Z49" i="77"/>
  <c r="AK48"/>
  <c r="AA48"/>
  <c r="AJ48"/>
  <c r="AK24" i="48"/>
  <c r="H24"/>
  <c r="I24" s="1"/>
  <c r="AB47" i="77"/>
  <c r="AD47" s="1"/>
  <c r="AC47"/>
  <c r="AE47" s="1"/>
  <c r="AH47" s="1"/>
  <c r="AF46"/>
  <c r="AI46" s="1"/>
  <c r="AG46"/>
  <c r="AB21" i="31"/>
  <c r="K21" s="1"/>
  <c r="AC22" i="48"/>
  <c r="AK22" i="77"/>
  <c r="H22"/>
  <c r="I22" s="1"/>
  <c r="U18" i="31"/>
  <c r="AQ24" i="77"/>
  <c r="A25"/>
  <c r="D24"/>
  <c r="AP24"/>
  <c r="B24"/>
  <c r="C24" s="1"/>
  <c r="E24"/>
  <c r="G24"/>
  <c r="AR24"/>
  <c r="AO24"/>
  <c r="F23"/>
  <c r="AB47" i="48"/>
  <c r="AD47" s="1"/>
  <c r="AC47"/>
  <c r="AE47" s="1"/>
  <c r="AH47" s="1"/>
  <c r="A26" i="31"/>
  <c r="B25"/>
  <c r="C25" s="1"/>
  <c r="D25"/>
  <c r="E25"/>
  <c r="G25"/>
  <c r="AP25"/>
  <c r="AO25"/>
  <c r="AQ25"/>
  <c r="AR25"/>
  <c r="H23"/>
  <c r="I23" s="1"/>
  <c r="AK23"/>
  <c r="AC47"/>
  <c r="AE47" s="1"/>
  <c r="AH47" s="1"/>
  <c r="AB47"/>
  <c r="AD47" s="1"/>
  <c r="AF46"/>
  <c r="AI46" s="1"/>
  <c r="AG46"/>
  <c r="AF42"/>
  <c r="AI42" s="1"/>
  <c r="AG42"/>
  <c r="AF41"/>
  <c r="AI41" s="1"/>
  <c r="AG41"/>
  <c r="S19" i="48"/>
  <c r="U19" s="1"/>
  <c r="AD17" i="31"/>
  <c r="AC21"/>
  <c r="AA48" i="48"/>
  <c r="AK48"/>
  <c r="AM48"/>
  <c r="AJ48"/>
  <c r="AL48"/>
  <c r="Z49"/>
  <c r="O24" i="31"/>
  <c r="P24" s="1"/>
  <c r="Q24" s="1"/>
  <c r="F24"/>
  <c r="Z49"/>
  <c r="AA48"/>
  <c r="AM48"/>
  <c r="AL48"/>
  <c r="AJ48"/>
  <c r="AK48"/>
  <c r="S17"/>
  <c r="AJ22"/>
  <c r="AF22"/>
  <c r="AI22"/>
  <c r="AG22"/>
  <c r="Y22"/>
  <c r="Z22" s="1"/>
  <c r="J22" s="1"/>
  <c r="AH22"/>
  <c r="AE22"/>
  <c r="AA19"/>
  <c r="L19"/>
  <c r="N19"/>
  <c r="AF46" i="48"/>
  <c r="AI46" s="1"/>
  <c r="AG46"/>
  <c r="AF44" i="31"/>
  <c r="AI44" s="1"/>
  <c r="AG44"/>
  <c r="AF43"/>
  <c r="AI43" s="1"/>
  <c r="AG43"/>
  <c r="M20"/>
  <c r="AD21"/>
  <c r="T18"/>
  <c r="M29" i="78" l="1"/>
  <c r="L29"/>
  <c r="N29"/>
  <c r="M28"/>
  <c r="L28"/>
  <c r="AA28"/>
  <c r="N28"/>
  <c r="AB57"/>
  <c r="AD57" s="1"/>
  <c r="AC57"/>
  <c r="AE57" s="1"/>
  <c r="AH57" s="1"/>
  <c r="AP34"/>
  <c r="B34"/>
  <c r="C34" s="1"/>
  <c r="AQ34"/>
  <c r="AO34"/>
  <c r="AR34"/>
  <c r="D34"/>
  <c r="A35"/>
  <c r="E34"/>
  <c r="G34"/>
  <c r="AK32"/>
  <c r="H32"/>
  <c r="I32" s="1"/>
  <c r="AF56"/>
  <c r="AI56" s="1"/>
  <c r="AG56"/>
  <c r="O33"/>
  <c r="P33" s="1"/>
  <c r="Q33" s="1"/>
  <c r="F33"/>
  <c r="AI31"/>
  <c r="AG31"/>
  <c r="AF31"/>
  <c r="Y31"/>
  <c r="Z31" s="1"/>
  <c r="J31" s="1"/>
  <c r="AH31"/>
  <c r="AE31"/>
  <c r="AJ31"/>
  <c r="Z59"/>
  <c r="AJ58"/>
  <c r="AK58"/>
  <c r="AL58"/>
  <c r="AM58"/>
  <c r="AA58"/>
  <c r="R29"/>
  <c r="AD30"/>
  <c r="AB30"/>
  <c r="K30" s="1"/>
  <c r="M30" s="1"/>
  <c r="S20" i="31"/>
  <c r="T20" s="1"/>
  <c r="V21" i="48"/>
  <c r="U21"/>
  <c r="S18"/>
  <c r="T18" s="1"/>
  <c r="W18" s="1"/>
  <c r="AE21" i="77"/>
  <c r="AF21"/>
  <c r="AB23" i="48"/>
  <c r="K23" s="1"/>
  <c r="M23" s="1"/>
  <c r="AK25"/>
  <c r="AD23"/>
  <c r="L23" s="1"/>
  <c r="V17"/>
  <c r="G9" i="77"/>
  <c r="AM49" s="1"/>
  <c r="T19" i="48"/>
  <c r="W19" s="1"/>
  <c r="AA22"/>
  <c r="R22" s="1"/>
  <c r="L22"/>
  <c r="U17" i="31"/>
  <c r="AD22"/>
  <c r="N22" s="1"/>
  <c r="M22" i="48"/>
  <c r="U20"/>
  <c r="T20"/>
  <c r="O26"/>
  <c r="P26" s="1"/>
  <c r="Q26" s="1"/>
  <c r="F26"/>
  <c r="AB48" i="77"/>
  <c r="AD48" s="1"/>
  <c r="AC48"/>
  <c r="AE48" s="1"/>
  <c r="AH48" s="1"/>
  <c r="AB22" i="31"/>
  <c r="K22" s="1"/>
  <c r="AF25" i="48"/>
  <c r="AI25"/>
  <c r="AH25"/>
  <c r="AJ25"/>
  <c r="AG25"/>
  <c r="AE25"/>
  <c r="Y25"/>
  <c r="Z25" s="1"/>
  <c r="J25" s="1"/>
  <c r="AG47" i="77"/>
  <c r="AF47"/>
  <c r="AI47" s="1"/>
  <c r="M21" i="31"/>
  <c r="AI24" i="48"/>
  <c r="AJ24"/>
  <c r="AE24"/>
  <c r="AF24"/>
  <c r="Y24"/>
  <c r="Z24" s="1"/>
  <c r="J24" s="1"/>
  <c r="AG24"/>
  <c r="AH24"/>
  <c r="A28"/>
  <c r="A42" s="1"/>
  <c r="AQ27"/>
  <c r="AO27"/>
  <c r="AR27"/>
  <c r="B27"/>
  <c r="C27" s="1"/>
  <c r="AP27"/>
  <c r="D27"/>
  <c r="O27" s="1"/>
  <c r="P27" s="1"/>
  <c r="Q27" s="1"/>
  <c r="G27"/>
  <c r="E27"/>
  <c r="AJ49" i="77"/>
  <c r="Z50"/>
  <c r="AK49"/>
  <c r="AA49"/>
  <c r="F24"/>
  <c r="O24"/>
  <c r="P24" s="1"/>
  <c r="Q24" s="1"/>
  <c r="H23"/>
  <c r="I23" s="1"/>
  <c r="AK23"/>
  <c r="AQ25"/>
  <c r="A26"/>
  <c r="E25"/>
  <c r="AP25"/>
  <c r="B25"/>
  <c r="C25" s="1"/>
  <c r="D25"/>
  <c r="O25" s="1"/>
  <c r="P25" s="1"/>
  <c r="Q25" s="1"/>
  <c r="G25"/>
  <c r="AR25"/>
  <c r="AO25"/>
  <c r="AE22"/>
  <c r="AF22"/>
  <c r="Y22"/>
  <c r="Z22" s="1"/>
  <c r="J22" s="1"/>
  <c r="AA21" i="31"/>
  <c r="L21"/>
  <c r="N21"/>
  <c r="AJ49"/>
  <c r="Z50"/>
  <c r="AA49"/>
  <c r="AM49"/>
  <c r="AL49"/>
  <c r="AK49"/>
  <c r="AA49" i="48"/>
  <c r="AK49"/>
  <c r="AM49"/>
  <c r="AJ49"/>
  <c r="AL49"/>
  <c r="Z50"/>
  <c r="AA17" i="31"/>
  <c r="L17"/>
  <c r="T17" s="1"/>
  <c r="O25"/>
  <c r="P25" s="1"/>
  <c r="Q25" s="1"/>
  <c r="F25"/>
  <c r="AO26"/>
  <c r="B26"/>
  <c r="C26" s="1"/>
  <c r="D26"/>
  <c r="E26"/>
  <c r="G26"/>
  <c r="AQ26"/>
  <c r="AR26"/>
  <c r="A27"/>
  <c r="AP26"/>
  <c r="AC22"/>
  <c r="M22" s="1"/>
  <c r="U20"/>
  <c r="V18"/>
  <c r="W18"/>
  <c r="R19"/>
  <c r="AC48"/>
  <c r="AE48" s="1"/>
  <c r="AH48" s="1"/>
  <c r="AB48"/>
  <c r="AD48" s="1"/>
  <c r="H24"/>
  <c r="I24" s="1"/>
  <c r="AK24"/>
  <c r="AC48" i="48"/>
  <c r="AE48" s="1"/>
  <c r="AH48" s="1"/>
  <c r="AB48"/>
  <c r="AD48" s="1"/>
  <c r="AF47" i="31"/>
  <c r="AI47" s="1"/>
  <c r="AG47"/>
  <c r="AJ23"/>
  <c r="AF23"/>
  <c r="AG23"/>
  <c r="Y23"/>
  <c r="Z23" s="1"/>
  <c r="J23" s="1"/>
  <c r="AH23"/>
  <c r="AI23"/>
  <c r="AE23"/>
  <c r="AF47" i="48"/>
  <c r="AI47" s="1"/>
  <c r="AG47"/>
  <c r="S29" i="78" l="1"/>
  <c r="T29" s="1"/>
  <c r="V29" s="1"/>
  <c r="AB31"/>
  <c r="K31" s="1"/>
  <c r="AC31"/>
  <c r="L30"/>
  <c r="AA30"/>
  <c r="N30"/>
  <c r="AK33"/>
  <c r="H33"/>
  <c r="I33" s="1"/>
  <c r="AG32"/>
  <c r="AJ32"/>
  <c r="AF32"/>
  <c r="AE32"/>
  <c r="AH32"/>
  <c r="AI32"/>
  <c r="AD32" s="1"/>
  <c r="Y32"/>
  <c r="Z32" s="1"/>
  <c r="J32" s="1"/>
  <c r="AP35"/>
  <c r="B35"/>
  <c r="C35" s="1"/>
  <c r="AQ35"/>
  <c r="A36"/>
  <c r="E35"/>
  <c r="AR35"/>
  <c r="AO35"/>
  <c r="D35"/>
  <c r="G35"/>
  <c r="AL59"/>
  <c r="AM59"/>
  <c r="AA59"/>
  <c r="Z60"/>
  <c r="AK59"/>
  <c r="AJ59"/>
  <c r="R28"/>
  <c r="S28" s="1"/>
  <c r="U28" s="1"/>
  <c r="AG57"/>
  <c r="AF57"/>
  <c r="AI57" s="1"/>
  <c r="AC58"/>
  <c r="AE58" s="1"/>
  <c r="AH58" s="1"/>
  <c r="AB58"/>
  <c r="AD58" s="1"/>
  <c r="O34"/>
  <c r="P34" s="1"/>
  <c r="Q34" s="1"/>
  <c r="F34"/>
  <c r="AD31"/>
  <c r="AA22" i="31"/>
  <c r="R22" s="1"/>
  <c r="L22"/>
  <c r="AB21" i="77"/>
  <c r="K21" s="1"/>
  <c r="V18" i="48"/>
  <c r="U18"/>
  <c r="AH22" i="77"/>
  <c r="AA23" i="48"/>
  <c r="R23" s="1"/>
  <c r="N23"/>
  <c r="AI22" i="77"/>
  <c r="AG22"/>
  <c r="AJ22"/>
  <c r="V19" i="48"/>
  <c r="AL49" i="77"/>
  <c r="AJ17"/>
  <c r="AH19"/>
  <c r="AH21"/>
  <c r="AL44"/>
  <c r="AI17"/>
  <c r="AD17" s="1"/>
  <c r="AG19"/>
  <c r="AC19" s="1"/>
  <c r="M19" s="1"/>
  <c r="AG21"/>
  <c r="AC21" s="1"/>
  <c r="AM44"/>
  <c r="AG10"/>
  <c r="AL48"/>
  <c r="AJ18"/>
  <c r="AG18"/>
  <c r="AG20"/>
  <c r="AL42"/>
  <c r="H7"/>
  <c r="AH18"/>
  <c r="AH20"/>
  <c r="AM42"/>
  <c r="AL46"/>
  <c r="AM46"/>
  <c r="AI18"/>
  <c r="AI20"/>
  <c r="AK2"/>
  <c r="AJ20"/>
  <c r="AL45"/>
  <c r="AM48"/>
  <c r="AM45"/>
  <c r="AG11"/>
  <c r="AJ19"/>
  <c r="AL43"/>
  <c r="AI19"/>
  <c r="AM43"/>
  <c r="AH17"/>
  <c r="AM41"/>
  <c r="AG17"/>
  <c r="AL41"/>
  <c r="AM47"/>
  <c r="AK1"/>
  <c r="AI21"/>
  <c r="AJ21"/>
  <c r="AL47"/>
  <c r="S22" i="48"/>
  <c r="U22" s="1"/>
  <c r="AD24"/>
  <c r="AA24" s="1"/>
  <c r="F27"/>
  <c r="AK27" s="1"/>
  <c r="AB24"/>
  <c r="K24" s="1"/>
  <c r="W20"/>
  <c r="V20"/>
  <c r="AB25"/>
  <c r="K25" s="1"/>
  <c r="A29"/>
  <c r="D28"/>
  <c r="B28"/>
  <c r="G28"/>
  <c r="E28"/>
  <c r="AK26"/>
  <c r="H26"/>
  <c r="I26" s="1"/>
  <c r="AB22" i="77"/>
  <c r="K22" s="1"/>
  <c r="AC24" i="48"/>
  <c r="AC25"/>
  <c r="AC49" i="77"/>
  <c r="AE49" s="1"/>
  <c r="AH49" s="1"/>
  <c r="AB49"/>
  <c r="AD49" s="1"/>
  <c r="AF48"/>
  <c r="AI48" s="1"/>
  <c r="AG48"/>
  <c r="Z51"/>
  <c r="AL50"/>
  <c r="AM50"/>
  <c r="AA50"/>
  <c r="AJ50"/>
  <c r="AK50"/>
  <c r="AD25" i="48"/>
  <c r="AK24" i="77"/>
  <c r="H24"/>
  <c r="I24" s="1"/>
  <c r="F25"/>
  <c r="AQ26"/>
  <c r="A27"/>
  <c r="D26"/>
  <c r="AP26"/>
  <c r="B26"/>
  <c r="C26" s="1"/>
  <c r="E26"/>
  <c r="G26"/>
  <c r="AR26"/>
  <c r="AO26"/>
  <c r="Y23"/>
  <c r="Z23" s="1"/>
  <c r="J23" s="1"/>
  <c r="AE23"/>
  <c r="AF23"/>
  <c r="AH23"/>
  <c r="AI23"/>
  <c r="AJ23"/>
  <c r="AG23"/>
  <c r="AB23" i="31"/>
  <c r="K23" s="1"/>
  <c r="S19"/>
  <c r="U19" s="1"/>
  <c r="AJ24"/>
  <c r="AF24"/>
  <c r="AI24"/>
  <c r="AG24"/>
  <c r="Y24"/>
  <c r="Z24" s="1"/>
  <c r="J24" s="1"/>
  <c r="AH24"/>
  <c r="AE24"/>
  <c r="A28"/>
  <c r="B27"/>
  <c r="C27" s="1"/>
  <c r="D27"/>
  <c r="E27"/>
  <c r="G27"/>
  <c r="AP27"/>
  <c r="AO27"/>
  <c r="AQ27"/>
  <c r="AR27"/>
  <c r="H25"/>
  <c r="I25" s="1"/>
  <c r="AK25"/>
  <c r="AA50" i="48"/>
  <c r="AK50"/>
  <c r="AM50"/>
  <c r="AJ50"/>
  <c r="AL50"/>
  <c r="Z51"/>
  <c r="Z51" i="31"/>
  <c r="AA50"/>
  <c r="AM50"/>
  <c r="AL50"/>
  <c r="AJ50"/>
  <c r="AK50"/>
  <c r="AC23"/>
  <c r="AG48" i="48"/>
  <c r="AF48"/>
  <c r="AI48" s="1"/>
  <c r="AF48" i="31"/>
  <c r="AI48" s="1"/>
  <c r="AG48"/>
  <c r="O26"/>
  <c r="P26" s="1"/>
  <c r="Q26" s="1"/>
  <c r="F26"/>
  <c r="V17"/>
  <c r="W17"/>
  <c r="AC49" i="48"/>
  <c r="AE49" s="1"/>
  <c r="AH49" s="1"/>
  <c r="AB49"/>
  <c r="AD49" s="1"/>
  <c r="AB49" i="31"/>
  <c r="AD49" s="1"/>
  <c r="AC49"/>
  <c r="AE49" s="1"/>
  <c r="AH49" s="1"/>
  <c r="R21"/>
  <c r="V20"/>
  <c r="W20"/>
  <c r="AD23"/>
  <c r="W29" i="78" l="1"/>
  <c r="U29"/>
  <c r="M31"/>
  <c r="AC32"/>
  <c r="AB32"/>
  <c r="K32" s="1"/>
  <c r="H34"/>
  <c r="I34" s="1"/>
  <c r="AK34"/>
  <c r="AA32"/>
  <c r="L32"/>
  <c r="N32"/>
  <c r="AC59"/>
  <c r="AE59" s="1"/>
  <c r="AH59" s="1"/>
  <c r="AB59"/>
  <c r="AD59" s="1"/>
  <c r="O35"/>
  <c r="P35" s="1"/>
  <c r="Q35" s="1"/>
  <c r="F35"/>
  <c r="AP36"/>
  <c r="B36"/>
  <c r="C36" s="1"/>
  <c r="AQ36"/>
  <c r="AO36"/>
  <c r="AR36"/>
  <c r="D36"/>
  <c r="A37"/>
  <c r="E36"/>
  <c r="G36"/>
  <c r="AF58"/>
  <c r="AI58" s="1"/>
  <c r="AG58"/>
  <c r="R30"/>
  <c r="S30" s="1"/>
  <c r="T30" s="1"/>
  <c r="AA31"/>
  <c r="L31"/>
  <c r="N31"/>
  <c r="Z61"/>
  <c r="AJ60"/>
  <c r="AK60"/>
  <c r="AA60"/>
  <c r="AL60"/>
  <c r="AM60"/>
  <c r="AI33"/>
  <c r="AG33"/>
  <c r="AE33"/>
  <c r="AF33"/>
  <c r="AJ33"/>
  <c r="AH33"/>
  <c r="Y33"/>
  <c r="Z33" s="1"/>
  <c r="J33" s="1"/>
  <c r="T28"/>
  <c r="S22" i="31"/>
  <c r="U22" s="1"/>
  <c r="AC22" i="77"/>
  <c r="M22" s="1"/>
  <c r="M21"/>
  <c r="AD18"/>
  <c r="AA18" s="1"/>
  <c r="R18" s="1"/>
  <c r="AD22"/>
  <c r="L22" s="1"/>
  <c r="AG12"/>
  <c r="G11" s="1"/>
  <c r="AD21"/>
  <c r="AA21" s="1"/>
  <c r="R21" s="1"/>
  <c r="S23" i="48"/>
  <c r="T23" s="1"/>
  <c r="V23" s="1"/>
  <c r="C28"/>
  <c r="T22"/>
  <c r="V22" s="1"/>
  <c r="N24"/>
  <c r="M23" i="31"/>
  <c r="T19"/>
  <c r="W19" s="1"/>
  <c r="AK3" i="77"/>
  <c r="AK4" s="1"/>
  <c r="AD20"/>
  <c r="AC17"/>
  <c r="AD19"/>
  <c r="AC18"/>
  <c r="M18" s="1"/>
  <c r="AA17"/>
  <c r="L17"/>
  <c r="AC20"/>
  <c r="M20" s="1"/>
  <c r="L24" i="48"/>
  <c r="H27"/>
  <c r="I27" s="1"/>
  <c r="Y27" s="1"/>
  <c r="Z27" s="1"/>
  <c r="J27" s="1"/>
  <c r="AD23" i="77"/>
  <c r="L23" s="1"/>
  <c r="AD24" i="31"/>
  <c r="N24" s="1"/>
  <c r="AC23" i="77"/>
  <c r="AB24" i="31"/>
  <c r="K24" s="1"/>
  <c r="AA51" i="77"/>
  <c r="AL51"/>
  <c r="AM51"/>
  <c r="Z52"/>
  <c r="AJ51"/>
  <c r="AK51"/>
  <c r="R24" i="48"/>
  <c r="AG26"/>
  <c r="AH26"/>
  <c r="AI26"/>
  <c r="AJ26"/>
  <c r="AE26"/>
  <c r="AF26"/>
  <c r="Y26"/>
  <c r="Z26" s="1"/>
  <c r="J26" s="1"/>
  <c r="O28"/>
  <c r="P28" s="1"/>
  <c r="Q28" s="1"/>
  <c r="F28"/>
  <c r="AA25"/>
  <c r="L25"/>
  <c r="N25"/>
  <c r="M25"/>
  <c r="AC50" i="77"/>
  <c r="AE50" s="1"/>
  <c r="AH50" s="1"/>
  <c r="AB50"/>
  <c r="AD50" s="1"/>
  <c r="AG49"/>
  <c r="AF49"/>
  <c r="AI49" s="1"/>
  <c r="AQ29" i="48"/>
  <c r="A30"/>
  <c r="AR29"/>
  <c r="E29"/>
  <c r="D29"/>
  <c r="AO29"/>
  <c r="B29"/>
  <c r="C29" s="1"/>
  <c r="G29"/>
  <c r="AP29"/>
  <c r="M24"/>
  <c r="AQ27" i="77"/>
  <c r="B27"/>
  <c r="C27" s="1"/>
  <c r="D27"/>
  <c r="O27" s="1"/>
  <c r="P27" s="1"/>
  <c r="Q27" s="1"/>
  <c r="A28"/>
  <c r="E27"/>
  <c r="AP27"/>
  <c r="AO27"/>
  <c r="G27"/>
  <c r="AR27"/>
  <c r="F26"/>
  <c r="O26"/>
  <c r="P26" s="1"/>
  <c r="Q26" s="1"/>
  <c r="AK25"/>
  <c r="H25"/>
  <c r="I25" s="1"/>
  <c r="Y24"/>
  <c r="Z24" s="1"/>
  <c r="J24" s="1"/>
  <c r="AE24"/>
  <c r="AF24"/>
  <c r="AG24"/>
  <c r="AJ24"/>
  <c r="AI24"/>
  <c r="AH24"/>
  <c r="S21" i="31"/>
  <c r="T21" s="1"/>
  <c r="AB23" i="77"/>
  <c r="K23" s="1"/>
  <c r="AG49" i="48"/>
  <c r="AF49"/>
  <c r="AI49" s="1"/>
  <c r="H26" i="31"/>
  <c r="I26" s="1"/>
  <c r="AK26"/>
  <c r="AC50"/>
  <c r="AE50" s="1"/>
  <c r="AH50" s="1"/>
  <c r="AB50"/>
  <c r="AD50" s="1"/>
  <c r="AA51" i="48"/>
  <c r="AK51"/>
  <c r="AM51"/>
  <c r="AJ51"/>
  <c r="AL51"/>
  <c r="Z52"/>
  <c r="O27" i="31"/>
  <c r="P27" s="1"/>
  <c r="Q27" s="1"/>
  <c r="F27"/>
  <c r="D28"/>
  <c r="A29"/>
  <c r="E28"/>
  <c r="G28"/>
  <c r="B28"/>
  <c r="C28" s="1"/>
  <c r="AA23"/>
  <c r="L23"/>
  <c r="N23"/>
  <c r="AF49"/>
  <c r="AI49" s="1"/>
  <c r="AG49"/>
  <c r="AJ51"/>
  <c r="Z52"/>
  <c r="AA51"/>
  <c r="AM51"/>
  <c r="AL51"/>
  <c r="AK51"/>
  <c r="AC50" i="48"/>
  <c r="AE50" s="1"/>
  <c r="AH50" s="1"/>
  <c r="AB50"/>
  <c r="AD50" s="1"/>
  <c r="AJ25" i="31"/>
  <c r="AF25"/>
  <c r="AG25"/>
  <c r="Y25"/>
  <c r="Z25" s="1"/>
  <c r="J25" s="1"/>
  <c r="AH25"/>
  <c r="AI25"/>
  <c r="AE25"/>
  <c r="AC24"/>
  <c r="M32" i="78" l="1"/>
  <c r="U30"/>
  <c r="V30"/>
  <c r="W30"/>
  <c r="F36"/>
  <c r="O36"/>
  <c r="P36" s="1"/>
  <c r="Q36" s="1"/>
  <c r="AH34"/>
  <c r="AF34"/>
  <c r="AE34"/>
  <c r="AB34" s="1"/>
  <c r="Y34"/>
  <c r="Z34" s="1"/>
  <c r="J34" s="1"/>
  <c r="AI34"/>
  <c r="AG34"/>
  <c r="AJ34"/>
  <c r="AL61"/>
  <c r="AM61"/>
  <c r="AA61"/>
  <c r="AJ61"/>
  <c r="AK61"/>
  <c r="Z62"/>
  <c r="AB33"/>
  <c r="K33" s="1"/>
  <c r="AF59"/>
  <c r="AI59" s="1"/>
  <c r="AG59"/>
  <c r="AP37"/>
  <c r="B37"/>
  <c r="C37" s="1"/>
  <c r="AQ37"/>
  <c r="A38"/>
  <c r="E37"/>
  <c r="D37"/>
  <c r="AO37"/>
  <c r="AR37"/>
  <c r="G37"/>
  <c r="V28"/>
  <c r="W28"/>
  <c r="AO28" s="1"/>
  <c r="AC60"/>
  <c r="AE60" s="1"/>
  <c r="AH60" s="1"/>
  <c r="AB60"/>
  <c r="AD60" s="1"/>
  <c r="R31"/>
  <c r="S31" s="1"/>
  <c r="AK35"/>
  <c r="H35"/>
  <c r="I35" s="1"/>
  <c r="R32"/>
  <c r="S32" s="1"/>
  <c r="AD33"/>
  <c r="AC33"/>
  <c r="V19" i="31"/>
  <c r="AA24"/>
  <c r="R24" s="1"/>
  <c r="S24" s="1"/>
  <c r="L24"/>
  <c r="T22"/>
  <c r="W22" s="1"/>
  <c r="M24"/>
  <c r="N22" i="77"/>
  <c r="U21" i="31"/>
  <c r="AA22" i="77"/>
  <c r="R22" s="1"/>
  <c r="N18"/>
  <c r="L18"/>
  <c r="L21"/>
  <c r="N21"/>
  <c r="W23" i="48"/>
  <c r="U23"/>
  <c r="AJ27"/>
  <c r="W22"/>
  <c r="AE27"/>
  <c r="AB26"/>
  <c r="K26" s="1"/>
  <c r="AF27"/>
  <c r="AH27"/>
  <c r="AG27"/>
  <c r="AI27"/>
  <c r="N23" i="77"/>
  <c r="N19"/>
  <c r="AA19"/>
  <c r="L19"/>
  <c r="N20"/>
  <c r="AA20"/>
  <c r="R20" s="1"/>
  <c r="L20"/>
  <c r="M17"/>
  <c r="S17"/>
  <c r="AC26" i="48"/>
  <c r="AA23" i="77"/>
  <c r="R23" s="1"/>
  <c r="AD26" i="48"/>
  <c r="N26" s="1"/>
  <c r="M23" i="77"/>
  <c r="A31" i="48"/>
  <c r="AQ30"/>
  <c r="B30"/>
  <c r="C30" s="1"/>
  <c r="G30"/>
  <c r="AP30"/>
  <c r="D30"/>
  <c r="O30" s="1"/>
  <c r="P30" s="1"/>
  <c r="Q30" s="1"/>
  <c r="AO30"/>
  <c r="E30"/>
  <c r="AR30"/>
  <c r="AB51" i="77"/>
  <c r="AD51" s="1"/>
  <c r="AC51"/>
  <c r="AE51" s="1"/>
  <c r="AH51" s="1"/>
  <c r="R25" i="48"/>
  <c r="S25" s="1"/>
  <c r="AB25" i="31"/>
  <c r="K25" s="1"/>
  <c r="AD24" i="77"/>
  <c r="L24" s="1"/>
  <c r="AG50"/>
  <c r="AF50"/>
  <c r="AI50" s="1"/>
  <c r="AK28" i="48"/>
  <c r="H28"/>
  <c r="F27" i="77"/>
  <c r="AK27" s="1"/>
  <c r="S24" i="48"/>
  <c r="T24" s="1"/>
  <c r="O29"/>
  <c r="P29" s="1"/>
  <c r="Q29" s="1"/>
  <c r="F29"/>
  <c r="AA52" i="77"/>
  <c r="Z53"/>
  <c r="AK52"/>
  <c r="AL52"/>
  <c r="AM52"/>
  <c r="AJ52"/>
  <c r="AC24"/>
  <c r="W21" i="31"/>
  <c r="V21"/>
  <c r="AF25" i="77"/>
  <c r="Y25"/>
  <c r="Z25" s="1"/>
  <c r="J25" s="1"/>
  <c r="AE25"/>
  <c r="AH25"/>
  <c r="AI25"/>
  <c r="AJ25"/>
  <c r="AG25"/>
  <c r="AK26"/>
  <c r="H26"/>
  <c r="I26" s="1"/>
  <c r="D28"/>
  <c r="A29"/>
  <c r="G28"/>
  <c r="E28"/>
  <c r="B28"/>
  <c r="C28" s="1"/>
  <c r="AB24"/>
  <c r="K24" s="1"/>
  <c r="Z53" i="31"/>
  <c r="AA52"/>
  <c r="AM52"/>
  <c r="AL52"/>
  <c r="AJ52"/>
  <c r="AK52"/>
  <c r="F28"/>
  <c r="O28"/>
  <c r="P28" s="1"/>
  <c r="Q28" s="1"/>
  <c r="AC51" i="48"/>
  <c r="AE51" s="1"/>
  <c r="AH51" s="1"/>
  <c r="AB51"/>
  <c r="AD51" s="1"/>
  <c r="AC25" i="31"/>
  <c r="AG50" i="48"/>
  <c r="AF50"/>
  <c r="AI50" s="1"/>
  <c r="AC51" i="31"/>
  <c r="AE51" s="1"/>
  <c r="AH51" s="1"/>
  <c r="AB51"/>
  <c r="AD51" s="1"/>
  <c r="R23"/>
  <c r="S23" s="1"/>
  <c r="A30"/>
  <c r="AO29"/>
  <c r="AP29"/>
  <c r="B29"/>
  <c r="C29" s="1"/>
  <c r="D29"/>
  <c r="E29"/>
  <c r="G29"/>
  <c r="AQ29"/>
  <c r="AR29"/>
  <c r="H27"/>
  <c r="I27" s="1"/>
  <c r="AK27"/>
  <c r="AA52" i="48"/>
  <c r="AK52"/>
  <c r="AM52"/>
  <c r="AJ52"/>
  <c r="AL52"/>
  <c r="Z53"/>
  <c r="AF50" i="31"/>
  <c r="AI50" s="1"/>
  <c r="AG50"/>
  <c r="AJ26"/>
  <c r="AF26"/>
  <c r="AI26"/>
  <c r="AG26"/>
  <c r="Y26"/>
  <c r="Z26" s="1"/>
  <c r="J26" s="1"/>
  <c r="AH26"/>
  <c r="AE26"/>
  <c r="V22"/>
  <c r="AD25"/>
  <c r="U32" i="78" l="1"/>
  <c r="AC34"/>
  <c r="M34" s="1"/>
  <c r="U31"/>
  <c r="K34"/>
  <c r="AP38"/>
  <c r="AP39" s="1"/>
  <c r="AP61" s="1"/>
  <c r="AR61" s="1"/>
  <c r="B38"/>
  <c r="C38" s="1"/>
  <c r="AQ38"/>
  <c r="AQ39" s="1"/>
  <c r="AO38"/>
  <c r="AO39" s="1"/>
  <c r="X31" s="1"/>
  <c r="AR38"/>
  <c r="AR39" s="1"/>
  <c r="D38"/>
  <c r="E38"/>
  <c r="G38"/>
  <c r="Z63"/>
  <c r="AJ62"/>
  <c r="AK62"/>
  <c r="AL62"/>
  <c r="AM62"/>
  <c r="AA62"/>
  <c r="O37"/>
  <c r="P37" s="1"/>
  <c r="Q37" s="1"/>
  <c r="F37"/>
  <c r="AK36"/>
  <c r="H36"/>
  <c r="I36" s="1"/>
  <c r="M33"/>
  <c r="T31"/>
  <c r="AD34"/>
  <c r="AB61"/>
  <c r="AD61" s="1"/>
  <c r="AC61"/>
  <c r="AE61" s="1"/>
  <c r="AH61" s="1"/>
  <c r="AA33"/>
  <c r="L33"/>
  <c r="N33"/>
  <c r="AI35"/>
  <c r="AG35"/>
  <c r="AJ35"/>
  <c r="AH35"/>
  <c r="Y35"/>
  <c r="Z35" s="1"/>
  <c r="J35" s="1"/>
  <c r="AE35"/>
  <c r="AF35"/>
  <c r="AF60"/>
  <c r="AI60" s="1"/>
  <c r="AG60"/>
  <c r="T32"/>
  <c r="M25" i="31"/>
  <c r="S22" i="77"/>
  <c r="T22" s="1"/>
  <c r="V22" s="1"/>
  <c r="S18"/>
  <c r="T18" s="1"/>
  <c r="W18" s="1"/>
  <c r="S21"/>
  <c r="T21" s="1"/>
  <c r="V21" s="1"/>
  <c r="AD27" i="48"/>
  <c r="L27" s="1"/>
  <c r="AB27"/>
  <c r="K27" s="1"/>
  <c r="AC27"/>
  <c r="AA26"/>
  <c r="R26" s="1"/>
  <c r="S23" i="77"/>
  <c r="U23" s="1"/>
  <c r="U17"/>
  <c r="S20"/>
  <c r="T20" s="1"/>
  <c r="R19"/>
  <c r="S19" s="1"/>
  <c r="T17"/>
  <c r="AD26" i="31"/>
  <c r="L26" s="1"/>
  <c r="L26" i="48"/>
  <c r="H27" i="77"/>
  <c r="I27" s="1"/>
  <c r="AI27" s="1"/>
  <c r="U25" i="48"/>
  <c r="T25"/>
  <c r="V25" s="1"/>
  <c r="AB25" i="77"/>
  <c r="K25" s="1"/>
  <c r="U24" i="48"/>
  <c r="N24" i="77"/>
  <c r="AA24"/>
  <c r="R24" s="1"/>
  <c r="M24"/>
  <c r="AC25"/>
  <c r="I28" i="48"/>
  <c r="AR28"/>
  <c r="AQ28"/>
  <c r="M26"/>
  <c r="V24"/>
  <c r="W24"/>
  <c r="AC52" i="77"/>
  <c r="AE52" s="1"/>
  <c r="AH52" s="1"/>
  <c r="AB52"/>
  <c r="AD52" s="1"/>
  <c r="AD25"/>
  <c r="L25" s="1"/>
  <c r="AF51"/>
  <c r="AI51" s="1"/>
  <c r="AG51"/>
  <c r="B31" i="48"/>
  <c r="C31" s="1"/>
  <c r="G31"/>
  <c r="AP31"/>
  <c r="AO31"/>
  <c r="D31"/>
  <c r="AR31"/>
  <c r="E31"/>
  <c r="A32"/>
  <c r="AQ31"/>
  <c r="AA53" i="77"/>
  <c r="AM53"/>
  <c r="Z54"/>
  <c r="AJ53"/>
  <c r="AK53"/>
  <c r="AL53"/>
  <c r="AK29" i="48"/>
  <c r="H29"/>
  <c r="I29" s="1"/>
  <c r="F30"/>
  <c r="F28" i="77"/>
  <c r="O28"/>
  <c r="P28" s="1"/>
  <c r="Q28" s="1"/>
  <c r="AQ29"/>
  <c r="A30"/>
  <c r="B29"/>
  <c r="C29" s="1"/>
  <c r="D29"/>
  <c r="O29" s="1"/>
  <c r="P29" s="1"/>
  <c r="Q29" s="1"/>
  <c r="G29"/>
  <c r="E29"/>
  <c r="AP29"/>
  <c r="AR29"/>
  <c r="AO29"/>
  <c r="AE26"/>
  <c r="AF26"/>
  <c r="Y26"/>
  <c r="Z26" s="1"/>
  <c r="J26" s="1"/>
  <c r="AG26"/>
  <c r="AJ26"/>
  <c r="AI26"/>
  <c r="AH26"/>
  <c r="T23" i="31"/>
  <c r="V23" s="1"/>
  <c r="AA53" i="48"/>
  <c r="AK53"/>
  <c r="AM53"/>
  <c r="AJ53"/>
  <c r="AL53"/>
  <c r="Z54"/>
  <c r="AJ27" i="31"/>
  <c r="AF27"/>
  <c r="AG27"/>
  <c r="Y27"/>
  <c r="Z27" s="1"/>
  <c r="J27" s="1"/>
  <c r="AH27"/>
  <c r="AI27"/>
  <c r="AE27"/>
  <c r="AG51" i="48"/>
  <c r="AF51"/>
  <c r="AI51" s="1"/>
  <c r="H28" i="31"/>
  <c r="AK28"/>
  <c r="AB52"/>
  <c r="AD52" s="1"/>
  <c r="AC52"/>
  <c r="AE52" s="1"/>
  <c r="AH52" s="1"/>
  <c r="AB26"/>
  <c r="K26" s="1"/>
  <c r="U23"/>
  <c r="U24"/>
  <c r="AA25"/>
  <c r="L25"/>
  <c r="N25"/>
  <c r="AC52" i="48"/>
  <c r="AE52" s="1"/>
  <c r="AH52" s="1"/>
  <c r="AB52"/>
  <c r="AD52" s="1"/>
  <c r="F29" i="31"/>
  <c r="O29"/>
  <c r="P29" s="1"/>
  <c r="Q29" s="1"/>
  <c r="AQ30"/>
  <c r="AR30"/>
  <c r="A31"/>
  <c r="AO30"/>
  <c r="B30"/>
  <c r="C30" s="1"/>
  <c r="D30"/>
  <c r="E30"/>
  <c r="G30"/>
  <c r="AP30"/>
  <c r="AF51"/>
  <c r="AI51" s="1"/>
  <c r="AG51"/>
  <c r="AJ53"/>
  <c r="Z54"/>
  <c r="AA53"/>
  <c r="AM53"/>
  <c r="AL53"/>
  <c r="AK53"/>
  <c r="AC26"/>
  <c r="T24"/>
  <c r="AD35" i="78" l="1"/>
  <c r="AA35" s="1"/>
  <c r="AB35"/>
  <c r="K35" s="1"/>
  <c r="AQ61"/>
  <c r="AS61" s="1"/>
  <c r="AV61" s="1"/>
  <c r="AC62"/>
  <c r="AE62" s="1"/>
  <c r="AH62" s="1"/>
  <c r="AB62"/>
  <c r="AD62" s="1"/>
  <c r="AQ62"/>
  <c r="AS62" s="1"/>
  <c r="AV62" s="1"/>
  <c r="AP62"/>
  <c r="AR62" s="1"/>
  <c r="O38"/>
  <c r="P38" s="1"/>
  <c r="Q38" s="1"/>
  <c r="F38"/>
  <c r="V32"/>
  <c r="W32"/>
  <c r="R33"/>
  <c r="AF61"/>
  <c r="AI61" s="1"/>
  <c r="AG61"/>
  <c r="V31"/>
  <c r="W31"/>
  <c r="AA34"/>
  <c r="L34"/>
  <c r="N34"/>
  <c r="AG36"/>
  <c r="AJ36"/>
  <c r="Y36"/>
  <c r="Z36" s="1"/>
  <c r="J36" s="1"/>
  <c r="AE36"/>
  <c r="AH36"/>
  <c r="AI36"/>
  <c r="AD36" s="1"/>
  <c r="AF36"/>
  <c r="AK37"/>
  <c r="H37"/>
  <c r="I37" s="1"/>
  <c r="X17"/>
  <c r="X19"/>
  <c r="X18"/>
  <c r="X20"/>
  <c r="X22"/>
  <c r="X21"/>
  <c r="X23"/>
  <c r="X24"/>
  <c r="X25"/>
  <c r="X26"/>
  <c r="X27"/>
  <c r="X29"/>
  <c r="X28"/>
  <c r="X30"/>
  <c r="AC35"/>
  <c r="W11"/>
  <c r="X32"/>
  <c r="AT61"/>
  <c r="AW61" s="1"/>
  <c r="AU61"/>
  <c r="AL63"/>
  <c r="AM63"/>
  <c r="AA63"/>
  <c r="Z64"/>
  <c r="AJ63"/>
  <c r="AK63"/>
  <c r="AP41"/>
  <c r="AR41" s="1"/>
  <c r="AP42"/>
  <c r="AR42" s="1"/>
  <c r="AQ42"/>
  <c r="AS42" s="1"/>
  <c r="AV42" s="1"/>
  <c r="AP43"/>
  <c r="AR43" s="1"/>
  <c r="AQ41"/>
  <c r="AS41" s="1"/>
  <c r="AV41" s="1"/>
  <c r="AQ43"/>
  <c r="AS43" s="1"/>
  <c r="AV43" s="1"/>
  <c r="AP44"/>
  <c r="AR44" s="1"/>
  <c r="AQ44"/>
  <c r="AS44" s="1"/>
  <c r="AV44" s="1"/>
  <c r="AQ45"/>
  <c r="AS45" s="1"/>
  <c r="AV45" s="1"/>
  <c r="AP45"/>
  <c r="AR45" s="1"/>
  <c r="AQ46"/>
  <c r="AS46" s="1"/>
  <c r="AV46" s="1"/>
  <c r="AP46"/>
  <c r="AR46" s="1"/>
  <c r="AQ47"/>
  <c r="AS47" s="1"/>
  <c r="AV47" s="1"/>
  <c r="AP47"/>
  <c r="AR47" s="1"/>
  <c r="AP48"/>
  <c r="AR48" s="1"/>
  <c r="AQ48"/>
  <c r="AS48" s="1"/>
  <c r="AV48" s="1"/>
  <c r="AP49"/>
  <c r="AR49" s="1"/>
  <c r="AQ49"/>
  <c r="AS49" s="1"/>
  <c r="AV49" s="1"/>
  <c r="AQ50"/>
  <c r="AS50" s="1"/>
  <c r="AV50" s="1"/>
  <c r="AP50"/>
  <c r="AR50" s="1"/>
  <c r="AQ51"/>
  <c r="AS51" s="1"/>
  <c r="AV51" s="1"/>
  <c r="AP51"/>
  <c r="AR51" s="1"/>
  <c r="AQ52"/>
  <c r="AS52" s="1"/>
  <c r="AV52" s="1"/>
  <c r="AP52"/>
  <c r="AR52" s="1"/>
  <c r="AP53"/>
  <c r="AR53" s="1"/>
  <c r="AQ53"/>
  <c r="AS53" s="1"/>
  <c r="AV53" s="1"/>
  <c r="AP54"/>
  <c r="AR54" s="1"/>
  <c r="AQ54"/>
  <c r="AS54" s="1"/>
  <c r="AV54" s="1"/>
  <c r="AQ55"/>
  <c r="AS55" s="1"/>
  <c r="AV55" s="1"/>
  <c r="AP55"/>
  <c r="AR55" s="1"/>
  <c r="AP56"/>
  <c r="AR56" s="1"/>
  <c r="AQ56"/>
  <c r="AS56" s="1"/>
  <c r="AV56" s="1"/>
  <c r="AP57"/>
  <c r="AR57" s="1"/>
  <c r="AQ57"/>
  <c r="AS57" s="1"/>
  <c r="AV57" s="1"/>
  <c r="AQ58"/>
  <c r="AS58" s="1"/>
  <c r="AV58" s="1"/>
  <c r="AP58"/>
  <c r="AR58" s="1"/>
  <c r="AQ59"/>
  <c r="AS59" s="1"/>
  <c r="AV59" s="1"/>
  <c r="AP59"/>
  <c r="AR59" s="1"/>
  <c r="AQ60"/>
  <c r="AS60" s="1"/>
  <c r="AV60" s="1"/>
  <c r="AP60"/>
  <c r="AR60" s="1"/>
  <c r="N26" i="31"/>
  <c r="AA26"/>
  <c r="W22" i="77"/>
  <c r="U22"/>
  <c r="U18"/>
  <c r="V18"/>
  <c r="AH27"/>
  <c r="M26" i="31"/>
  <c r="Y27" i="77"/>
  <c r="Z27" s="1"/>
  <c r="J27" s="1"/>
  <c r="W21"/>
  <c r="U21"/>
  <c r="T23"/>
  <c r="W23" s="1"/>
  <c r="AJ27"/>
  <c r="AD27" s="1"/>
  <c r="AF27"/>
  <c r="N27" i="48"/>
  <c r="AG27" i="77"/>
  <c r="AE27"/>
  <c r="AA27" i="48"/>
  <c r="R27" s="1"/>
  <c r="M27"/>
  <c r="U20" i="77"/>
  <c r="M25"/>
  <c r="U19"/>
  <c r="T19"/>
  <c r="W19" s="1"/>
  <c r="W20"/>
  <c r="V20"/>
  <c r="V17"/>
  <c r="W17"/>
  <c r="S26" i="48"/>
  <c r="U26" s="1"/>
  <c r="W25"/>
  <c r="S24" i="77"/>
  <c r="T24" s="1"/>
  <c r="N25"/>
  <c r="AA25"/>
  <c r="R25" s="1"/>
  <c r="AA54"/>
  <c r="AL54"/>
  <c r="AK54"/>
  <c r="Z55"/>
  <c r="AM54"/>
  <c r="AJ54"/>
  <c r="B32" i="48"/>
  <c r="C32" s="1"/>
  <c r="E32"/>
  <c r="AQ32"/>
  <c r="AP32"/>
  <c r="A33"/>
  <c r="D32"/>
  <c r="G32"/>
  <c r="AO32"/>
  <c r="AR32"/>
  <c r="AD27" i="31"/>
  <c r="N27" s="1"/>
  <c r="AC53" i="77"/>
  <c r="AE53" s="1"/>
  <c r="AH53" s="1"/>
  <c r="AB53"/>
  <c r="AD53" s="1"/>
  <c r="AK30" i="48"/>
  <c r="H30"/>
  <c r="I30" s="1"/>
  <c r="Y29"/>
  <c r="Z29" s="1"/>
  <c r="J29" s="1"/>
  <c r="AG29"/>
  <c r="AH29"/>
  <c r="AI29"/>
  <c r="AJ29"/>
  <c r="AF29"/>
  <c r="AE29"/>
  <c r="O31"/>
  <c r="P31" s="1"/>
  <c r="Q31" s="1"/>
  <c r="F31"/>
  <c r="AG52" i="77"/>
  <c r="AF52"/>
  <c r="AI52" s="1"/>
  <c r="AH28" i="48"/>
  <c r="AI28"/>
  <c r="AF28"/>
  <c r="Y28"/>
  <c r="Z28" s="1"/>
  <c r="J28" s="1"/>
  <c r="AE28"/>
  <c r="AJ28"/>
  <c r="AG28"/>
  <c r="AP28"/>
  <c r="W23" i="31"/>
  <c r="AB26" i="77"/>
  <c r="K26" s="1"/>
  <c r="F29"/>
  <c r="H29" s="1"/>
  <c r="I29" s="1"/>
  <c r="H28"/>
  <c r="AK28"/>
  <c r="AD26"/>
  <c r="AC26"/>
  <c r="AQ30"/>
  <c r="A31"/>
  <c r="B30"/>
  <c r="C30" s="1"/>
  <c r="E30"/>
  <c r="G30"/>
  <c r="D30"/>
  <c r="AP30"/>
  <c r="AR30"/>
  <c r="AO30"/>
  <c r="Z55" i="31"/>
  <c r="AA54"/>
  <c r="AM54"/>
  <c r="AL54"/>
  <c r="AJ54"/>
  <c r="AK54"/>
  <c r="F30"/>
  <c r="O30"/>
  <c r="P30" s="1"/>
  <c r="Q30" s="1"/>
  <c r="AF52"/>
  <c r="AI52" s="1"/>
  <c r="AG52"/>
  <c r="AA54" i="48"/>
  <c r="AK54"/>
  <c r="AM54"/>
  <c r="AJ54"/>
  <c r="AL54"/>
  <c r="Z55"/>
  <c r="AB27" i="31"/>
  <c r="K27" s="1"/>
  <c r="AC27"/>
  <c r="V24"/>
  <c r="W24"/>
  <c r="AB53"/>
  <c r="AD53" s="1"/>
  <c r="AC53"/>
  <c r="AE53" s="1"/>
  <c r="AH53" s="1"/>
  <c r="A32"/>
  <c r="AO31"/>
  <c r="AP31"/>
  <c r="B31"/>
  <c r="C31" s="1"/>
  <c r="D31"/>
  <c r="E31"/>
  <c r="G31"/>
  <c r="AQ31"/>
  <c r="AR31"/>
  <c r="H29"/>
  <c r="I29" s="1"/>
  <c r="AK29"/>
  <c r="AG52" i="48"/>
  <c r="AF52"/>
  <c r="AI52" s="1"/>
  <c r="R25" i="31"/>
  <c r="I28"/>
  <c r="AQ28"/>
  <c r="AR28"/>
  <c r="AC53" i="48"/>
  <c r="AE53" s="1"/>
  <c r="AH53" s="1"/>
  <c r="AB53"/>
  <c r="AD53" s="1"/>
  <c r="R26" i="31"/>
  <c r="N35" i="78" l="1"/>
  <c r="L35"/>
  <c r="M35"/>
  <c r="AC36"/>
  <c r="AT60"/>
  <c r="AW60" s="1"/>
  <c r="AU60"/>
  <c r="AT52"/>
  <c r="AW52" s="1"/>
  <c r="AU52"/>
  <c r="AT50"/>
  <c r="AW50" s="1"/>
  <c r="AU50"/>
  <c r="AT43"/>
  <c r="AW43" s="1"/>
  <c r="AU43"/>
  <c r="H38"/>
  <c r="I38" s="1"/>
  <c r="AK38"/>
  <c r="AT57"/>
  <c r="AW57" s="1"/>
  <c r="AU57"/>
  <c r="AT49"/>
  <c r="AW49" s="1"/>
  <c r="AU49"/>
  <c r="AA36"/>
  <c r="L36"/>
  <c r="N36"/>
  <c r="R34"/>
  <c r="S34" s="1"/>
  <c r="AT56"/>
  <c r="AW56" s="1"/>
  <c r="AU56"/>
  <c r="AT54"/>
  <c r="AW54" s="1"/>
  <c r="AU54"/>
  <c r="AT48"/>
  <c r="AW48" s="1"/>
  <c r="AU48"/>
  <c r="AU44"/>
  <c r="AT44"/>
  <c r="AW44" s="1"/>
  <c r="AB36"/>
  <c r="K36" s="1"/>
  <c r="S33"/>
  <c r="X33" s="1"/>
  <c r="AT58"/>
  <c r="AW58" s="1"/>
  <c r="AU58"/>
  <c r="AU46"/>
  <c r="AT46"/>
  <c r="AW46" s="1"/>
  <c r="AI37"/>
  <c r="AG37"/>
  <c r="AH37"/>
  <c r="AE37"/>
  <c r="AJ37"/>
  <c r="AF37"/>
  <c r="Y37"/>
  <c r="Z37" s="1"/>
  <c r="J37" s="1"/>
  <c r="AF62"/>
  <c r="AI62" s="1"/>
  <c r="AG62"/>
  <c r="R35"/>
  <c r="AT53"/>
  <c r="AW53" s="1"/>
  <c r="AU53"/>
  <c r="AT41"/>
  <c r="AW41" s="1"/>
  <c r="AU41"/>
  <c r="AB63"/>
  <c r="AD63" s="1"/>
  <c r="AP63"/>
  <c r="AR63" s="1"/>
  <c r="AC63"/>
  <c r="AE63" s="1"/>
  <c r="AH63" s="1"/>
  <c r="AQ63"/>
  <c r="AS63" s="1"/>
  <c r="AV63" s="1"/>
  <c r="AT59"/>
  <c r="AW59" s="1"/>
  <c r="AU59"/>
  <c r="AU55"/>
  <c r="AT55"/>
  <c r="AW55" s="1"/>
  <c r="AT51"/>
  <c r="AW51" s="1"/>
  <c r="AU51"/>
  <c r="AU47"/>
  <c r="AT47"/>
  <c r="AW47" s="1"/>
  <c r="AT45"/>
  <c r="AW45" s="1"/>
  <c r="AU45"/>
  <c r="AU42"/>
  <c r="AT42"/>
  <c r="AW42" s="1"/>
  <c r="Z65"/>
  <c r="AJ64"/>
  <c r="AK64"/>
  <c r="AA64"/>
  <c r="AM64"/>
  <c r="AL64"/>
  <c r="AT62"/>
  <c r="AW62" s="1"/>
  <c r="AU62"/>
  <c r="S26" i="31"/>
  <c r="T26" s="1"/>
  <c r="AA27"/>
  <c r="R27" s="1"/>
  <c r="L27"/>
  <c r="AC27" i="77"/>
  <c r="AB27"/>
  <c r="K27" s="1"/>
  <c r="AK29"/>
  <c r="S27" i="48"/>
  <c r="T27" s="1"/>
  <c r="V27" s="1"/>
  <c r="V23" i="77"/>
  <c r="T26" i="48"/>
  <c r="V26" s="1"/>
  <c r="U24" i="77"/>
  <c r="W24"/>
  <c r="V24"/>
  <c r="V19"/>
  <c r="S25"/>
  <c r="U25" s="1"/>
  <c r="AB28" i="48"/>
  <c r="K28" s="1"/>
  <c r="AC29"/>
  <c r="E33"/>
  <c r="D33"/>
  <c r="AR33"/>
  <c r="B33"/>
  <c r="C33" s="1"/>
  <c r="A34"/>
  <c r="AO33"/>
  <c r="AQ33"/>
  <c r="G33"/>
  <c r="AP33"/>
  <c r="O32"/>
  <c r="P32" s="1"/>
  <c r="Q32" s="1"/>
  <c r="F32"/>
  <c r="AL55" i="77"/>
  <c r="AM55"/>
  <c r="AJ55"/>
  <c r="AK55"/>
  <c r="Z56"/>
  <c r="AA55"/>
  <c r="M27" i="31"/>
  <c r="AD28" i="48"/>
  <c r="AB29"/>
  <c r="K29" s="1"/>
  <c r="AJ30"/>
  <c r="AG30"/>
  <c r="Y30"/>
  <c r="Z30" s="1"/>
  <c r="J30" s="1"/>
  <c r="AE30"/>
  <c r="AH30"/>
  <c r="AI30"/>
  <c r="AF30"/>
  <c r="AB54" i="77"/>
  <c r="AD54" s="1"/>
  <c r="AC54"/>
  <c r="AE54" s="1"/>
  <c r="AH54" s="1"/>
  <c r="AC28" i="48"/>
  <c r="AD29"/>
  <c r="AK31"/>
  <c r="H31"/>
  <c r="I31" s="1"/>
  <c r="AF53" i="77"/>
  <c r="AI53" s="1"/>
  <c r="AG53"/>
  <c r="AF29"/>
  <c r="Y29"/>
  <c r="Z29" s="1"/>
  <c r="J29" s="1"/>
  <c r="AE29"/>
  <c r="AH29"/>
  <c r="AI29"/>
  <c r="AJ29"/>
  <c r="AG29"/>
  <c r="M26"/>
  <c r="O30"/>
  <c r="P30" s="1"/>
  <c r="Q30" s="1"/>
  <c r="F30"/>
  <c r="AQ31"/>
  <c r="A32"/>
  <c r="B31"/>
  <c r="C31" s="1"/>
  <c r="D31"/>
  <c r="O31" s="1"/>
  <c r="P31" s="1"/>
  <c r="Q31" s="1"/>
  <c r="G31"/>
  <c r="E31"/>
  <c r="AP31"/>
  <c r="AR31"/>
  <c r="AO31"/>
  <c r="AA27"/>
  <c r="L27"/>
  <c r="N27"/>
  <c r="L26"/>
  <c r="AA26"/>
  <c r="N26"/>
  <c r="I28"/>
  <c r="AR28"/>
  <c r="AQ28"/>
  <c r="U26" i="31"/>
  <c r="V26"/>
  <c r="W26"/>
  <c r="AG53" i="48"/>
  <c r="AF53"/>
  <c r="AI53" s="1"/>
  <c r="F31" i="31"/>
  <c r="O31"/>
  <c r="P31" s="1"/>
  <c r="Q31" s="1"/>
  <c r="AQ32"/>
  <c r="AR32"/>
  <c r="A33"/>
  <c r="AO32"/>
  <c r="B32"/>
  <c r="C32" s="1"/>
  <c r="D32"/>
  <c r="E32"/>
  <c r="G32"/>
  <c r="AP32"/>
  <c r="AF53"/>
  <c r="AI53" s="1"/>
  <c r="AG53"/>
  <c r="AC54" i="48"/>
  <c r="AE54" s="1"/>
  <c r="AH54" s="1"/>
  <c r="AB54"/>
  <c r="AD54" s="1"/>
  <c r="H30" i="31"/>
  <c r="I30" s="1"/>
  <c r="AK30"/>
  <c r="AJ55"/>
  <c r="Z56"/>
  <c r="AA55"/>
  <c r="AM55"/>
  <c r="AL55"/>
  <c r="AK55"/>
  <c r="AJ28"/>
  <c r="AF28"/>
  <c r="AI28"/>
  <c r="AG28"/>
  <c r="Y28"/>
  <c r="Z28" s="1"/>
  <c r="J28" s="1"/>
  <c r="AH28"/>
  <c r="AE28"/>
  <c r="AP28"/>
  <c r="AF29"/>
  <c r="Y29"/>
  <c r="Z29" s="1"/>
  <c r="J29" s="1"/>
  <c r="AG29"/>
  <c r="AI29"/>
  <c r="AH29"/>
  <c r="AJ29"/>
  <c r="AE29"/>
  <c r="AA55" i="48"/>
  <c r="AK55"/>
  <c r="AM55"/>
  <c r="AJ55"/>
  <c r="AL55"/>
  <c r="Z56"/>
  <c r="AC54" i="31"/>
  <c r="AE54" s="1"/>
  <c r="AH54" s="1"/>
  <c r="AB54"/>
  <c r="AD54" s="1"/>
  <c r="S25"/>
  <c r="T25" s="1"/>
  <c r="S35" i="78" l="1"/>
  <c r="X35" s="1"/>
  <c r="U33"/>
  <c r="AD37"/>
  <c r="N37" s="1"/>
  <c r="T33"/>
  <c r="V33" s="1"/>
  <c r="AC37"/>
  <c r="M36"/>
  <c r="AB37"/>
  <c r="K37" s="1"/>
  <c r="AU63"/>
  <c r="AT63"/>
  <c r="AW63" s="1"/>
  <c r="AH38"/>
  <c r="AF38"/>
  <c r="AJ38"/>
  <c r="AE38"/>
  <c r="Y38"/>
  <c r="Z38" s="1"/>
  <c r="J38" s="1"/>
  <c r="AI38"/>
  <c r="AG38"/>
  <c r="X34"/>
  <c r="U34"/>
  <c r="AL65"/>
  <c r="AM65"/>
  <c r="AA65"/>
  <c r="AJ65"/>
  <c r="AK65"/>
  <c r="Z66"/>
  <c r="AF63"/>
  <c r="AI63" s="1"/>
  <c r="AG63"/>
  <c r="R36"/>
  <c r="S36" s="1"/>
  <c r="T36" s="1"/>
  <c r="AP64"/>
  <c r="AR64" s="1"/>
  <c r="AB64"/>
  <c r="AD64" s="1"/>
  <c r="AC64"/>
  <c r="AE64" s="1"/>
  <c r="AH64" s="1"/>
  <c r="AQ64"/>
  <c r="AS64" s="1"/>
  <c r="AV64" s="1"/>
  <c r="T34"/>
  <c r="S27" i="31"/>
  <c r="U27" s="1"/>
  <c r="M27" i="77"/>
  <c r="W27" i="48"/>
  <c r="U27"/>
  <c r="W26"/>
  <c r="M28"/>
  <c r="T25" i="77"/>
  <c r="M29" i="48"/>
  <c r="F31" i="77"/>
  <c r="AK31" s="1"/>
  <c r="AD28" i="31"/>
  <c r="N28" s="1"/>
  <c r="AD29" i="77"/>
  <c r="N29" s="1"/>
  <c r="AC29"/>
  <c r="AB28" i="31"/>
  <c r="K28" s="1"/>
  <c r="AC55" i="77"/>
  <c r="AE55" s="1"/>
  <c r="AH55" s="1"/>
  <c r="AB55"/>
  <c r="AD55" s="1"/>
  <c r="AA29" i="48"/>
  <c r="R29" s="1"/>
  <c r="L29"/>
  <c r="N29"/>
  <c r="AA28"/>
  <c r="L28"/>
  <c r="N28"/>
  <c r="B34"/>
  <c r="C34" s="1"/>
  <c r="E34"/>
  <c r="A35"/>
  <c r="D34"/>
  <c r="G34"/>
  <c r="AO34"/>
  <c r="AR34"/>
  <c r="AQ34"/>
  <c r="AP34"/>
  <c r="AD30"/>
  <c r="AC30"/>
  <c r="AK32"/>
  <c r="H32"/>
  <c r="I32" s="1"/>
  <c r="O33"/>
  <c r="P33" s="1"/>
  <c r="Q33" s="1"/>
  <c r="F33"/>
  <c r="AB29" i="77"/>
  <c r="K29" s="1"/>
  <c r="AE31" i="48"/>
  <c r="AF31"/>
  <c r="Y31"/>
  <c r="Z31" s="1"/>
  <c r="J31" s="1"/>
  <c r="AG31"/>
  <c r="AH31"/>
  <c r="AI31"/>
  <c r="AJ31"/>
  <c r="AF54" i="77"/>
  <c r="AI54" s="1"/>
  <c r="AG54"/>
  <c r="AL56"/>
  <c r="AM56"/>
  <c r="AJ56"/>
  <c r="AK56"/>
  <c r="AA56"/>
  <c r="Z57"/>
  <c r="AB29" i="31"/>
  <c r="K29" s="1"/>
  <c r="AB30" i="48"/>
  <c r="K30" s="1"/>
  <c r="AF28" i="77"/>
  <c r="AE28"/>
  <c r="Y28"/>
  <c r="Z28" s="1"/>
  <c r="J28" s="1"/>
  <c r="AH28"/>
  <c r="AJ28"/>
  <c r="AI28"/>
  <c r="AG28"/>
  <c r="AP28"/>
  <c r="R26"/>
  <c r="R27"/>
  <c r="AQ32"/>
  <c r="A33"/>
  <c r="B32"/>
  <c r="C32" s="1"/>
  <c r="E32"/>
  <c r="G32"/>
  <c r="D32"/>
  <c r="AP32"/>
  <c r="AO32"/>
  <c r="AR32"/>
  <c r="AK30"/>
  <c r="H30"/>
  <c r="I30" s="1"/>
  <c r="V25" i="31"/>
  <c r="W25"/>
  <c r="AF54"/>
  <c r="AI54" s="1"/>
  <c r="AG54"/>
  <c r="AC55" i="48"/>
  <c r="AE55" s="1"/>
  <c r="AH55" s="1"/>
  <c r="AB55"/>
  <c r="AD55" s="1"/>
  <c r="Z57" i="31"/>
  <c r="AA56"/>
  <c r="AM56"/>
  <c r="AL56"/>
  <c r="AJ56"/>
  <c r="AK56"/>
  <c r="AI30"/>
  <c r="AF30"/>
  <c r="Y30"/>
  <c r="Z30" s="1"/>
  <c r="J30" s="1"/>
  <c r="AG30"/>
  <c r="AH30"/>
  <c r="AJ30"/>
  <c r="AE30"/>
  <c r="A34"/>
  <c r="AO33"/>
  <c r="AP33"/>
  <c r="B33"/>
  <c r="C33" s="1"/>
  <c r="D33"/>
  <c r="E33"/>
  <c r="G33"/>
  <c r="AQ33"/>
  <c r="AR33"/>
  <c r="H31"/>
  <c r="I31" s="1"/>
  <c r="AK31"/>
  <c r="AC29"/>
  <c r="U25"/>
  <c r="AA56" i="48"/>
  <c r="AK56"/>
  <c r="AM56"/>
  <c r="AJ56"/>
  <c r="AL56"/>
  <c r="Z57"/>
  <c r="AC55" i="31"/>
  <c r="AE55" s="1"/>
  <c r="AH55" s="1"/>
  <c r="AB55"/>
  <c r="AD55" s="1"/>
  <c r="AG54" i="48"/>
  <c r="AF54"/>
  <c r="AI54" s="1"/>
  <c r="F32" i="31"/>
  <c r="O32"/>
  <c r="P32" s="1"/>
  <c r="Q32" s="1"/>
  <c r="AD29"/>
  <c r="AC28"/>
  <c r="AA37" i="78" l="1"/>
  <c r="T35"/>
  <c r="W35" s="1"/>
  <c r="U35"/>
  <c r="W33"/>
  <c r="L37"/>
  <c r="M37"/>
  <c r="AC38"/>
  <c r="AD38"/>
  <c r="AA38" s="1"/>
  <c r="V36"/>
  <c r="W36"/>
  <c r="AF64"/>
  <c r="AI64" s="1"/>
  <c r="AG64"/>
  <c r="R37"/>
  <c r="AB65"/>
  <c r="AD65" s="1"/>
  <c r="AC65"/>
  <c r="AE65" s="1"/>
  <c r="AH65" s="1"/>
  <c r="AP65"/>
  <c r="AR65" s="1"/>
  <c r="AQ65"/>
  <c r="AS65" s="1"/>
  <c r="AV65" s="1"/>
  <c r="V34"/>
  <c r="W34"/>
  <c r="AB38"/>
  <c r="K38" s="1"/>
  <c r="AT64"/>
  <c r="AW64" s="1"/>
  <c r="AU64"/>
  <c r="Z67"/>
  <c r="AJ66"/>
  <c r="AK66"/>
  <c r="AL66"/>
  <c r="AM66"/>
  <c r="AA66"/>
  <c r="U36"/>
  <c r="X36"/>
  <c r="L28" i="31"/>
  <c r="T27"/>
  <c r="W27" s="1"/>
  <c r="M28"/>
  <c r="AA28"/>
  <c r="R28" s="1"/>
  <c r="H31" i="77"/>
  <c r="I31" s="1"/>
  <c r="AE31" s="1"/>
  <c r="W25"/>
  <c r="V25"/>
  <c r="AA29"/>
  <c r="R29" s="1"/>
  <c r="L29"/>
  <c r="M29"/>
  <c r="AB31" i="48"/>
  <c r="K31" s="1"/>
  <c r="AD31"/>
  <c r="N31" s="1"/>
  <c r="AB56" i="77"/>
  <c r="AD56" s="1"/>
  <c r="AC56"/>
  <c r="AE56" s="1"/>
  <c r="AH56" s="1"/>
  <c r="AJ57"/>
  <c r="AK57"/>
  <c r="AL57"/>
  <c r="AA57"/>
  <c r="Z58"/>
  <c r="AM57"/>
  <c r="AK33" i="48"/>
  <c r="H33"/>
  <c r="I33" s="1"/>
  <c r="AH32"/>
  <c r="AF32"/>
  <c r="AI32"/>
  <c r="AG32"/>
  <c r="Y32"/>
  <c r="Z32" s="1"/>
  <c r="J32" s="1"/>
  <c r="AE32"/>
  <c r="AB32" s="1"/>
  <c r="AJ32"/>
  <c r="AF55" i="77"/>
  <c r="AI55" s="1"/>
  <c r="AG55"/>
  <c r="AD28"/>
  <c r="N28" s="1"/>
  <c r="AB28"/>
  <c r="K28" s="1"/>
  <c r="AA30" i="48"/>
  <c r="R30" s="1"/>
  <c r="L30"/>
  <c r="N30"/>
  <c r="O34"/>
  <c r="P34" s="1"/>
  <c r="Q34" s="1"/>
  <c r="F34"/>
  <c r="R28"/>
  <c r="S28" s="1"/>
  <c r="A36"/>
  <c r="AO35"/>
  <c r="AQ35"/>
  <c r="G35"/>
  <c r="AP35"/>
  <c r="E35"/>
  <c r="D35"/>
  <c r="AR35"/>
  <c r="B35"/>
  <c r="C35" s="1"/>
  <c r="AB30" i="31"/>
  <c r="K30" s="1"/>
  <c r="M30" i="48"/>
  <c r="M29" i="31"/>
  <c r="AC31" i="48"/>
  <c r="S29"/>
  <c r="T29" s="1"/>
  <c r="O32" i="77"/>
  <c r="P32" s="1"/>
  <c r="Q32" s="1"/>
  <c r="F32"/>
  <c r="AQ33"/>
  <c r="A34"/>
  <c r="D33"/>
  <c r="O33" s="1"/>
  <c r="P33" s="1"/>
  <c r="Q33" s="1"/>
  <c r="B33"/>
  <c r="C33" s="1"/>
  <c r="G33"/>
  <c r="AP33"/>
  <c r="E33"/>
  <c r="AR33"/>
  <c r="AO33"/>
  <c r="Y30"/>
  <c r="Z30" s="1"/>
  <c r="J30" s="1"/>
  <c r="AE30"/>
  <c r="AF30"/>
  <c r="AG30"/>
  <c r="AJ30"/>
  <c r="AI30"/>
  <c r="AH30"/>
  <c r="S27"/>
  <c r="T27" s="1"/>
  <c r="S26"/>
  <c r="U26" s="1"/>
  <c r="AC28"/>
  <c r="L29" i="31"/>
  <c r="AA29"/>
  <c r="N29"/>
  <c r="AF55"/>
  <c r="AI55" s="1"/>
  <c r="AG55"/>
  <c r="AA57" i="48"/>
  <c r="AK57"/>
  <c r="AM57"/>
  <c r="AJ57"/>
  <c r="AL57"/>
  <c r="Z58"/>
  <c r="AF31" i="31"/>
  <c r="Y31"/>
  <c r="Z31" s="1"/>
  <c r="J31" s="1"/>
  <c r="AG31"/>
  <c r="AI31"/>
  <c r="AH31"/>
  <c r="AJ31"/>
  <c r="AE31"/>
  <c r="AJ57"/>
  <c r="Z58"/>
  <c r="AA57"/>
  <c r="AM57"/>
  <c r="AL57"/>
  <c r="AK57"/>
  <c r="AG55" i="48"/>
  <c r="AF55"/>
  <c r="AI55" s="1"/>
  <c r="AC30" i="31"/>
  <c r="H32"/>
  <c r="I32" s="1"/>
  <c r="AK32"/>
  <c r="AC56" i="48"/>
  <c r="AE56" s="1"/>
  <c r="AH56" s="1"/>
  <c r="AB56"/>
  <c r="AD56" s="1"/>
  <c r="F33" i="31"/>
  <c r="O33"/>
  <c r="P33" s="1"/>
  <c r="Q33" s="1"/>
  <c r="AQ34"/>
  <c r="AR34"/>
  <c r="A35"/>
  <c r="AO34"/>
  <c r="B34"/>
  <c r="C34" s="1"/>
  <c r="D34"/>
  <c r="E34"/>
  <c r="G34"/>
  <c r="AP34"/>
  <c r="AB56"/>
  <c r="AD56" s="1"/>
  <c r="AC56"/>
  <c r="AE56" s="1"/>
  <c r="AH56" s="1"/>
  <c r="AD30"/>
  <c r="V35" i="78" l="1"/>
  <c r="M38"/>
  <c r="S37"/>
  <c r="X37" s="1"/>
  <c r="L38"/>
  <c r="N38"/>
  <c r="AT65"/>
  <c r="AW65" s="1"/>
  <c r="AU65"/>
  <c r="AG65"/>
  <c r="AF65"/>
  <c r="AI65" s="1"/>
  <c r="AL67"/>
  <c r="AM67"/>
  <c r="AA67"/>
  <c r="Z68"/>
  <c r="AK67"/>
  <c r="AJ67"/>
  <c r="AC66"/>
  <c r="AE66" s="1"/>
  <c r="AH66" s="1"/>
  <c r="AB66"/>
  <c r="AD66" s="1"/>
  <c r="AQ66"/>
  <c r="AS66" s="1"/>
  <c r="AV66" s="1"/>
  <c r="AP66"/>
  <c r="AR66" s="1"/>
  <c r="R38"/>
  <c r="V27" i="31"/>
  <c r="M30"/>
  <c r="F33" i="77"/>
  <c r="AK33" s="1"/>
  <c r="AF31"/>
  <c r="AG31"/>
  <c r="AH31"/>
  <c r="AI31"/>
  <c r="Y31"/>
  <c r="Z31" s="1"/>
  <c r="J31" s="1"/>
  <c r="AJ31"/>
  <c r="M28"/>
  <c r="M31" i="48"/>
  <c r="L31"/>
  <c r="AA31"/>
  <c r="R31" s="1"/>
  <c r="AC32"/>
  <c r="AB30" i="77"/>
  <c r="K30" s="1"/>
  <c r="AB31"/>
  <c r="L28"/>
  <c r="AA28"/>
  <c r="R28" s="1"/>
  <c r="K32" i="48"/>
  <c r="AD32"/>
  <c r="L32" s="1"/>
  <c r="AB31" i="31"/>
  <c r="K31" s="1"/>
  <c r="T28" i="48"/>
  <c r="S30"/>
  <c r="U30" s="1"/>
  <c r="W29"/>
  <c r="V29"/>
  <c r="B36"/>
  <c r="C36" s="1"/>
  <c r="E36"/>
  <c r="AO36"/>
  <c r="AR36"/>
  <c r="AQ36"/>
  <c r="AP36"/>
  <c r="A37"/>
  <c r="D36"/>
  <c r="G36"/>
  <c r="O35"/>
  <c r="P35" s="1"/>
  <c r="Q35" s="1"/>
  <c r="F35"/>
  <c r="Y33"/>
  <c r="Z33" s="1"/>
  <c r="J33" s="1"/>
  <c r="AG33"/>
  <c r="AH33"/>
  <c r="AI33"/>
  <c r="AJ33"/>
  <c r="AE33"/>
  <c r="AF33"/>
  <c r="AG56" i="77"/>
  <c r="AF56"/>
  <c r="AI56" s="1"/>
  <c r="AD30"/>
  <c r="N30" s="1"/>
  <c r="U28" i="48"/>
  <c r="U29"/>
  <c r="Z59" i="77"/>
  <c r="AA58"/>
  <c r="AL58"/>
  <c r="AM58"/>
  <c r="AJ58"/>
  <c r="AK58"/>
  <c r="H34" i="48"/>
  <c r="I34" s="1"/>
  <c r="AK34"/>
  <c r="AC57" i="77"/>
  <c r="AE57" s="1"/>
  <c r="AH57" s="1"/>
  <c r="AB57"/>
  <c r="AD57" s="1"/>
  <c r="U27"/>
  <c r="AC30"/>
  <c r="T26"/>
  <c r="V27"/>
  <c r="W27"/>
  <c r="AQ34"/>
  <c r="A35"/>
  <c r="E34"/>
  <c r="AP34"/>
  <c r="B34"/>
  <c r="C34" s="1"/>
  <c r="D34"/>
  <c r="O34" s="1"/>
  <c r="P34" s="1"/>
  <c r="Q34" s="1"/>
  <c r="G34"/>
  <c r="AR34"/>
  <c r="AO34"/>
  <c r="AK32"/>
  <c r="H32"/>
  <c r="I32" s="1"/>
  <c r="S29"/>
  <c r="T29" s="1"/>
  <c r="AF56" i="31"/>
  <c r="AI56" s="1"/>
  <c r="AG56"/>
  <c r="F34"/>
  <c r="O34"/>
  <c r="P34" s="1"/>
  <c r="Q34" s="1"/>
  <c r="AG56" i="48"/>
  <c r="AF56"/>
  <c r="AI56" s="1"/>
  <c r="AI32" i="31"/>
  <c r="AF32"/>
  <c r="Y32"/>
  <c r="Z32" s="1"/>
  <c r="J32" s="1"/>
  <c r="AG32"/>
  <c r="AH32"/>
  <c r="AJ32"/>
  <c r="AE32"/>
  <c r="Z59"/>
  <c r="AA58"/>
  <c r="AM58"/>
  <c r="AL58"/>
  <c r="AJ58"/>
  <c r="AK58"/>
  <c r="AA58" i="48"/>
  <c r="AK58"/>
  <c r="AM58"/>
  <c r="AJ58"/>
  <c r="AL58"/>
  <c r="Z59"/>
  <c r="R29" i="31"/>
  <c r="S29" s="1"/>
  <c r="AC31"/>
  <c r="L30"/>
  <c r="AA30"/>
  <c r="N30"/>
  <c r="A36"/>
  <c r="AO35"/>
  <c r="AP35"/>
  <c r="B35"/>
  <c r="C35" s="1"/>
  <c r="D35"/>
  <c r="E35"/>
  <c r="G35"/>
  <c r="AQ35"/>
  <c r="AR35"/>
  <c r="H33"/>
  <c r="I33" s="1"/>
  <c r="AK33"/>
  <c r="AC57"/>
  <c r="AE57" s="1"/>
  <c r="AH57" s="1"/>
  <c r="AB57"/>
  <c r="AD57" s="1"/>
  <c r="AC57" i="48"/>
  <c r="AE57" s="1"/>
  <c r="AH57" s="1"/>
  <c r="AB57"/>
  <c r="AD57" s="1"/>
  <c r="S28" i="31"/>
  <c r="AD31"/>
  <c r="U37" i="78" l="1"/>
  <c r="T37"/>
  <c r="W37" s="1"/>
  <c r="K31" i="77"/>
  <c r="S38" i="78"/>
  <c r="U38" s="1"/>
  <c r="AT66"/>
  <c r="AW66" s="1"/>
  <c r="AU66"/>
  <c r="AP67"/>
  <c r="AR67" s="1"/>
  <c r="AQ67"/>
  <c r="AS67" s="1"/>
  <c r="AV67" s="1"/>
  <c r="AB67"/>
  <c r="AD67" s="1"/>
  <c r="AC67"/>
  <c r="AE67" s="1"/>
  <c r="AH67" s="1"/>
  <c r="AF66"/>
  <c r="AI66" s="1"/>
  <c r="AG66"/>
  <c r="Z69"/>
  <c r="AJ68"/>
  <c r="AK68"/>
  <c r="AA68"/>
  <c r="AL68"/>
  <c r="AM68"/>
  <c r="M31" i="31"/>
  <c r="AC31" i="77"/>
  <c r="M31" s="1"/>
  <c r="H33"/>
  <c r="I33" s="1"/>
  <c r="AF33" s="1"/>
  <c r="AD31"/>
  <c r="N31" s="1"/>
  <c r="W28" i="48"/>
  <c r="T30"/>
  <c r="V30" s="1"/>
  <c r="M32"/>
  <c r="AA30" i="77"/>
  <c r="R30" s="1"/>
  <c r="N32" i="48"/>
  <c r="AA32"/>
  <c r="R32" s="1"/>
  <c r="L30" i="77"/>
  <c r="S28"/>
  <c r="W12" s="1"/>
  <c r="M30"/>
  <c r="V28" i="48"/>
  <c r="AD33"/>
  <c r="L33" s="1"/>
  <c r="AB33"/>
  <c r="K33" s="1"/>
  <c r="AC33"/>
  <c r="AG57" i="77"/>
  <c r="AF57"/>
  <c r="AI57" s="1"/>
  <c r="H35" i="48"/>
  <c r="I35" s="1"/>
  <c r="AK35"/>
  <c r="E37"/>
  <c r="D37"/>
  <c r="AR37"/>
  <c r="B37"/>
  <c r="C37" s="1"/>
  <c r="A38"/>
  <c r="AO37"/>
  <c r="AQ37"/>
  <c r="G37"/>
  <c r="AP37"/>
  <c r="AB32" i="31"/>
  <c r="K32" s="1"/>
  <c r="S31" i="48"/>
  <c r="AL59" i="77"/>
  <c r="AM59"/>
  <c r="AJ59"/>
  <c r="AK59"/>
  <c r="AA59"/>
  <c r="Z60"/>
  <c r="O36" i="48"/>
  <c r="P36" s="1"/>
  <c r="Q36" s="1"/>
  <c r="F36"/>
  <c r="Y34"/>
  <c r="Z34" s="1"/>
  <c r="J34" s="1"/>
  <c r="AE34"/>
  <c r="AG34"/>
  <c r="AH34"/>
  <c r="AF34"/>
  <c r="AI34"/>
  <c r="AJ34"/>
  <c r="AC58" i="77"/>
  <c r="AE58" s="1"/>
  <c r="AH58" s="1"/>
  <c r="AB58"/>
  <c r="AD58" s="1"/>
  <c r="U29" i="31"/>
  <c r="T29"/>
  <c r="W29" s="1"/>
  <c r="V29" i="77"/>
  <c r="W29"/>
  <c r="AE32"/>
  <c r="AF32"/>
  <c r="Y32"/>
  <c r="Z32" s="1"/>
  <c r="J32" s="1"/>
  <c r="AG32"/>
  <c r="AJ32"/>
  <c r="AI32"/>
  <c r="AH32"/>
  <c r="F34"/>
  <c r="U29"/>
  <c r="AQ35"/>
  <c r="A36"/>
  <c r="D35"/>
  <c r="AP35"/>
  <c r="B35"/>
  <c r="C35" s="1"/>
  <c r="E35"/>
  <c r="G35"/>
  <c r="AR35"/>
  <c r="AO35"/>
  <c r="W26"/>
  <c r="V26"/>
  <c r="AG57" i="48"/>
  <c r="AF57"/>
  <c r="AI57" s="1"/>
  <c r="AF57" i="31"/>
  <c r="AI57" s="1"/>
  <c r="AG57"/>
  <c r="F35"/>
  <c r="O35"/>
  <c r="P35" s="1"/>
  <c r="Q35" s="1"/>
  <c r="AQ36"/>
  <c r="AR36"/>
  <c r="A37"/>
  <c r="AO36"/>
  <c r="B36"/>
  <c r="C36" s="1"/>
  <c r="D36"/>
  <c r="E36"/>
  <c r="G36"/>
  <c r="AP36"/>
  <c r="R30"/>
  <c r="S30" s="1"/>
  <c r="AA59" i="48"/>
  <c r="AK59"/>
  <c r="AM59"/>
  <c r="AJ59"/>
  <c r="AL59"/>
  <c r="Z60"/>
  <c r="AJ59" i="31"/>
  <c r="Z60"/>
  <c r="AA59"/>
  <c r="AM59"/>
  <c r="AL59"/>
  <c r="AK59"/>
  <c r="AD32"/>
  <c r="V29"/>
  <c r="L31"/>
  <c r="AA31"/>
  <c r="N31"/>
  <c r="AF33"/>
  <c r="Y33"/>
  <c r="Z33" s="1"/>
  <c r="J33" s="1"/>
  <c r="AG33"/>
  <c r="AI33"/>
  <c r="AH33"/>
  <c r="AJ33"/>
  <c r="AE33"/>
  <c r="AC58" i="48"/>
  <c r="AE58" s="1"/>
  <c r="AH58" s="1"/>
  <c r="AB58"/>
  <c r="AD58" s="1"/>
  <c r="AB58" i="31"/>
  <c r="AD58" s="1"/>
  <c r="AC58"/>
  <c r="AE58" s="1"/>
  <c r="AH58" s="1"/>
  <c r="H34"/>
  <c r="I34" s="1"/>
  <c r="AK34"/>
  <c r="T28"/>
  <c r="U28"/>
  <c r="AC32"/>
  <c r="V37" i="78" l="1"/>
  <c r="T38"/>
  <c r="X38"/>
  <c r="AP68"/>
  <c r="AR68" s="1"/>
  <c r="AQ68"/>
  <c r="AS68" s="1"/>
  <c r="AV68" s="1"/>
  <c r="AC68"/>
  <c r="AE68" s="1"/>
  <c r="AH68" s="1"/>
  <c r="AB68"/>
  <c r="AD68" s="1"/>
  <c r="AL69"/>
  <c r="AM69"/>
  <c r="AA69"/>
  <c r="AJ69"/>
  <c r="AK69"/>
  <c r="Z70"/>
  <c r="AF67"/>
  <c r="AI67" s="1"/>
  <c r="AG67"/>
  <c r="AT67"/>
  <c r="AW67" s="1"/>
  <c r="AU67"/>
  <c r="AJ33" i="77"/>
  <c r="Y33"/>
  <c r="Z33" s="1"/>
  <c r="J33" s="1"/>
  <c r="AG33"/>
  <c r="AH33"/>
  <c r="AE33"/>
  <c r="AB33" s="1"/>
  <c r="AI33"/>
  <c r="AA31"/>
  <c r="R31" s="1"/>
  <c r="L31"/>
  <c r="AO28" i="48"/>
  <c r="W30"/>
  <c r="S32"/>
  <c r="U32" s="1"/>
  <c r="N33"/>
  <c r="T28" i="77"/>
  <c r="V28" s="1"/>
  <c r="B42" i="48" s="1"/>
  <c r="U28" i="77"/>
  <c r="S30"/>
  <c r="T30" s="1"/>
  <c r="AA33" i="48"/>
  <c r="R33" s="1"/>
  <c r="S33" s="1"/>
  <c r="M33"/>
  <c r="AB32" i="77"/>
  <c r="K32" s="1"/>
  <c r="AC34" i="48"/>
  <c r="AB33" i="31"/>
  <c r="K33" s="1"/>
  <c r="AD34" i="48"/>
  <c r="AA34" s="1"/>
  <c r="R34" s="1"/>
  <c r="AB34"/>
  <c r="K34" s="1"/>
  <c r="G38"/>
  <c r="B38"/>
  <c r="C38" s="1"/>
  <c r="AQ38"/>
  <c r="AQ39" s="1"/>
  <c r="AP38"/>
  <c r="AP39" s="1"/>
  <c r="AP59" s="1"/>
  <c r="AR59" s="1"/>
  <c r="D38"/>
  <c r="AR38"/>
  <c r="AR39" s="1"/>
  <c r="E38"/>
  <c r="AO38"/>
  <c r="O37"/>
  <c r="P37" s="1"/>
  <c r="Q37" s="1"/>
  <c r="F37"/>
  <c r="T31"/>
  <c r="H36"/>
  <c r="I36" s="1"/>
  <c r="AK36"/>
  <c r="AC59" i="77"/>
  <c r="AE59" s="1"/>
  <c r="AH59" s="1"/>
  <c r="AB59"/>
  <c r="AD59" s="1"/>
  <c r="AG35" i="48"/>
  <c r="AH35"/>
  <c r="AE35"/>
  <c r="AI35"/>
  <c r="AJ35"/>
  <c r="AF35"/>
  <c r="Y35"/>
  <c r="Z35" s="1"/>
  <c r="J35" s="1"/>
  <c r="AL60" i="77"/>
  <c r="AM60"/>
  <c r="Z61"/>
  <c r="AJ60"/>
  <c r="AK60"/>
  <c r="AA60"/>
  <c r="AF58"/>
  <c r="AI58" s="1"/>
  <c r="AG58"/>
  <c r="M32" i="31"/>
  <c r="U31" i="48"/>
  <c r="T30" i="31"/>
  <c r="W30" s="1"/>
  <c r="U30"/>
  <c r="F35" i="77"/>
  <c r="O35"/>
  <c r="P35" s="1"/>
  <c r="Q35" s="1"/>
  <c r="H34"/>
  <c r="I34" s="1"/>
  <c r="AK34"/>
  <c r="AD32"/>
  <c r="AC32"/>
  <c r="AQ36"/>
  <c r="A37"/>
  <c r="E36"/>
  <c r="AP36"/>
  <c r="B36"/>
  <c r="C36" s="1"/>
  <c r="D36"/>
  <c r="O36" s="1"/>
  <c r="P36" s="1"/>
  <c r="Q36" s="1"/>
  <c r="G36"/>
  <c r="AO36"/>
  <c r="AR36"/>
  <c r="AI34" i="31"/>
  <c r="AF34"/>
  <c r="Y34"/>
  <c r="Z34" s="1"/>
  <c r="J34" s="1"/>
  <c r="AG34"/>
  <c r="AH34"/>
  <c r="AJ34"/>
  <c r="AE34"/>
  <c r="AF58"/>
  <c r="AI58" s="1"/>
  <c r="AG58"/>
  <c r="AB59"/>
  <c r="AD59" s="1"/>
  <c r="AC59"/>
  <c r="AE59" s="1"/>
  <c r="AH59" s="1"/>
  <c r="AC59" i="48"/>
  <c r="AE59" s="1"/>
  <c r="AH59" s="1"/>
  <c r="AB59"/>
  <c r="AD59" s="1"/>
  <c r="A38" i="31"/>
  <c r="AO37"/>
  <c r="AP37"/>
  <c r="B37"/>
  <c r="C37" s="1"/>
  <c r="D37"/>
  <c r="E37"/>
  <c r="G37"/>
  <c r="AQ37"/>
  <c r="AR37"/>
  <c r="H35"/>
  <c r="I35" s="1"/>
  <c r="AK35"/>
  <c r="AD33"/>
  <c r="V28"/>
  <c r="W28"/>
  <c r="AO28" s="1"/>
  <c r="AG58" i="48"/>
  <c r="AF58"/>
  <c r="AI58" s="1"/>
  <c r="R31" i="31"/>
  <c r="S31" s="1"/>
  <c r="L32"/>
  <c r="AA32"/>
  <c r="N32"/>
  <c r="Z61"/>
  <c r="AA60"/>
  <c r="AM60"/>
  <c r="AL60"/>
  <c r="AJ60"/>
  <c r="AK60"/>
  <c r="AA60" i="48"/>
  <c r="AK60"/>
  <c r="AM60"/>
  <c r="AJ60"/>
  <c r="AL60"/>
  <c r="Z61"/>
  <c r="F36" i="31"/>
  <c r="O36"/>
  <c r="P36" s="1"/>
  <c r="Q36" s="1"/>
  <c r="AC33"/>
  <c r="V38" i="78" l="1"/>
  <c r="W38"/>
  <c r="Z71"/>
  <c r="AJ70"/>
  <c r="AK70"/>
  <c r="AL70"/>
  <c r="AM70"/>
  <c r="AA70"/>
  <c r="AP69"/>
  <c r="AR69" s="1"/>
  <c r="AQ69"/>
  <c r="AS69" s="1"/>
  <c r="AV69" s="1"/>
  <c r="AB69"/>
  <c r="AD69" s="1"/>
  <c r="AC69"/>
  <c r="AE69" s="1"/>
  <c r="AH69" s="1"/>
  <c r="AT68"/>
  <c r="AW68" s="1"/>
  <c r="AU68"/>
  <c r="AF68"/>
  <c r="AI68" s="1"/>
  <c r="AG68"/>
  <c r="AC33" i="77"/>
  <c r="AD33"/>
  <c r="L33" s="1"/>
  <c r="K33"/>
  <c r="M33" i="31"/>
  <c r="AO39" i="48"/>
  <c r="W3" s="1"/>
  <c r="X21" s="1"/>
  <c r="U30" i="77"/>
  <c r="W28"/>
  <c r="AO28" s="1"/>
  <c r="T32" i="48"/>
  <c r="W32" s="1"/>
  <c r="M34"/>
  <c r="N34"/>
  <c r="L34"/>
  <c r="AD35"/>
  <c r="N35" s="1"/>
  <c r="W11"/>
  <c r="AB35"/>
  <c r="K35" s="1"/>
  <c r="T33"/>
  <c r="W33" s="1"/>
  <c r="H37"/>
  <c r="I37" s="1"/>
  <c r="AK37"/>
  <c r="AQ42"/>
  <c r="AS42" s="1"/>
  <c r="AV42" s="1"/>
  <c r="AQ44"/>
  <c r="AS44" s="1"/>
  <c r="AV44" s="1"/>
  <c r="AP46"/>
  <c r="AR46" s="1"/>
  <c r="AQ48"/>
  <c r="AS48" s="1"/>
  <c r="AV48" s="1"/>
  <c r="AP50"/>
  <c r="AR50" s="1"/>
  <c r="AP44"/>
  <c r="AR44" s="1"/>
  <c r="AQ41"/>
  <c r="AS41" s="1"/>
  <c r="AV41" s="1"/>
  <c r="AP43"/>
  <c r="AR43" s="1"/>
  <c r="AQ45"/>
  <c r="AS45" s="1"/>
  <c r="AV45" s="1"/>
  <c r="AP47"/>
  <c r="AR47" s="1"/>
  <c r="AP49"/>
  <c r="AR49" s="1"/>
  <c r="AP42"/>
  <c r="AR42" s="1"/>
  <c r="AQ46"/>
  <c r="AS46" s="1"/>
  <c r="AV46" s="1"/>
  <c r="AP48"/>
  <c r="AR48" s="1"/>
  <c r="AP41"/>
  <c r="AR41" s="1"/>
  <c r="AQ43"/>
  <c r="AS43" s="1"/>
  <c r="AV43" s="1"/>
  <c r="AP45"/>
  <c r="AR45" s="1"/>
  <c r="AQ47"/>
  <c r="AS47" s="1"/>
  <c r="AV47" s="1"/>
  <c r="AQ49"/>
  <c r="AS49" s="1"/>
  <c r="AV49" s="1"/>
  <c r="AQ50"/>
  <c r="AS50" s="1"/>
  <c r="AV50" s="1"/>
  <c r="AQ51"/>
  <c r="AS51" s="1"/>
  <c r="AV51" s="1"/>
  <c r="AP51"/>
  <c r="AR51" s="1"/>
  <c r="AQ52"/>
  <c r="AS52" s="1"/>
  <c r="AV52" s="1"/>
  <c r="AP52"/>
  <c r="AR52" s="1"/>
  <c r="AQ53"/>
  <c r="AS53" s="1"/>
  <c r="AV53" s="1"/>
  <c r="AP53"/>
  <c r="AR53" s="1"/>
  <c r="AP54"/>
  <c r="AR54" s="1"/>
  <c r="AQ54"/>
  <c r="AS54" s="1"/>
  <c r="AV54" s="1"/>
  <c r="AQ55"/>
  <c r="AS55" s="1"/>
  <c r="AV55" s="1"/>
  <c r="AP55"/>
  <c r="AR55" s="1"/>
  <c r="AQ56"/>
  <c r="AS56" s="1"/>
  <c r="AV56" s="1"/>
  <c r="AP56"/>
  <c r="AR56" s="1"/>
  <c r="AP57"/>
  <c r="AR57" s="1"/>
  <c r="AQ57"/>
  <c r="AS57" s="1"/>
  <c r="AV57" s="1"/>
  <c r="AP58"/>
  <c r="AR58" s="1"/>
  <c r="AQ58"/>
  <c r="AS58" s="1"/>
  <c r="AV58" s="1"/>
  <c r="AB34" i="31"/>
  <c r="K34" s="1"/>
  <c r="F36" i="77"/>
  <c r="AK36" s="1"/>
  <c r="AQ59" i="48"/>
  <c r="AS59" s="1"/>
  <c r="AV59" s="1"/>
  <c r="V30" i="31"/>
  <c r="AC35" i="48"/>
  <c r="M35" s="1"/>
  <c r="AB60" i="77"/>
  <c r="AD60" s="1"/>
  <c r="AC60"/>
  <c r="AE60" s="1"/>
  <c r="AH60" s="1"/>
  <c r="AJ36" i="48"/>
  <c r="AG36"/>
  <c r="AF36"/>
  <c r="AI36"/>
  <c r="AH36"/>
  <c r="Y36"/>
  <c r="Z36" s="1"/>
  <c r="J36" s="1"/>
  <c r="AE36"/>
  <c r="AB36" s="1"/>
  <c r="Z62" i="77"/>
  <c r="AJ61"/>
  <c r="AK61"/>
  <c r="AL61"/>
  <c r="AM61"/>
  <c r="AA61"/>
  <c r="O38" i="48"/>
  <c r="P38" s="1"/>
  <c r="Q38" s="1"/>
  <c r="F38"/>
  <c r="AG59" i="77"/>
  <c r="AF59"/>
  <c r="AI59" s="1"/>
  <c r="W31" i="48"/>
  <c r="V31"/>
  <c r="AD34" i="31"/>
  <c r="N34" s="1"/>
  <c r="U33" i="48"/>
  <c r="AQ37" i="77"/>
  <c r="A38"/>
  <c r="D37"/>
  <c r="AP37"/>
  <c r="B37"/>
  <c r="C37" s="1"/>
  <c r="E37"/>
  <c r="G37"/>
  <c r="AR37"/>
  <c r="AO37"/>
  <c r="V30"/>
  <c r="W30"/>
  <c r="AF34"/>
  <c r="Y34"/>
  <c r="Z34" s="1"/>
  <c r="J34" s="1"/>
  <c r="AE34"/>
  <c r="AJ34"/>
  <c r="AG34"/>
  <c r="AH34"/>
  <c r="AI34"/>
  <c r="AK35"/>
  <c r="H35"/>
  <c r="I35" s="1"/>
  <c r="S31"/>
  <c r="U31" s="1"/>
  <c r="M32"/>
  <c r="L32"/>
  <c r="AA32"/>
  <c r="R32" s="1"/>
  <c r="N32"/>
  <c r="H36" i="31"/>
  <c r="I36" s="1"/>
  <c r="AK36"/>
  <c r="AC60" i="48"/>
  <c r="AE60" s="1"/>
  <c r="AH60" s="1"/>
  <c r="AQ60"/>
  <c r="AS60" s="1"/>
  <c r="AV60" s="1"/>
  <c r="AB60"/>
  <c r="AD60" s="1"/>
  <c r="AP60"/>
  <c r="AR60" s="1"/>
  <c r="AJ61" i="31"/>
  <c r="Z62"/>
  <c r="AA61"/>
  <c r="AM61"/>
  <c r="AL61"/>
  <c r="AK61"/>
  <c r="R32"/>
  <c r="S32" s="1"/>
  <c r="L33"/>
  <c r="AA33"/>
  <c r="N33"/>
  <c r="F37"/>
  <c r="O37"/>
  <c r="P37" s="1"/>
  <c r="Q37" s="1"/>
  <c r="D38"/>
  <c r="E38"/>
  <c r="AQ38"/>
  <c r="AQ39" s="1"/>
  <c r="AR38"/>
  <c r="AR39" s="1"/>
  <c r="B38"/>
  <c r="C38" s="1"/>
  <c r="G38"/>
  <c r="AO38"/>
  <c r="AO39" s="1"/>
  <c r="W3" s="1"/>
  <c r="AP38"/>
  <c r="AP39" s="1"/>
  <c r="AP60" s="1"/>
  <c r="AR60" s="1"/>
  <c r="AG59" i="48"/>
  <c r="AF59"/>
  <c r="AI59" s="1"/>
  <c r="U31" i="31"/>
  <c r="AC34"/>
  <c r="AA61" i="48"/>
  <c r="AK61"/>
  <c r="AM61"/>
  <c r="AJ61"/>
  <c r="AL61"/>
  <c r="Z62"/>
  <c r="AB60" i="31"/>
  <c r="AD60" s="1"/>
  <c r="AC60"/>
  <c r="AE60" s="1"/>
  <c r="AH60" s="1"/>
  <c r="AF35"/>
  <c r="Y35"/>
  <c r="Z35" s="1"/>
  <c r="J35" s="1"/>
  <c r="AG35"/>
  <c r="AI35"/>
  <c r="AH35"/>
  <c r="AJ35"/>
  <c r="AE35"/>
  <c r="AU59" i="48"/>
  <c r="AF59" i="31"/>
  <c r="AI59" s="1"/>
  <c r="AG59"/>
  <c r="T31"/>
  <c r="AF69" i="78" l="1"/>
  <c r="AI69" s="1"/>
  <c r="AG69"/>
  <c r="AL71"/>
  <c r="AM71"/>
  <c r="AA71"/>
  <c r="AK71"/>
  <c r="AJ71"/>
  <c r="AC70"/>
  <c r="AE70" s="1"/>
  <c r="AH70" s="1"/>
  <c r="AB70"/>
  <c r="AD70" s="1"/>
  <c r="AT69"/>
  <c r="AW69" s="1"/>
  <c r="AU69"/>
  <c r="M34" i="31"/>
  <c r="M33" i="77"/>
  <c r="N33"/>
  <c r="AA33"/>
  <c r="R33" s="1"/>
  <c r="X33" i="48"/>
  <c r="X24"/>
  <c r="X28"/>
  <c r="X26"/>
  <c r="X19"/>
  <c r="X32"/>
  <c r="X27"/>
  <c r="X23"/>
  <c r="X20"/>
  <c r="X31"/>
  <c r="X29"/>
  <c r="X22"/>
  <c r="X18"/>
  <c r="AT59"/>
  <c r="AW59" s="1"/>
  <c r="X30"/>
  <c r="X17"/>
  <c r="X25"/>
  <c r="H36" i="77"/>
  <c r="I36" s="1"/>
  <c r="AF36" s="1"/>
  <c r="L34" i="31"/>
  <c r="AA34"/>
  <c r="R34" s="1"/>
  <c r="AQ60"/>
  <c r="AS60" s="1"/>
  <c r="AV60" s="1"/>
  <c r="V32" i="48"/>
  <c r="K36"/>
  <c r="L35"/>
  <c r="AA35"/>
  <c r="R35" s="1"/>
  <c r="AB35" i="31"/>
  <c r="K35" s="1"/>
  <c r="V33" i="48"/>
  <c r="S34"/>
  <c r="X34" s="1"/>
  <c r="AC61" i="77"/>
  <c r="AE61" s="1"/>
  <c r="AH61" s="1"/>
  <c r="AB61"/>
  <c r="AD61" s="1"/>
  <c r="AG60"/>
  <c r="AF60"/>
  <c r="AI60" s="1"/>
  <c r="AK38" i="48"/>
  <c r="H38"/>
  <c r="I38" s="1"/>
  <c r="AU55"/>
  <c r="AT55"/>
  <c r="AW55" s="1"/>
  <c r="AU53"/>
  <c r="AT53"/>
  <c r="AW53" s="1"/>
  <c r="AT51"/>
  <c r="AW51" s="1"/>
  <c r="AU51"/>
  <c r="AU48"/>
  <c r="AT48"/>
  <c r="AW48" s="1"/>
  <c r="AT47"/>
  <c r="AW47" s="1"/>
  <c r="AU47"/>
  <c r="AU44"/>
  <c r="AT44"/>
  <c r="AW44" s="1"/>
  <c r="S32" i="77"/>
  <c r="U32" s="1"/>
  <c r="T31"/>
  <c r="W31" s="1"/>
  <c r="AD34"/>
  <c r="AA34" s="1"/>
  <c r="AB34"/>
  <c r="K34" s="1"/>
  <c r="AC36" i="48"/>
  <c r="AT58"/>
  <c r="AW58" s="1"/>
  <c r="AU58"/>
  <c r="AT54"/>
  <c r="AW54" s="1"/>
  <c r="AU54"/>
  <c r="AT41"/>
  <c r="AW41" s="1"/>
  <c r="AU41"/>
  <c r="AT49"/>
  <c r="AW49" s="1"/>
  <c r="AU49"/>
  <c r="AU46"/>
  <c r="AT46"/>
  <c r="AW46" s="1"/>
  <c r="AA62" i="77"/>
  <c r="Z63"/>
  <c r="AL62"/>
  <c r="AM62"/>
  <c r="AJ62"/>
  <c r="AK62"/>
  <c r="AT56" i="48"/>
  <c r="AW56" s="1"/>
  <c r="AU56"/>
  <c r="AT52"/>
  <c r="AW52" s="1"/>
  <c r="AU52"/>
  <c r="AU42"/>
  <c r="AT42"/>
  <c r="AW42" s="1"/>
  <c r="AT43"/>
  <c r="AW43" s="1"/>
  <c r="AU43"/>
  <c r="AD36"/>
  <c r="AU57"/>
  <c r="AT57"/>
  <c r="AW57" s="1"/>
  <c r="AT45"/>
  <c r="AW45" s="1"/>
  <c r="AU45"/>
  <c r="AT50"/>
  <c r="AW50" s="1"/>
  <c r="AU50"/>
  <c r="Y37"/>
  <c r="Z37" s="1"/>
  <c r="J37" s="1"/>
  <c r="AF37"/>
  <c r="AG37"/>
  <c r="AH37"/>
  <c r="AI37"/>
  <c r="AJ37"/>
  <c r="AE37"/>
  <c r="Y35" i="77"/>
  <c r="Z35" s="1"/>
  <c r="J35" s="1"/>
  <c r="AE35"/>
  <c r="AF35"/>
  <c r="AI35"/>
  <c r="AH35"/>
  <c r="AG35"/>
  <c r="AJ35"/>
  <c r="AQ38"/>
  <c r="AQ39" s="1"/>
  <c r="D38"/>
  <c r="E38"/>
  <c r="B38"/>
  <c r="C38" s="1"/>
  <c r="AP38"/>
  <c r="AP39" s="1"/>
  <c r="AR38"/>
  <c r="AR39" s="1"/>
  <c r="G38"/>
  <c r="AO38"/>
  <c r="AO39" s="1"/>
  <c r="W3" s="1"/>
  <c r="AC34"/>
  <c r="F37"/>
  <c r="O37"/>
  <c r="P37" s="1"/>
  <c r="Q37" s="1"/>
  <c r="W11" i="31"/>
  <c r="U32"/>
  <c r="T32"/>
  <c r="X32"/>
  <c r="AF60"/>
  <c r="AI60" s="1"/>
  <c r="AG60"/>
  <c r="AC61" i="48"/>
  <c r="AE61" s="1"/>
  <c r="AH61" s="1"/>
  <c r="AQ61"/>
  <c r="AS61" s="1"/>
  <c r="AV61" s="1"/>
  <c r="AB61"/>
  <c r="AD61" s="1"/>
  <c r="AP61"/>
  <c r="AR61" s="1"/>
  <c r="AQ43" i="31"/>
  <c r="AS43" s="1"/>
  <c r="AV43" s="1"/>
  <c r="AQ41"/>
  <c r="AS41" s="1"/>
  <c r="AV41" s="1"/>
  <c r="AP42"/>
  <c r="AR42" s="1"/>
  <c r="AP43"/>
  <c r="AR43" s="1"/>
  <c r="AP41"/>
  <c r="AR41" s="1"/>
  <c r="AQ42"/>
  <c r="AS42" s="1"/>
  <c r="AV42" s="1"/>
  <c r="AP44"/>
  <c r="AR44" s="1"/>
  <c r="AQ44"/>
  <c r="AS44" s="1"/>
  <c r="AV44" s="1"/>
  <c r="AQ45"/>
  <c r="AS45" s="1"/>
  <c r="AV45" s="1"/>
  <c r="AP45"/>
  <c r="AR45" s="1"/>
  <c r="AQ46"/>
  <c r="AS46" s="1"/>
  <c r="AV46" s="1"/>
  <c r="AP46"/>
  <c r="AR46" s="1"/>
  <c r="AQ47"/>
  <c r="AS47" s="1"/>
  <c r="AV47" s="1"/>
  <c r="AP47"/>
  <c r="AR47" s="1"/>
  <c r="AP48"/>
  <c r="AR48" s="1"/>
  <c r="AQ48"/>
  <c r="AS48" s="1"/>
  <c r="AV48" s="1"/>
  <c r="AQ49"/>
  <c r="AS49" s="1"/>
  <c r="AV49" s="1"/>
  <c r="AP49"/>
  <c r="AR49" s="1"/>
  <c r="AP50"/>
  <c r="AR50" s="1"/>
  <c r="AQ50"/>
  <c r="AS50" s="1"/>
  <c r="AV50" s="1"/>
  <c r="AQ51"/>
  <c r="AS51" s="1"/>
  <c r="AV51" s="1"/>
  <c r="AP51"/>
  <c r="AR51" s="1"/>
  <c r="AP52"/>
  <c r="AR52" s="1"/>
  <c r="AQ52"/>
  <c r="AS52" s="1"/>
  <c r="AV52" s="1"/>
  <c r="AQ53"/>
  <c r="AS53" s="1"/>
  <c r="AV53" s="1"/>
  <c r="AP53"/>
  <c r="AR53" s="1"/>
  <c r="AP54"/>
  <c r="AR54" s="1"/>
  <c r="AQ54"/>
  <c r="AS54" s="1"/>
  <c r="AV54" s="1"/>
  <c r="AQ55"/>
  <c r="AS55" s="1"/>
  <c r="AV55" s="1"/>
  <c r="AP55"/>
  <c r="AR55" s="1"/>
  <c r="AP56"/>
  <c r="AR56" s="1"/>
  <c r="AQ56"/>
  <c r="AS56" s="1"/>
  <c r="AV56" s="1"/>
  <c r="AQ57"/>
  <c r="AS57" s="1"/>
  <c r="AV57" s="1"/>
  <c r="AP57"/>
  <c r="AR57" s="1"/>
  <c r="AP58"/>
  <c r="AR58" s="1"/>
  <c r="AQ58"/>
  <c r="AS58" s="1"/>
  <c r="AV58" s="1"/>
  <c r="AQ59"/>
  <c r="AS59" s="1"/>
  <c r="AV59" s="1"/>
  <c r="AP59"/>
  <c r="AR59" s="1"/>
  <c r="R33"/>
  <c r="S33" s="1"/>
  <c r="Z63"/>
  <c r="AA62"/>
  <c r="AM62"/>
  <c r="AL62"/>
  <c r="AJ62"/>
  <c r="AK62"/>
  <c r="AU60" i="48"/>
  <c r="AT60"/>
  <c r="AW60" s="1"/>
  <c r="AI36" i="31"/>
  <c r="AF36"/>
  <c r="Y36"/>
  <c r="Z36" s="1"/>
  <c r="J36" s="1"/>
  <c r="AG36"/>
  <c r="AH36"/>
  <c r="AJ36"/>
  <c r="AE36"/>
  <c r="AC35"/>
  <c r="V31"/>
  <c r="W31"/>
  <c r="AU60"/>
  <c r="AA62" i="48"/>
  <c r="AK62"/>
  <c r="AM62"/>
  <c r="AJ62"/>
  <c r="AL62"/>
  <c r="Z63"/>
  <c r="X18" i="31"/>
  <c r="X20"/>
  <c r="X17"/>
  <c r="X19"/>
  <c r="X22"/>
  <c r="X21"/>
  <c r="X24"/>
  <c r="X23"/>
  <c r="X26"/>
  <c r="X25"/>
  <c r="X27"/>
  <c r="X29"/>
  <c r="X30"/>
  <c r="X28"/>
  <c r="F38"/>
  <c r="O38"/>
  <c r="P38" s="1"/>
  <c r="Q38" s="1"/>
  <c r="H37"/>
  <c r="I37" s="1"/>
  <c r="AK37"/>
  <c r="AQ61"/>
  <c r="AS61" s="1"/>
  <c r="AV61" s="1"/>
  <c r="AC61"/>
  <c r="AE61" s="1"/>
  <c r="AH61" s="1"/>
  <c r="AP61"/>
  <c r="AR61" s="1"/>
  <c r="AB61"/>
  <c r="AD61" s="1"/>
  <c r="AG60" i="48"/>
  <c r="AF60"/>
  <c r="AI60" s="1"/>
  <c r="AD35" i="31"/>
  <c r="X31"/>
  <c r="AB71" i="78" l="1"/>
  <c r="AD71" s="1"/>
  <c r="AC71"/>
  <c r="AE71" s="1"/>
  <c r="AH71" s="1"/>
  <c r="AF70"/>
  <c r="AI70" s="1"/>
  <c r="AG70"/>
  <c r="M36" i="48"/>
  <c r="S33" i="77"/>
  <c r="T33" s="1"/>
  <c r="W33" s="1"/>
  <c r="AT60" i="31"/>
  <c r="AW60" s="1"/>
  <c r="M35"/>
  <c r="S34"/>
  <c r="U34" s="1"/>
  <c r="AJ36" i="77"/>
  <c r="AG36"/>
  <c r="Y36"/>
  <c r="Z36" s="1"/>
  <c r="J36" s="1"/>
  <c r="AH36"/>
  <c r="AE36"/>
  <c r="AB36" s="1"/>
  <c r="AI36"/>
  <c r="T34" i="48"/>
  <c r="W34" s="1"/>
  <c r="U34"/>
  <c r="S35"/>
  <c r="V31" i="77"/>
  <c r="T32"/>
  <c r="V32" s="1"/>
  <c r="AC37" i="48"/>
  <c r="L34" i="77"/>
  <c r="AD35"/>
  <c r="AA35" s="1"/>
  <c r="X33" i="31"/>
  <c r="U33"/>
  <c r="T33"/>
  <c r="V33" s="1"/>
  <c r="AB35" i="77"/>
  <c r="K35" s="1"/>
  <c r="AD37" i="48"/>
  <c r="L37" s="1"/>
  <c r="AG38"/>
  <c r="AH38"/>
  <c r="AE38"/>
  <c r="AF38"/>
  <c r="Y38"/>
  <c r="Z38" s="1"/>
  <c r="J38" s="1"/>
  <c r="AI38"/>
  <c r="AJ38"/>
  <c r="AG61" i="77"/>
  <c r="AF61"/>
  <c r="AI61" s="1"/>
  <c r="AC62"/>
  <c r="AE62" s="1"/>
  <c r="AH62" s="1"/>
  <c r="AB62"/>
  <c r="AD62" s="1"/>
  <c r="N34"/>
  <c r="AB36" i="31"/>
  <c r="K36" s="1"/>
  <c r="AB37" i="48"/>
  <c r="K37" s="1"/>
  <c r="AA36"/>
  <c r="L36"/>
  <c r="N36"/>
  <c r="AA63" i="77"/>
  <c r="AP63" s="1"/>
  <c r="AR63" s="1"/>
  <c r="AL63"/>
  <c r="AM63"/>
  <c r="Z64"/>
  <c r="AJ63"/>
  <c r="AK63"/>
  <c r="AC35"/>
  <c r="X20"/>
  <c r="X21"/>
  <c r="X17"/>
  <c r="X19"/>
  <c r="X18"/>
  <c r="X22"/>
  <c r="X23"/>
  <c r="X25"/>
  <c r="X24"/>
  <c r="X28"/>
  <c r="X27"/>
  <c r="X26"/>
  <c r="X29"/>
  <c r="X30"/>
  <c r="X31"/>
  <c r="F38"/>
  <c r="O38"/>
  <c r="P38" s="1"/>
  <c r="Q38" s="1"/>
  <c r="R34"/>
  <c r="AK37"/>
  <c r="H37"/>
  <c r="I37" s="1"/>
  <c r="AQ43"/>
  <c r="AS43" s="1"/>
  <c r="AV43" s="1"/>
  <c r="AP47"/>
  <c r="AR47" s="1"/>
  <c r="AQ46"/>
  <c r="AS46" s="1"/>
  <c r="AV46" s="1"/>
  <c r="AQ45"/>
  <c r="AS45" s="1"/>
  <c r="AV45" s="1"/>
  <c r="AP43"/>
  <c r="AR43" s="1"/>
  <c r="AP42"/>
  <c r="AR42" s="1"/>
  <c r="AQ41"/>
  <c r="AS41" s="1"/>
  <c r="AV41" s="1"/>
  <c r="AP49"/>
  <c r="AR49" s="1"/>
  <c r="AQ49"/>
  <c r="AS49" s="1"/>
  <c r="AV49" s="1"/>
  <c r="AQ48"/>
  <c r="AS48" s="1"/>
  <c r="AV48" s="1"/>
  <c r="AQ42"/>
  <c r="AS42" s="1"/>
  <c r="AV42" s="1"/>
  <c r="AP44"/>
  <c r="AR44" s="1"/>
  <c r="AQ47"/>
  <c r="AS47" s="1"/>
  <c r="AV47" s="1"/>
  <c r="AP46"/>
  <c r="AR46" s="1"/>
  <c r="AP45"/>
  <c r="AR45" s="1"/>
  <c r="AQ44"/>
  <c r="AS44" s="1"/>
  <c r="AV44" s="1"/>
  <c r="AP41"/>
  <c r="AR41" s="1"/>
  <c r="AP48"/>
  <c r="AR48" s="1"/>
  <c r="AP50"/>
  <c r="AR50" s="1"/>
  <c r="AQ50"/>
  <c r="AS50" s="1"/>
  <c r="AV50" s="1"/>
  <c r="AP51"/>
  <c r="AR51" s="1"/>
  <c r="AQ51"/>
  <c r="AS51" s="1"/>
  <c r="AV51" s="1"/>
  <c r="AP52"/>
  <c r="AR52" s="1"/>
  <c r="AQ52"/>
  <c r="AS52" s="1"/>
  <c r="AV52" s="1"/>
  <c r="AP53"/>
  <c r="AR53" s="1"/>
  <c r="AQ53"/>
  <c r="AS53" s="1"/>
  <c r="AV53" s="1"/>
  <c r="AP54"/>
  <c r="AR54" s="1"/>
  <c r="AQ54"/>
  <c r="AS54" s="1"/>
  <c r="AV54" s="1"/>
  <c r="AP55"/>
  <c r="AR55" s="1"/>
  <c r="AQ55"/>
  <c r="AS55" s="1"/>
  <c r="AV55" s="1"/>
  <c r="AP56"/>
  <c r="AR56" s="1"/>
  <c r="AQ56"/>
  <c r="AS56" s="1"/>
  <c r="AV56" s="1"/>
  <c r="AP57"/>
  <c r="AR57" s="1"/>
  <c r="AQ57"/>
  <c r="AS57" s="1"/>
  <c r="AV57" s="1"/>
  <c r="AP58"/>
  <c r="AR58" s="1"/>
  <c r="AQ58"/>
  <c r="AS58" s="1"/>
  <c r="AV58" s="1"/>
  <c r="AP59"/>
  <c r="AR59" s="1"/>
  <c r="AQ59"/>
  <c r="AS59" s="1"/>
  <c r="AV59" s="1"/>
  <c r="AP60"/>
  <c r="AR60" s="1"/>
  <c r="AQ60"/>
  <c r="AS60" s="1"/>
  <c r="AV60" s="1"/>
  <c r="AP61"/>
  <c r="AR61" s="1"/>
  <c r="AQ61"/>
  <c r="AS61" s="1"/>
  <c r="AV61" s="1"/>
  <c r="AP62"/>
  <c r="AR62" s="1"/>
  <c r="AQ62"/>
  <c r="AS62" s="1"/>
  <c r="AV62" s="1"/>
  <c r="AC36" i="31"/>
  <c r="X32" i="77"/>
  <c r="M34"/>
  <c r="W11"/>
  <c r="W13" s="1"/>
  <c r="L35" i="31"/>
  <c r="AA35"/>
  <c r="N35"/>
  <c r="AF61"/>
  <c r="AI61" s="1"/>
  <c r="AG61"/>
  <c r="AA63" i="48"/>
  <c r="AK63"/>
  <c r="AM63"/>
  <c r="AJ63"/>
  <c r="AL63"/>
  <c r="Z64"/>
  <c r="AJ63" i="31"/>
  <c r="Z64"/>
  <c r="AA63"/>
  <c r="AM63"/>
  <c r="AL63"/>
  <c r="AK63"/>
  <c r="AT59"/>
  <c r="AW59" s="1"/>
  <c r="AU59"/>
  <c r="AT57"/>
  <c r="AW57" s="1"/>
  <c r="AU57"/>
  <c r="AT55"/>
  <c r="AW55" s="1"/>
  <c r="AU55"/>
  <c r="AT53"/>
  <c r="AW53" s="1"/>
  <c r="AU53"/>
  <c r="AT51"/>
  <c r="AW51" s="1"/>
  <c r="AU51"/>
  <c r="AT49"/>
  <c r="AW49" s="1"/>
  <c r="AU49"/>
  <c r="AT47"/>
  <c r="AW47" s="1"/>
  <c r="AU47"/>
  <c r="AU46"/>
  <c r="AT46"/>
  <c r="AW46" s="1"/>
  <c r="AT45"/>
  <c r="AW45" s="1"/>
  <c r="AU45"/>
  <c r="AT43"/>
  <c r="AW43" s="1"/>
  <c r="AU43"/>
  <c r="AU61" i="48"/>
  <c r="AT61"/>
  <c r="AW61" s="1"/>
  <c r="V32" i="31"/>
  <c r="W32"/>
  <c r="W33"/>
  <c r="AT61"/>
  <c r="AW61" s="1"/>
  <c r="AU61"/>
  <c r="AF37"/>
  <c r="Y37"/>
  <c r="Z37" s="1"/>
  <c r="J37" s="1"/>
  <c r="AG37"/>
  <c r="AI37"/>
  <c r="AH37"/>
  <c r="AJ37"/>
  <c r="AE37"/>
  <c r="AK38"/>
  <c r="H38"/>
  <c r="I38" s="1"/>
  <c r="AC62" i="48"/>
  <c r="AE62" s="1"/>
  <c r="AH62" s="1"/>
  <c r="AQ62"/>
  <c r="AS62" s="1"/>
  <c r="AV62" s="1"/>
  <c r="AB62"/>
  <c r="AD62" s="1"/>
  <c r="AP62"/>
  <c r="AR62" s="1"/>
  <c r="AP62" i="31"/>
  <c r="AR62" s="1"/>
  <c r="AC62"/>
  <c r="AE62" s="1"/>
  <c r="AH62" s="1"/>
  <c r="AB62"/>
  <c r="AD62" s="1"/>
  <c r="AQ62"/>
  <c r="AS62" s="1"/>
  <c r="AV62" s="1"/>
  <c r="AU58"/>
  <c r="AT58"/>
  <c r="AW58" s="1"/>
  <c r="AU56"/>
  <c r="AT56"/>
  <c r="AW56" s="1"/>
  <c r="AU54"/>
  <c r="AT54"/>
  <c r="AW54" s="1"/>
  <c r="AU52"/>
  <c r="AT52"/>
  <c r="AW52" s="1"/>
  <c r="AU50"/>
  <c r="AT50"/>
  <c r="AW50" s="1"/>
  <c r="AU48"/>
  <c r="AT48"/>
  <c r="AW48" s="1"/>
  <c r="AU44"/>
  <c r="AT44"/>
  <c r="AW44" s="1"/>
  <c r="AT41"/>
  <c r="AW41" s="1"/>
  <c r="AU41"/>
  <c r="AU42"/>
  <c r="AT42"/>
  <c r="AW42" s="1"/>
  <c r="AG61" i="48"/>
  <c r="AF61"/>
  <c r="AI61" s="1"/>
  <c r="AD36" i="31"/>
  <c r="AF71" i="78" l="1"/>
  <c r="AI71" s="1"/>
  <c r="AG71"/>
  <c r="V33" i="77"/>
  <c r="X33"/>
  <c r="U33"/>
  <c r="AQ63"/>
  <c r="AS63" s="1"/>
  <c r="AV63" s="1"/>
  <c r="X34" i="31"/>
  <c r="T34"/>
  <c r="W34" s="1"/>
  <c r="M36"/>
  <c r="AC36" i="77"/>
  <c r="K36"/>
  <c r="AD36"/>
  <c r="AA36" s="1"/>
  <c r="R36" s="1"/>
  <c r="M37" i="48"/>
  <c r="V34"/>
  <c r="T35"/>
  <c r="U35"/>
  <c r="X35"/>
  <c r="N35" i="77"/>
  <c r="L35"/>
  <c r="W32"/>
  <c r="AC38" i="48"/>
  <c r="AB37" i="31"/>
  <c r="K37" s="1"/>
  <c r="AA37" i="48"/>
  <c r="R37" s="1"/>
  <c r="N37"/>
  <c r="AB38"/>
  <c r="K38" s="1"/>
  <c r="AB63" i="77"/>
  <c r="AD63" s="1"/>
  <c r="AC63"/>
  <c r="AE63" s="1"/>
  <c r="AH63" s="1"/>
  <c r="M35"/>
  <c r="AD38" i="48"/>
  <c r="AA64" i="77"/>
  <c r="AL64"/>
  <c r="Z65"/>
  <c r="AM64"/>
  <c r="AJ64"/>
  <c r="AK64"/>
  <c r="R36" i="48"/>
  <c r="S36" s="1"/>
  <c r="X36" s="1"/>
  <c r="AG62" i="77"/>
  <c r="AF62"/>
  <c r="AI62" s="1"/>
  <c r="AU63"/>
  <c r="AT62"/>
  <c r="AW62" s="1"/>
  <c r="AU62"/>
  <c r="AU61"/>
  <c r="AT61"/>
  <c r="AW61" s="1"/>
  <c r="AT60"/>
  <c r="AW60" s="1"/>
  <c r="AU60"/>
  <c r="AU59"/>
  <c r="AT59"/>
  <c r="AW59" s="1"/>
  <c r="AU58"/>
  <c r="AT58"/>
  <c r="AW58" s="1"/>
  <c r="AU57"/>
  <c r="AT57"/>
  <c r="AW57" s="1"/>
  <c r="AT56"/>
  <c r="AW56" s="1"/>
  <c r="AU56"/>
  <c r="AT55"/>
  <c r="AW55" s="1"/>
  <c r="AU55"/>
  <c r="AT54"/>
  <c r="AW54" s="1"/>
  <c r="AU54"/>
  <c r="AU53"/>
  <c r="AT53"/>
  <c r="AW53" s="1"/>
  <c r="AT52"/>
  <c r="AW52" s="1"/>
  <c r="AU52"/>
  <c r="AT51"/>
  <c r="AW51" s="1"/>
  <c r="AU51"/>
  <c r="AT50"/>
  <c r="AW50" s="1"/>
  <c r="AU50"/>
  <c r="AT41"/>
  <c r="AW41" s="1"/>
  <c r="AU41"/>
  <c r="AU45"/>
  <c r="AT45"/>
  <c r="AW45" s="1"/>
  <c r="AU43"/>
  <c r="AT43"/>
  <c r="AW43" s="1"/>
  <c r="H38"/>
  <c r="I38" s="1"/>
  <c r="AK38"/>
  <c r="S34"/>
  <c r="X34" s="1"/>
  <c r="AT48"/>
  <c r="AW48" s="1"/>
  <c r="AU48"/>
  <c r="AU46"/>
  <c r="AT46"/>
  <c r="AW46" s="1"/>
  <c r="AU44"/>
  <c r="AT44"/>
  <c r="AW44" s="1"/>
  <c r="AU49"/>
  <c r="AT49"/>
  <c r="AW49" s="1"/>
  <c r="AU42"/>
  <c r="AT42"/>
  <c r="AW42" s="1"/>
  <c r="AU47"/>
  <c r="AT47"/>
  <c r="AW47" s="1"/>
  <c r="AE37"/>
  <c r="AF37"/>
  <c r="Y37"/>
  <c r="Z37" s="1"/>
  <c r="J37" s="1"/>
  <c r="AI37"/>
  <c r="AH37"/>
  <c r="AG37"/>
  <c r="AJ37"/>
  <c r="R35"/>
  <c r="L36" i="31"/>
  <c r="AA36"/>
  <c r="N36"/>
  <c r="AF62"/>
  <c r="AI62" s="1"/>
  <c r="AG62"/>
  <c r="AU62"/>
  <c r="AT62"/>
  <c r="AW62" s="1"/>
  <c r="AU62" i="48"/>
  <c r="AT62"/>
  <c r="AW62" s="1"/>
  <c r="AQ63" i="31"/>
  <c r="AS63" s="1"/>
  <c r="AV63" s="1"/>
  <c r="AC63"/>
  <c r="AE63" s="1"/>
  <c r="AH63" s="1"/>
  <c r="AB63"/>
  <c r="AD63" s="1"/>
  <c r="AP63"/>
  <c r="AR63" s="1"/>
  <c r="AC63" i="48"/>
  <c r="AE63" s="1"/>
  <c r="AH63" s="1"/>
  <c r="AQ63"/>
  <c r="AS63" s="1"/>
  <c r="AV63" s="1"/>
  <c r="AB63"/>
  <c r="AD63" s="1"/>
  <c r="AP63"/>
  <c r="AR63" s="1"/>
  <c r="R35" i="31"/>
  <c r="S35" s="1"/>
  <c r="AD37"/>
  <c r="AG62" i="48"/>
  <c r="AF62"/>
  <c r="AI62" s="1"/>
  <c r="AI38" i="31"/>
  <c r="AF38"/>
  <c r="AG38"/>
  <c r="AH38"/>
  <c r="AJ38"/>
  <c r="Y38"/>
  <c r="Z38" s="1"/>
  <c r="J38" s="1"/>
  <c r="AE38"/>
  <c r="Z65"/>
  <c r="AA64"/>
  <c r="AM64"/>
  <c r="AL64"/>
  <c r="AJ64"/>
  <c r="AK64"/>
  <c r="AA64" i="48"/>
  <c r="AK64"/>
  <c r="AM64"/>
  <c r="AJ64"/>
  <c r="AL64"/>
  <c r="Z65"/>
  <c r="AC37" i="31"/>
  <c r="AT63" i="77" l="1"/>
  <c r="AW63" s="1"/>
  <c r="V34" i="31"/>
  <c r="M36" i="77"/>
  <c r="L36"/>
  <c r="N36"/>
  <c r="M37" i="31"/>
  <c r="S35" i="77"/>
  <c r="U35" s="1"/>
  <c r="M38" i="48"/>
  <c r="W35"/>
  <c r="V35"/>
  <c r="S37"/>
  <c r="U37" s="1"/>
  <c r="AC37" i="77"/>
  <c r="U36" i="48"/>
  <c r="AA65" i="77"/>
  <c r="Z66"/>
  <c r="AJ65"/>
  <c r="AK65"/>
  <c r="AL65"/>
  <c r="AM65"/>
  <c r="AB64"/>
  <c r="AD64" s="1"/>
  <c r="AC64"/>
  <c r="AE64" s="1"/>
  <c r="AH64" s="1"/>
  <c r="AQ64"/>
  <c r="AS64" s="1"/>
  <c r="AV64" s="1"/>
  <c r="AP64"/>
  <c r="AR64" s="1"/>
  <c r="T34"/>
  <c r="W34" s="1"/>
  <c r="AG63"/>
  <c r="AF63"/>
  <c r="AI63" s="1"/>
  <c r="T36" i="48"/>
  <c r="L38"/>
  <c r="AA38"/>
  <c r="N38"/>
  <c r="AD37" i="77"/>
  <c r="N37" s="1"/>
  <c r="AB38" i="31"/>
  <c r="K38" s="1"/>
  <c r="AC38"/>
  <c r="AB37" i="77"/>
  <c r="K37" s="1"/>
  <c r="U34"/>
  <c r="Y38"/>
  <c r="Z38" s="1"/>
  <c r="J38" s="1"/>
  <c r="AF38"/>
  <c r="AE38"/>
  <c r="AJ38"/>
  <c r="AG38"/>
  <c r="AI38"/>
  <c r="AH38"/>
  <c r="U35" i="31"/>
  <c r="T35"/>
  <c r="X35"/>
  <c r="AC64" i="48"/>
  <c r="AE64" s="1"/>
  <c r="AH64" s="1"/>
  <c r="AQ64"/>
  <c r="AS64" s="1"/>
  <c r="AV64" s="1"/>
  <c r="AB64"/>
  <c r="AD64" s="1"/>
  <c r="AP64"/>
  <c r="AR64" s="1"/>
  <c r="AB64" i="31"/>
  <c r="AD64" s="1"/>
  <c r="AP64"/>
  <c r="AR64" s="1"/>
  <c r="AQ64"/>
  <c r="AS64" s="1"/>
  <c r="AV64" s="1"/>
  <c r="AC64"/>
  <c r="AE64" s="1"/>
  <c r="AH64" s="1"/>
  <c r="AU63" i="48"/>
  <c r="AT63"/>
  <c r="AW63" s="1"/>
  <c r="AF63" i="31"/>
  <c r="AI63" s="1"/>
  <c r="AG63"/>
  <c r="AA65" i="48"/>
  <c r="AK65"/>
  <c r="AM65"/>
  <c r="AJ65"/>
  <c r="AL65"/>
  <c r="Z66"/>
  <c r="AJ65" i="31"/>
  <c r="Z66"/>
  <c r="AA65"/>
  <c r="AM65"/>
  <c r="AL65"/>
  <c r="AK65"/>
  <c r="L37"/>
  <c r="AA37"/>
  <c r="N37"/>
  <c r="AG63" i="48"/>
  <c r="AF63"/>
  <c r="AI63" s="1"/>
  <c r="AT63" i="31"/>
  <c r="AW63" s="1"/>
  <c r="AU63"/>
  <c r="R36"/>
  <c r="AD38"/>
  <c r="M38" l="1"/>
  <c r="S36" i="77"/>
  <c r="T36" s="1"/>
  <c r="X37" i="48"/>
  <c r="T35" i="77"/>
  <c r="V35" s="1"/>
  <c r="X35"/>
  <c r="M37"/>
  <c r="T37" i="48"/>
  <c r="V37" s="1"/>
  <c r="AB38" i="77"/>
  <c r="K38" s="1"/>
  <c r="L37"/>
  <c r="AA37"/>
  <c r="R37" s="1"/>
  <c r="AD38"/>
  <c r="N38" s="1"/>
  <c r="AQ65"/>
  <c r="AS65" s="1"/>
  <c r="AV65" s="1"/>
  <c r="AP65"/>
  <c r="AR65" s="1"/>
  <c r="AB65"/>
  <c r="AD65" s="1"/>
  <c r="AC65"/>
  <c r="AE65" s="1"/>
  <c r="AH65" s="1"/>
  <c r="AG64"/>
  <c r="AF64"/>
  <c r="AI64" s="1"/>
  <c r="Z67"/>
  <c r="AL66"/>
  <c r="AM66"/>
  <c r="AJ66"/>
  <c r="AK66"/>
  <c r="AA66"/>
  <c r="V34"/>
  <c r="R38" i="48"/>
  <c r="V36"/>
  <c r="W36"/>
  <c r="AT64" i="77"/>
  <c r="AW64" s="1"/>
  <c r="AU64"/>
  <c r="AC38"/>
  <c r="L38" i="31"/>
  <c r="AA38"/>
  <c r="N38"/>
  <c r="Z67"/>
  <c r="AA66"/>
  <c r="AM66"/>
  <c r="AL66"/>
  <c r="AJ66"/>
  <c r="AK66"/>
  <c r="AC65" i="48"/>
  <c r="AE65" s="1"/>
  <c r="AH65" s="1"/>
  <c r="AQ65"/>
  <c r="AS65" s="1"/>
  <c r="AV65" s="1"/>
  <c r="AB65"/>
  <c r="AD65" s="1"/>
  <c r="AP65"/>
  <c r="AR65" s="1"/>
  <c r="AU64" i="31"/>
  <c r="AT64"/>
  <c r="AW64" s="1"/>
  <c r="AU64" i="48"/>
  <c r="AT64"/>
  <c r="AW64" s="1"/>
  <c r="V35" i="31"/>
  <c r="W35"/>
  <c r="S36"/>
  <c r="U36" s="1"/>
  <c r="R37"/>
  <c r="AQ65"/>
  <c r="AS65" s="1"/>
  <c r="AV65" s="1"/>
  <c r="AP65"/>
  <c r="AR65" s="1"/>
  <c r="AC65"/>
  <c r="AE65" s="1"/>
  <c r="AH65" s="1"/>
  <c r="AB65"/>
  <c r="AD65" s="1"/>
  <c r="AA66" i="48"/>
  <c r="AK66"/>
  <c r="AM66"/>
  <c r="AJ66"/>
  <c r="AL66"/>
  <c r="Z67"/>
  <c r="AF64" i="31"/>
  <c r="AI64" s="1"/>
  <c r="AG64"/>
  <c r="AG64" i="48"/>
  <c r="AF64"/>
  <c r="AI64" s="1"/>
  <c r="U36" i="77" l="1"/>
  <c r="X36"/>
  <c r="M38"/>
  <c r="W35"/>
  <c r="W37" i="48"/>
  <c r="AA38" i="77"/>
  <c r="R38" s="1"/>
  <c r="L38"/>
  <c r="AQ66"/>
  <c r="AS66" s="1"/>
  <c r="AV66" s="1"/>
  <c r="AC66"/>
  <c r="AE66" s="1"/>
  <c r="AH66" s="1"/>
  <c r="AP66"/>
  <c r="AR66" s="1"/>
  <c r="AB66"/>
  <c r="AD66" s="1"/>
  <c r="AL67"/>
  <c r="AM67"/>
  <c r="AJ67"/>
  <c r="AK67"/>
  <c r="AA67"/>
  <c r="Z68"/>
  <c r="AU65"/>
  <c r="AT65"/>
  <c r="AW65" s="1"/>
  <c r="S38" i="48"/>
  <c r="T38" s="1"/>
  <c r="AG65" i="77"/>
  <c r="AF65"/>
  <c r="AI65" s="1"/>
  <c r="W36"/>
  <c r="V36"/>
  <c r="T36" i="31"/>
  <c r="V36" s="1"/>
  <c r="S37" i="77"/>
  <c r="T37" s="1"/>
  <c r="AA67" i="48"/>
  <c r="AK67"/>
  <c r="AM67"/>
  <c r="AJ67"/>
  <c r="AL67"/>
  <c r="Z68"/>
  <c r="AF65" i="31"/>
  <c r="AI65" s="1"/>
  <c r="AG65"/>
  <c r="AT65"/>
  <c r="AW65" s="1"/>
  <c r="AU65"/>
  <c r="AG65" i="48"/>
  <c r="AF65"/>
  <c r="AI65" s="1"/>
  <c r="AP66" i="31"/>
  <c r="AR66" s="1"/>
  <c r="AC66"/>
  <c r="AE66" s="1"/>
  <c r="AH66" s="1"/>
  <c r="AB66"/>
  <c r="AD66" s="1"/>
  <c r="AQ66"/>
  <c r="AS66" s="1"/>
  <c r="AV66" s="1"/>
  <c r="R38"/>
  <c r="S38" s="1"/>
  <c r="S37"/>
  <c r="X37" s="1"/>
  <c r="X36"/>
  <c r="AC66" i="48"/>
  <c r="AE66" s="1"/>
  <c r="AH66" s="1"/>
  <c r="AQ66"/>
  <c r="AS66" s="1"/>
  <c r="AV66" s="1"/>
  <c r="AB66"/>
  <c r="AD66" s="1"/>
  <c r="AP66"/>
  <c r="AR66" s="1"/>
  <c r="AU65"/>
  <c r="AT65"/>
  <c r="AW65" s="1"/>
  <c r="AJ67" i="31"/>
  <c r="Z68"/>
  <c r="AA67"/>
  <c r="AM67"/>
  <c r="AL67"/>
  <c r="AK67"/>
  <c r="T37" l="1"/>
  <c r="W37" s="1"/>
  <c r="W36"/>
  <c r="X38"/>
  <c r="U38"/>
  <c r="T38"/>
  <c r="V38" s="1"/>
  <c r="X37" i="77"/>
  <c r="AP67"/>
  <c r="AR67" s="1"/>
  <c r="AQ67"/>
  <c r="AS67" s="1"/>
  <c r="AV67" s="1"/>
  <c r="AB67"/>
  <c r="AD67" s="1"/>
  <c r="AC67"/>
  <c r="AE67" s="1"/>
  <c r="AH67" s="1"/>
  <c r="AT66"/>
  <c r="AW66" s="1"/>
  <c r="AU66"/>
  <c r="AL68"/>
  <c r="AM68"/>
  <c r="AJ68"/>
  <c r="AK68"/>
  <c r="AA68"/>
  <c r="Z69"/>
  <c r="AG66"/>
  <c r="AF66"/>
  <c r="AI66" s="1"/>
  <c r="X38" i="48"/>
  <c r="U38"/>
  <c r="V38"/>
  <c r="W38"/>
  <c r="U37" i="77"/>
  <c r="S38"/>
  <c r="U38" s="1"/>
  <c r="W37"/>
  <c r="V37"/>
  <c r="AQ67" i="31"/>
  <c r="AS67" s="1"/>
  <c r="AV67" s="1"/>
  <c r="AC67"/>
  <c r="AE67" s="1"/>
  <c r="AH67" s="1"/>
  <c r="AB67"/>
  <c r="AD67" s="1"/>
  <c r="AP67"/>
  <c r="AR67" s="1"/>
  <c r="AU66" i="48"/>
  <c r="AT66"/>
  <c r="AW66" s="1"/>
  <c r="AC67"/>
  <c r="AE67" s="1"/>
  <c r="AH67" s="1"/>
  <c r="AQ67"/>
  <c r="AS67" s="1"/>
  <c r="AV67" s="1"/>
  <c r="AB67"/>
  <c r="AD67" s="1"/>
  <c r="AP67"/>
  <c r="AR67" s="1"/>
  <c r="U37" i="31"/>
  <c r="Z69"/>
  <c r="AA68"/>
  <c r="AM68"/>
  <c r="AL68"/>
  <c r="AJ68"/>
  <c r="AK68"/>
  <c r="AG66" i="48"/>
  <c r="AF66"/>
  <c r="AI66" s="1"/>
  <c r="AF66" i="31"/>
  <c r="AI66" s="1"/>
  <c r="AG66"/>
  <c r="AU66"/>
  <c r="AT66"/>
  <c r="AW66" s="1"/>
  <c r="AA68" i="48"/>
  <c r="AK68"/>
  <c r="AM68"/>
  <c r="AJ68"/>
  <c r="AL68"/>
  <c r="Z69"/>
  <c r="W38" i="31" l="1"/>
  <c r="V37"/>
  <c r="X38" i="77"/>
  <c r="T38"/>
  <c r="W38" s="1"/>
  <c r="AQ68"/>
  <c r="AS68" s="1"/>
  <c r="AV68" s="1"/>
  <c r="AC68"/>
  <c r="AE68" s="1"/>
  <c r="AH68" s="1"/>
  <c r="AB68"/>
  <c r="AD68" s="1"/>
  <c r="AP68"/>
  <c r="AR68" s="1"/>
  <c r="AU67"/>
  <c r="AT67"/>
  <c r="AW67" s="1"/>
  <c r="AL69"/>
  <c r="AM69"/>
  <c r="AJ69"/>
  <c r="AK69"/>
  <c r="Z70"/>
  <c r="AA69"/>
  <c r="AG67"/>
  <c r="AF67"/>
  <c r="AI67" s="1"/>
  <c r="AC68" i="48"/>
  <c r="AE68" s="1"/>
  <c r="AH68" s="1"/>
  <c r="AQ68"/>
  <c r="AS68" s="1"/>
  <c r="AV68" s="1"/>
  <c r="AB68"/>
  <c r="AD68" s="1"/>
  <c r="AP68"/>
  <c r="AR68" s="1"/>
  <c r="AJ69" i="31"/>
  <c r="AA69"/>
  <c r="Z70"/>
  <c r="AM69"/>
  <c r="AL69"/>
  <c r="AK69"/>
  <c r="AG67" i="48"/>
  <c r="AF67"/>
  <c r="AI67" s="1"/>
  <c r="AT67" i="31"/>
  <c r="AW67" s="1"/>
  <c r="AU67"/>
  <c r="AA69" i="48"/>
  <c r="AK69"/>
  <c r="AM69"/>
  <c r="AJ69"/>
  <c r="AL69"/>
  <c r="Z70"/>
  <c r="AP68" i="31"/>
  <c r="AR68" s="1"/>
  <c r="AC68"/>
  <c r="AE68" s="1"/>
  <c r="AH68" s="1"/>
  <c r="AQ68"/>
  <c r="AS68" s="1"/>
  <c r="AV68" s="1"/>
  <c r="AB68"/>
  <c r="AD68" s="1"/>
  <c r="AU67" i="48"/>
  <c r="AT67"/>
  <c r="AW67" s="1"/>
  <c r="AF67" i="31"/>
  <c r="AI67" s="1"/>
  <c r="AG67"/>
  <c r="V38" i="77" l="1"/>
  <c r="AJ70"/>
  <c r="AK70"/>
  <c r="Z71"/>
  <c r="AA70"/>
  <c r="AL70"/>
  <c r="AM70"/>
  <c r="AG68"/>
  <c r="AF68"/>
  <c r="AI68" s="1"/>
  <c r="AP69"/>
  <c r="AR69" s="1"/>
  <c r="AQ69"/>
  <c r="AS69" s="1"/>
  <c r="AV69" s="1"/>
  <c r="AB69"/>
  <c r="AD69" s="1"/>
  <c r="AC69"/>
  <c r="AE69" s="1"/>
  <c r="AH69" s="1"/>
  <c r="AT68"/>
  <c r="AW68" s="1"/>
  <c r="AU68"/>
  <c r="AF68" i="31"/>
  <c r="AI68" s="1"/>
  <c r="AG68"/>
  <c r="AC69" i="48"/>
  <c r="AE69" s="1"/>
  <c r="AH69" s="1"/>
  <c r="AQ69"/>
  <c r="AS69" s="1"/>
  <c r="AV69" s="1"/>
  <c r="AB69"/>
  <c r="AD69" s="1"/>
  <c r="AP69"/>
  <c r="AR69" s="1"/>
  <c r="AA70" i="31"/>
  <c r="Z71"/>
  <c r="AM70"/>
  <c r="AL70"/>
  <c r="AJ70"/>
  <c r="AK70"/>
  <c r="AG68" i="48"/>
  <c r="AF68"/>
  <c r="AI68" s="1"/>
  <c r="AU68" i="31"/>
  <c r="AT68"/>
  <c r="AW68" s="1"/>
  <c r="AA70" i="48"/>
  <c r="AK70"/>
  <c r="AM70"/>
  <c r="AJ70"/>
  <c r="AL70"/>
  <c r="Z71"/>
  <c r="AQ69" i="31"/>
  <c r="AS69" s="1"/>
  <c r="AV69" s="1"/>
  <c r="AC69"/>
  <c r="AE69" s="1"/>
  <c r="AH69" s="1"/>
  <c r="AP69"/>
  <c r="AR69" s="1"/>
  <c r="AB69"/>
  <c r="AD69" s="1"/>
  <c r="AU68" i="48"/>
  <c r="AT68"/>
  <c r="AW68" s="1"/>
  <c r="AC70" i="77" l="1"/>
  <c r="AE70" s="1"/>
  <c r="AH70" s="1"/>
  <c r="AB70"/>
  <c r="AD70" s="1"/>
  <c r="AG69"/>
  <c r="AF69"/>
  <c r="AI69" s="1"/>
  <c r="AU69"/>
  <c r="AT69"/>
  <c r="AW69" s="1"/>
  <c r="AK71"/>
  <c r="AA71"/>
  <c r="AJ71"/>
  <c r="AL71"/>
  <c r="AM71"/>
  <c r="AT69" i="31"/>
  <c r="AW69" s="1"/>
  <c r="AU69"/>
  <c r="AB70"/>
  <c r="AD70" s="1"/>
  <c r="AC70"/>
  <c r="AE70" s="1"/>
  <c r="AH70" s="1"/>
  <c r="AU69" i="48"/>
  <c r="AT69"/>
  <c r="AW69" s="1"/>
  <c r="AA71"/>
  <c r="AK71"/>
  <c r="AM71"/>
  <c r="AJ71"/>
  <c r="AL71"/>
  <c r="AF69" i="31"/>
  <c r="AI69" s="1"/>
  <c r="AG69"/>
  <c r="AC70" i="48"/>
  <c r="AE70" s="1"/>
  <c r="AH70" s="1"/>
  <c r="AB70"/>
  <c r="AD70" s="1"/>
  <c r="AJ71" i="31"/>
  <c r="AA71"/>
  <c r="AM71"/>
  <c r="AL71"/>
  <c r="AK71"/>
  <c r="AG69" i="48"/>
  <c r="AF69"/>
  <c r="AI69" s="1"/>
  <c r="AG70" i="77" l="1"/>
  <c r="AF70"/>
  <c r="AI70" s="1"/>
  <c r="AC71"/>
  <c r="AE71" s="1"/>
  <c r="AH71" s="1"/>
  <c r="AB71"/>
  <c r="AD71" s="1"/>
  <c r="AC71" i="48"/>
  <c r="AE71" s="1"/>
  <c r="AH71" s="1"/>
  <c r="AB71"/>
  <c r="AD71" s="1"/>
  <c r="AB71" i="31"/>
  <c r="AD71" s="1"/>
  <c r="AC71"/>
  <c r="AE71" s="1"/>
  <c r="AH71" s="1"/>
  <c r="AG70" i="48"/>
  <c r="AF70"/>
  <c r="AI70" s="1"/>
  <c r="AF70" i="31"/>
  <c r="AI70" s="1"/>
  <c r="AG70"/>
  <c r="AG71" i="77" l="1"/>
  <c r="AF71"/>
  <c r="AI71" s="1"/>
  <c r="AF71" i="31"/>
  <c r="AI71" s="1"/>
  <c r="AG71"/>
  <c r="AG71" i="48"/>
  <c r="AF71"/>
  <c r="AI71" s="1"/>
</calcChain>
</file>

<file path=xl/sharedStrings.xml><?xml version="1.0" encoding="utf-8"?>
<sst xmlns="http://schemas.openxmlformats.org/spreadsheetml/2006/main" count="1597" uniqueCount="477">
  <si>
    <t>For typical high extinction measurements the difference would have been within the range of measured values</t>
  </si>
  <si>
    <t>Dispersion columns B ("D1", ps/(nm.km) ) and C ("D2", ps/(nm.km) ) replaced by D1.L (ps/nm) and D2.L (ps/nm)</t>
  </si>
  <si>
    <t>Quantity D1 is now held in box B3 and D2 in box Z4.  This change is purely presentational, to show channel dispersion</t>
  </si>
  <si>
    <t>FAQ and notes for use</t>
  </si>
  <si>
    <t>To switch Polarisation Mode Dispersion off, change box O1 from "SMF"</t>
  </si>
  <si>
    <t>This spreadsheet believed to work in Excel 97 and Excel 2000, maybe can be downsaved to Excel 4 with slight loss of formatting of charts</t>
  </si>
  <si>
    <t>If you see #NAME? in many cells, check you have the Analysis ToolPak loaded: Tools &gt; Add-Ins…</t>
  </si>
  <si>
    <t>BLW means baseline wander</t>
  </si>
  <si>
    <t>MN, Pmn are both Modal Noise penalty</t>
  </si>
  <si>
    <t>MPN is mode partition noise</t>
  </si>
  <si>
    <t>MPN k(OMA) is the "k factor" for MPN measured "on an OMA basis" i.e. with regard to the modulated light not the average light level</t>
  </si>
  <si>
    <t>Pwr.Bud.-Conn.Loss means Power Budget - Connector Loss</t>
  </si>
  <si>
    <t>"R. Eye" and TP4 eye opening" refer to a decision time window presently 0.25 UI long, rather than a decision instant</t>
  </si>
  <si>
    <t>Uc is the transmitter wavelength and Uo is the fibre dispersion minimum</t>
  </si>
  <si>
    <t>See</t>
  </si>
  <si>
    <t>Reflection noise formula is intended to follow Krister Fröjdh and Petar Pepeljugoski</t>
  </si>
  <si>
    <t>Because the noise is bounded and may be concentrated at extremes, I have treated it as a source of ISI not random noise</t>
  </si>
  <si>
    <t>Reflection noise factor of 0.6 introduced to avoid undue pessimism.  The value needs further consideration</t>
  </si>
  <si>
    <t>which has always been included in the Pisi (now Pisi') column</t>
  </si>
  <si>
    <t>Source spectral width reduced to 0.2 nm in line with draft 3.1</t>
  </si>
  <si>
    <t>Cell G11 predicts eye opening at Tx, allowing for risetime, DCD, DJ, RIN</t>
  </si>
  <si>
    <t>Tx mask</t>
  </si>
  <si>
    <t>X1=</t>
  </si>
  <si>
    <t>X2=</t>
  </si>
  <si>
    <t>Y1=</t>
  </si>
  <si>
    <t>P Eye</t>
  </si>
  <si>
    <t>There are two new jitter penalty columns, calculating DJ penalty at eye centre and at eye corners</t>
  </si>
  <si>
    <t>Somewhat confusingly, these do not include the DCD penalty,</t>
  </si>
  <si>
    <t>Column K, "P eye corners" should be the same as previous column "R.eye".</t>
  </si>
  <si>
    <t>This is because unless RIN is very large it has quite a small effect, being drowned by Rx noise</t>
  </si>
  <si>
    <t>A pictorial "noiseless eye mask" has been added</t>
  </si>
  <si>
    <t>Method of calculation of jitter penalty is just like the TP4 eye opening penalty calculation:</t>
  </si>
  <si>
    <t>work out eye height at an offset from centre of eye</t>
  </si>
  <si>
    <t>Draft standard demands 50% (Y1=0.25).  Assumes all BLW is from Rx.  This may not be true but it is the worst case split.</t>
  </si>
  <si>
    <t>Cell G11, Tx eye opening calculation, doesn't include reflection noise</t>
  </si>
  <si>
    <t>Inputs and outputs at top of model sheet re-arranged in groups: Tx, fiber, Rx and so on</t>
  </si>
  <si>
    <t>0.5 to 1.3 dB of jitter penalty found in fast, high jitter case, depending where Rx decision point is: central or at edge.</t>
  </si>
  <si>
    <t>To make spreadsheet easier to follow, now using some names: Q Pmn Vmn kRIN ER Uc SD_blw C_1 B_1</t>
  </si>
  <si>
    <t>Obviously the slow, low jitter case has more ISI but less jitter penalty</t>
  </si>
  <si>
    <t>850nm serial</t>
  </si>
  <si>
    <t>"Nominal Rx sensitivity" field added</t>
  </si>
  <si>
    <t>850 nm 500 MHz Km tab added</t>
  </si>
  <si>
    <t>Ts is 35 ps not previous 31.5 ps to align with D3.1</t>
  </si>
  <si>
    <t>Test Rx BW</t>
  </si>
  <si>
    <t>T_test_rx(10-90)</t>
  </si>
  <si>
    <t>Test Tc</t>
  </si>
  <si>
    <t>Test erf arg 1b</t>
  </si>
  <si>
    <t>Test erf arg 2b</t>
  </si>
  <si>
    <t>Test closed eye</t>
  </si>
  <si>
    <t>Vrin(2m test)</t>
  </si>
  <si>
    <t>Uw 0.4 nm, ExR 3 dB, OMA -3.6 dBm to align with D3.1</t>
  </si>
  <si>
    <t>TestERpen.</t>
  </si>
  <si>
    <t>Opening</t>
  </si>
  <si>
    <t>(=Tx eye)</t>
  </si>
  <si>
    <t>TP4 Eye</t>
  </si>
  <si>
    <t>reach</t>
  </si>
  <si>
    <t xml:space="preserve">at target </t>
  </si>
  <si>
    <t>Txvr/link</t>
  </si>
  <si>
    <t>test eye diagram generator</t>
  </si>
  <si>
    <t>3.6 dB ISI</t>
  </si>
  <si>
    <t>Eye is quoted in % of full height (calculating "eye margin" is too complicated)</t>
  </si>
  <si>
    <t>change box L2 from "SMF"</t>
  </si>
  <si>
    <t>Min. Tx power OMA=</t>
  </si>
  <si>
    <t>"standard wavelength" of 1310 nm rather than 1300 nm</t>
  </si>
  <si>
    <t>This change makes the Patt column show 5 dB attenuation at 10 km, 1310 nm, 0.5.dB/km nominal attenuation, as desired.</t>
  </si>
  <si>
    <t>Connections etc</t>
  </si>
  <si>
    <t>&lt;Ptotal</t>
  </si>
  <si>
    <t>Preflection</t>
  </si>
  <si>
    <t xml:space="preserve">&amp; Refl. </t>
  </si>
  <si>
    <t>Rx sens</t>
  </si>
  <si>
    <t>NomSens OMA</t>
  </si>
  <si>
    <t>test erf arg 1c</t>
  </si>
  <si>
    <t>test erf arg 2c</t>
  </si>
  <si>
    <t>test ISI(DJ)</t>
  </si>
  <si>
    <t>test ISI(DJ,RN2dB)</t>
  </si>
  <si>
    <t>Change of definition for Stressed receiver sensitivity</t>
  </si>
  <si>
    <t>To give the same margin in the stressed and unstressed receiver sensitivity,</t>
  </si>
  <si>
    <t>stressed Rx sens. is now calculated as:</t>
  </si>
  <si>
    <t>Vertical eye closure (ISI) and DJ penalties are not included: they are part of the stressed eye</t>
  </si>
  <si>
    <t>Effective RIN test ISI(DJ)</t>
  </si>
  <si>
    <t>the 3-dB optical bandwidth of a Gaussian filter  (0.1292/0.187)^2.</t>
  </si>
  <si>
    <t>Effect of RIN was probably still in error as integrated over {Tx and fibre} bandwidth Tc not fibre bandwidth Te alone: see below</t>
  </si>
  <si>
    <t>"Max ave. Tx power" renamed as "Worst" Tx power and reduced to give minimum extinction ratio of draft standard</t>
  </si>
  <si>
    <t>Any sinusoidal jitter is included in the DJ</t>
  </si>
  <si>
    <t>By theory, it should be about 0.74 = 1/sqrt(2) * factor of 1.05 for the difference between noise bandwidth and the measure used here</t>
  </si>
  <si>
    <t>In the RIN variance bandwidth calculation, the prefix 0.477 in front of the 1/($T$5)^2 is</t>
  </si>
  <si>
    <t>the squared ratio between the 3-dB electrical bandwidth of a Raised Cosine filter and</t>
  </si>
  <si>
    <t>3.6 dB ISI limit shown on eye</t>
  </si>
  <si>
    <t>Baseline wander is treated as the receiver's problem</t>
  </si>
  <si>
    <t>Tx OMA - Total attenuation - penalties for MPN, RIN, RN, MN - (margin calculated at target reach)</t>
  </si>
  <si>
    <t>Layout improvements to improve ease of use</t>
  </si>
  <si>
    <t>Format and appearance</t>
  </si>
  <si>
    <t>"System level" model, focus on TP3 not TP4</t>
  </si>
  <si>
    <t>Most optical powers on OMA basis</t>
  </si>
  <si>
    <t>Includes reflection noise (interferometric noise)</t>
  </si>
  <si>
    <t xml:space="preserve">Added a deterministic jitter input and reduced "TP4" to 0.2 UI (eye length at 10G: was 0.25 UI at 1 G) </t>
  </si>
  <si>
    <t>TP4 is stll mentioned, and some penalties are calculated at eye corners, but these are not used in the overall margin result</t>
  </si>
  <si>
    <t>Modal noise treated like other signal-borne noises</t>
  </si>
  <si>
    <t>Modal noise is now an input to Pcross to allow for nonlinear addition with other random noise penalties</t>
  </si>
  <si>
    <t>The 14 ps value is my guess: needs confirmation by WWDM team</t>
  </si>
  <si>
    <t>DCD values are now for TP3 (6, 7.7 or 14 ps) rather than TP4 (8, 9.7 or 20.5 ps).</t>
  </si>
  <si>
    <t>Separate test receiver, "product" receiver and RIN test receiver bandwidths</t>
  </si>
  <si>
    <t>Boxes T5, W5, W6.  Test receiver is used for eye mask.</t>
  </si>
  <si>
    <t>Case by case changes to follow changes up to 802.3ae D3.1 and serial track comment resolution thereof</t>
  </si>
  <si>
    <t>DJ, RIN12OMA revised to D3.1 values</t>
  </si>
  <si>
    <t>All</t>
  </si>
  <si>
    <t>"Tx mask top" and "TP4 eye" (formerly "Rec Eye" and "Effective Rec Eye") now 0.2 UI not 0.25 UI</t>
  </si>
  <si>
    <t>SR/SW</t>
  </si>
  <si>
    <t>"Product" receiver bandwidth is not subject to specification</t>
  </si>
  <si>
    <t xml:space="preserve">Stressed Rx sensitivity and all penalties now calculated on a "system spec" basis, i.e at eye centre: </t>
  </si>
  <si>
    <t>Revision to RIN penalty</t>
  </si>
  <si>
    <t>Changed RIN bandwidth calculation to not include effect of laser driver, which is upstream of source of RIN</t>
  </si>
  <si>
    <t>Minor bug fix to attenuation formula</t>
  </si>
  <si>
    <t>C_att formula in SMF pages now uses constant 1.4846 dB/km, representing</t>
  </si>
  <si>
    <t>the penalty goes up as ISI increases</t>
  </si>
  <si>
    <t>Now the RIN variance still goes down with length or reduced bandwidth (ISI) but, like baseline wander,</t>
  </si>
  <si>
    <t>Signal to Noise ratio at TP4 caused by RIN is ISI-reduced eye opening / bandwidth-filtered noise.  The ISI part had been forgotten.</t>
  </si>
  <si>
    <t>Revisions 22 June to 9 Aug 01</t>
  </si>
  <si>
    <t>To avoid over-pessimism, calculation allows for reduction of signal by the</t>
  </si>
  <si>
    <t>RIN measurement bandwidth specified, with mixed pattern.</t>
  </si>
  <si>
    <t>http://www.ieee802.org/3/ae/public/adhoc/serial_pmd/documents/</t>
  </si>
  <si>
    <t>1310 serial</t>
  </si>
  <si>
    <t>1300 WWDM</t>
  </si>
  <si>
    <t>at the eye corners the total penalty (Ptot corners) is flat with DJ/rise trade off.</t>
  </si>
  <si>
    <t>Outside of the 0.2 UI window, the trade-off is reversed.</t>
  </si>
  <si>
    <t>To find the "worst case" that passes the eye mask, adjust Ts, DJ and RIN to get eye height of 50%</t>
  </si>
  <si>
    <t>DJ values included</t>
  </si>
  <si>
    <t>Reflection noise included</t>
  </si>
  <si>
    <t>Minimum wavelength reduced to 1269 nm, reflection noise included</t>
  </si>
  <si>
    <t>Disp.  D1=</t>
  </si>
  <si>
    <t>Disp.  So=</t>
  </si>
  <si>
    <t>ps TP3</t>
  </si>
  <si>
    <t>ERF arg 1</t>
  </si>
  <si>
    <t>ERF arg 2</t>
  </si>
  <si>
    <t>For stressed eye</t>
  </si>
  <si>
    <t>V.E.C.P.</t>
  </si>
  <si>
    <t>Net Ext R pen Per</t>
  </si>
  <si>
    <t>Stressed test "Vertical eye closure penalty" calculated (V.E.C.P.)</t>
  </si>
  <si>
    <t>At 1550 nm, the user also has to ensure that box W11, "Vertical eye closure penalty", is &lt;3 dB.</t>
  </si>
  <si>
    <t>I believe that VECP is precisely the same as Clause 52's transmitter and dispersion penalty (TDP)</t>
  </si>
  <si>
    <t>rel. variance into test Rx</t>
  </si>
  <si>
    <t>Correction to Vrin(2m test), in line with other Vrin but uses bandwidth of test Rx</t>
  </si>
  <si>
    <t>may be without RIN but with more DJ or slower risetime</t>
  </si>
  <si>
    <t>The worst case margin may be with maximum RIN and an eye just 50% high (just meets the mask), BUT</t>
  </si>
  <si>
    <t>Modifications over version 3.1.10</t>
  </si>
  <si>
    <t>Eye height calculation now uses Tx mask top not TP4 eye as input: no difference seen as numbers were the same</t>
  </si>
  <si>
    <t>Stressed sensitivity power now allows for half of Pcross, as both transmitter and receiver contribute to it</t>
  </si>
  <si>
    <t>1310 and 1550 serial pages have rise times chosen to meet spec criteria (eye, VECP)</t>
  </si>
  <si>
    <t>Correction to RIN element of test eye opening calculation</t>
  </si>
  <si>
    <t>The calculated worst case at eye centre is with low DJ and slow risetime, but</t>
  </si>
  <si>
    <t>So "which is worst in real life" will depend on receiver eye centring and tolerance to jitter</t>
  </si>
  <si>
    <t>No change to numbers but makes it easier to do triple trade off calculations</t>
  </si>
  <si>
    <t>Nom. Rx sensitivity is now an input, Power budget P is derived from this.</t>
  </si>
  <si>
    <t>1310 serial's minimum wavelength reduced from 1265 to 1260 nm</t>
  </si>
  <si>
    <t>850 nm RIN values chosen to give 0 eye margin.</t>
  </si>
  <si>
    <t>Updated 1550 nm Rx nom. sensitivity from -16.39 to -15.39 following D3.2</t>
  </si>
  <si>
    <t>850 nm additional insertion losses revised following D3.2</t>
  </si>
  <si>
    <t>Updated 1310 nm Rx nom. sensitivity to -13.23 following D3.3</t>
  </si>
  <si>
    <t>Modifications over version 3.1.14 (in red)</t>
  </si>
  <si>
    <t>Correction to stressed receive sensitivity where modal noise had been double counted</t>
  </si>
  <si>
    <t>MPN k factor reduced to 0.3 (850 nm), 0.5 nm (LX4, 1300 nm WWDM)</t>
  </si>
  <si>
    <t>3.2/3</t>
  </si>
  <si>
    <t>Factor x Vrin used in eye mask calculation changed from 3 to 2.519/Swing representing 1 in 200</t>
  </si>
  <si>
    <t>Effective RIN test ISI factor set to 1 representing choice of (slow) square wave in RIN measurement</t>
  </si>
  <si>
    <t>RINxOMA changed to 130 dB/Hz for all serial cases</t>
  </si>
  <si>
    <t>Date of file</t>
  </si>
  <si>
    <t>Modifications over version 3.1.15 (in plum)</t>
  </si>
  <si>
    <t>LX4 parameter values updated and DJ reinstated</t>
  </si>
  <si>
    <t>10 km attenuation reduced to 0.4 dB/km</t>
  </si>
  <si>
    <t>DJ set equal to DCD in all cases: no additional DJ</t>
  </si>
  <si>
    <t>Sheets for 30 km and 40 km (engineered link) 1550 nm</t>
  </si>
  <si>
    <t>1550 rise times and spectral width chosen for zero Tx eye margin and 3 dB VECP over 40 km</t>
  </si>
  <si>
    <t>62.5um attenuation at 850 um changed (back) from 3.5 to 3.75 dB/km.  Negligible effect</t>
  </si>
  <si>
    <t>62.5um modal noise at 850 um changed (back) from 0.3 to 0.15 dB</t>
  </si>
  <si>
    <t>Disused cells relating to RIN test measurement bandwidth removed</t>
  </si>
  <si>
    <t>Clarification of "RMS width": see below</t>
  </si>
  <si>
    <t>Meaning of Uw (cell B7): Uw is the "rms spectral width"</t>
  </si>
  <si>
    <t>IEEE Draft P802.3ae/D3.3 clause 52 states: "RMS spectral width is the standard deviation of the spectrum."</t>
  </si>
  <si>
    <t>It will be apparent that this measure is a half width, not a full width</t>
  </si>
  <si>
    <t>Uw (see notes)</t>
  </si>
  <si>
    <t>ISI is Inter Symbol Interference.  This is calculated taking DCD into account</t>
  </si>
  <si>
    <t>http://www.ieee802.org/3/ae/public/oct01/dawe_1_1001.pdf</t>
  </si>
  <si>
    <t>Risetimes left as previously: chosen for worst eye or VECP variously high/low RIN</t>
  </si>
  <si>
    <t xml:space="preserve">     (as worst margin) for high DJ - then extra DJ turned off</t>
  </si>
  <si>
    <t>But see below</t>
  </si>
  <si>
    <t>Modifications over version 2.4.1 (in green):</t>
  </si>
  <si>
    <t>P_DJ is generally not used.  It is an estimate of the deterministic eye closure penalty caused by DJ additional to DCD</t>
  </si>
  <si>
    <t>V.E.C.P. is vertical eye closure penalty: synonymous with Pisi or (if used) Pisi + P_DJ)</t>
  </si>
  <si>
    <t>10GEPBud3_1_16a.xls</t>
  </si>
  <si>
    <t xml:space="preserve">  FAQ and user notes are after Change History.</t>
  </si>
  <si>
    <t>http://www.ieee802.org/3/efm/public/sep01/dawe_1_0901.pdf</t>
  </si>
  <si>
    <t>for introduction and references</t>
  </si>
  <si>
    <t>3.1.16a</t>
  </si>
  <si>
    <t>Name change to 3.1.16a to avoid possible confusion</t>
  </si>
  <si>
    <t>for an introduction and reference list</t>
  </si>
  <si>
    <t>newMMF</t>
  </si>
  <si>
    <t>Latest spec parameter values from D3.2 comment resolution (may be incomplete)</t>
  </si>
  <si>
    <t>for 10GE, receiver eye opening penalty is now an implementer issue not a standards one</t>
  </si>
  <si>
    <t>Accounts for deterministic jitter (not used in all examples)</t>
  </si>
  <si>
    <t>According to IEEE Std 802.3, 1.4.238, rms Spectral Width is the optical wavelength range as measured</t>
  </si>
  <si>
    <t>by ANSI/EIA/TIA 455-127-1991 (FOTP-127)</t>
  </si>
  <si>
    <t>850 nm triple trade off pivot point changed to 0.29 nm, 7.3 dB budget on 2000 MHz.km fibre per resolution</t>
  </si>
  <si>
    <t xml:space="preserve"> to D3.2 comment 190 </t>
  </si>
  <si>
    <t>Simplification of stressed receive sensitivity in agreement with</t>
  </si>
  <si>
    <t>This spreadsheet aims to represent the optoelectronics in 802.3ae draft 3.2/3.3</t>
  </si>
  <si>
    <t xml:space="preserve"> </t>
  </si>
  <si>
    <r>
      <t xml:space="preserve">TP4 Eye Width Extension: </t>
    </r>
    <r>
      <rPr>
        <u/>
        <sz val="12"/>
        <rFont val="Arial"/>
        <family val="2"/>
      </rPr>
      <t>J Petrilla Avago Technologies</t>
    </r>
  </si>
  <si>
    <t>eye width</t>
  </si>
  <si>
    <t>k(DJ)</t>
  </si>
  <si>
    <t>Q(@Jn)</t>
  </si>
  <si>
    <t>Spreadsheet by Del Hanson, David Cunningham, Piers Dawe, David Dolfi  Agilent Technologies</t>
  </si>
  <si>
    <t>Case:</t>
  </si>
  <si>
    <t>Rev.</t>
  </si>
  <si>
    <t>Geo mean R</t>
  </si>
  <si>
    <t>linear units</t>
  </si>
  <si>
    <t>Input=</t>
  </si>
  <si>
    <t>Bold</t>
  </si>
  <si>
    <t>Target reach</t>
  </si>
  <si>
    <t>km</t>
  </si>
  <si>
    <t>ps</t>
  </si>
  <si>
    <t>Model/format rev</t>
  </si>
  <si>
    <t>of</t>
  </si>
  <si>
    <t xml:space="preserve">Spec extinction ratio </t>
  </si>
  <si>
    <t>ps/(nm.km)</t>
  </si>
  <si>
    <t>BWm=</t>
  </si>
  <si>
    <t>MHz*km</t>
  </si>
  <si>
    <t>L_start=</t>
  </si>
  <si>
    <t>C_att=</t>
  </si>
  <si>
    <t>Spec ext. ratio penalty</t>
  </si>
  <si>
    <t>dBo</t>
  </si>
  <si>
    <t>L_inc=</t>
  </si>
  <si>
    <t>Refl Tx</t>
  </si>
  <si>
    <t>dB</t>
  </si>
  <si>
    <t>D2</t>
  </si>
  <si>
    <t>Det.Jitter</t>
  </si>
  <si>
    <t>RIN_Coef=</t>
  </si>
  <si>
    <t>Refl Rx</t>
  </si>
  <si>
    <t>Q=</t>
  </si>
  <si>
    <t>Pwr.Bud.-Conn.Loss</t>
  </si>
  <si>
    <t>no units</t>
  </si>
  <si>
    <t>ERF arg=</t>
  </si>
  <si>
    <t>Eff. BWm=</t>
  </si>
  <si>
    <t>Margin</t>
  </si>
  <si>
    <t>ERF=</t>
  </si>
  <si>
    <t>Worst ave launch pwr</t>
  </si>
  <si>
    <t>uW</t>
  </si>
  <si>
    <t>dB/Hz</t>
  </si>
  <si>
    <t>Base Rate=</t>
  </si>
  <si>
    <t>MBd</t>
  </si>
  <si>
    <t>DCD_DJ=</t>
  </si>
  <si>
    <t>B1=</t>
  </si>
  <si>
    <t>RIN at MinER</t>
  </si>
  <si>
    <t>Rec_BW=</t>
  </si>
  <si>
    <t>MHz</t>
  </si>
  <si>
    <t>C1=</t>
  </si>
  <si>
    <t>ns.MHz</t>
  </si>
  <si>
    <t>T_rx(10-90)</t>
  </si>
  <si>
    <t>ISI_TP4_Rx</t>
  </si>
  <si>
    <t>MPN k(OMA)</t>
  </si>
  <si>
    <t>Tx eye height</t>
  </si>
  <si>
    <t>c_rx</t>
  </si>
  <si>
    <t>Stressed</t>
  </si>
  <si>
    <t>ISI at eye</t>
  </si>
  <si>
    <t>ISI, jitter</t>
  </si>
  <si>
    <t>fraction of 1/2 eye</t>
  </si>
  <si>
    <t>P_BLW</t>
  </si>
  <si>
    <t>Receiver</t>
  </si>
  <si>
    <t>Pisi</t>
  </si>
  <si>
    <t>corners</t>
  </si>
  <si>
    <t>&amp; TP4</t>
  </si>
  <si>
    <t>From DJ times</t>
  </si>
  <si>
    <t xml:space="preserve">L  </t>
  </si>
  <si>
    <t>D1.L</t>
  </si>
  <si>
    <t>D2.L</t>
  </si>
  <si>
    <t>BWcd</t>
  </si>
  <si>
    <t>effBWm</t>
  </si>
  <si>
    <t>Te</t>
  </si>
  <si>
    <t>Tc</t>
  </si>
  <si>
    <t>Patt</t>
  </si>
  <si>
    <t>Beta</t>
  </si>
  <si>
    <t>SDmpn</t>
  </si>
  <si>
    <t>Pmpn</t>
  </si>
  <si>
    <t>Prin</t>
  </si>
  <si>
    <t>Pcross</t>
  </si>
  <si>
    <t>Ptotal</t>
  </si>
  <si>
    <t>Ch IL</t>
  </si>
  <si>
    <t>LP Pen</t>
  </si>
  <si>
    <t>V_rin</t>
  </si>
  <si>
    <t>central</t>
  </si>
  <si>
    <t>ex jitter</t>
  </si>
  <si>
    <t>closed eye</t>
  </si>
  <si>
    <t>P-C</t>
  </si>
  <si>
    <t>(for</t>
  </si>
  <si>
    <t>(for margin</t>
  </si>
  <si>
    <t>ERF arg</t>
  </si>
  <si>
    <t>Erf arg 1a</t>
  </si>
  <si>
    <t>Erf arg 2a</t>
  </si>
  <si>
    <t>Erf arg 1b</t>
  </si>
  <si>
    <t>Erf arg 2b</t>
  </si>
  <si>
    <t>(km)</t>
  </si>
  <si>
    <t>(MHz)</t>
  </si>
  <si>
    <t>(ps)</t>
  </si>
  <si>
    <t>(dB)</t>
  </si>
  <si>
    <t xml:space="preserve"> (dB)</t>
  </si>
  <si>
    <t>(dBm)</t>
  </si>
  <si>
    <t>J=0, dB</t>
  </si>
  <si>
    <t>(no units)</t>
  </si>
  <si>
    <t>graph)</t>
  </si>
  <si>
    <t>Target</t>
  </si>
  <si>
    <t>at target L)</t>
  </si>
  <si>
    <t>Notes</t>
  </si>
  <si>
    <t>Draft</t>
  </si>
  <si>
    <t>See"Notes" page</t>
  </si>
  <si>
    <r>
      <t>h</t>
    </r>
    <r>
      <rPr>
        <vertAlign val="subscript"/>
        <sz val="12"/>
        <color indexed="23"/>
        <rFont val="Arial"/>
        <family val="2"/>
      </rPr>
      <t>eye</t>
    </r>
    <r>
      <rPr>
        <sz val="12"/>
        <color indexed="23"/>
        <rFont val="Arial"/>
        <family val="2"/>
      </rPr>
      <t>(0)</t>
    </r>
  </si>
  <si>
    <t>(variance)</t>
  </si>
  <si>
    <t>Vmn</t>
  </si>
  <si>
    <t>P_DJ</t>
  </si>
  <si>
    <t>Tb_eff=</t>
  </si>
  <si>
    <t>Erf arg 1c</t>
  </si>
  <si>
    <t>Erf arg 2c</t>
  </si>
  <si>
    <t>For P_DJ</t>
  </si>
  <si>
    <t>ISI &amp;</t>
  </si>
  <si>
    <t>DJ</t>
  </si>
  <si>
    <t>Eye corners before DJ</t>
  </si>
  <si>
    <t>Tx mask top</t>
  </si>
  <si>
    <t>UI</t>
  </si>
  <si>
    <t>dBm</t>
  </si>
  <si>
    <t>"Worst"ave.TxPwr</t>
  </si>
  <si>
    <t>Ext. ratio penalty</t>
  </si>
  <si>
    <t>Min. Ext Ratio=</t>
  </si>
  <si>
    <t>Tx pwr OMA=</t>
  </si>
  <si>
    <t>Test Source ER=</t>
  </si>
  <si>
    <t>(UI) ex DCD</t>
  </si>
  <si>
    <t>Disp. min. Uo=</t>
  </si>
  <si>
    <t>nm</t>
  </si>
  <si>
    <t>ps/nm</t>
  </si>
  <si>
    <t>Reflection Noise factor</t>
  </si>
  <si>
    <t>Basics</t>
  </si>
  <si>
    <t>Transmitter</t>
  </si>
  <si>
    <t>Effect. DJ=</t>
  </si>
  <si>
    <t>RIN(OMA)</t>
  </si>
  <si>
    <t>Ts(20-80)</t>
  </si>
  <si>
    <t>Ts(10-90)</t>
  </si>
  <si>
    <t>Power Budget P=</t>
  </si>
  <si>
    <t>and</t>
  </si>
  <si>
    <t>graph</t>
  </si>
  <si>
    <t>Wavelength  Uc</t>
  </si>
  <si>
    <t>Fiber</t>
  </si>
  <si>
    <t>Attenuation=</t>
  </si>
  <si>
    <t>dB/km</t>
  </si>
  <si>
    <t>at</t>
  </si>
  <si>
    <t>Effective Rate</t>
  </si>
  <si>
    <t>P_BLW(no ISI)</t>
  </si>
  <si>
    <t>RMS Baseline wander SD</t>
  </si>
  <si>
    <t>ps/nm^2*km</t>
  </si>
  <si>
    <t>Answer!</t>
  </si>
  <si>
    <t>Test Tx</t>
  </si>
  <si>
    <t>Effective Rec Eye</t>
  </si>
  <si>
    <t>This file</t>
  </si>
  <si>
    <t>dB at</t>
  </si>
  <si>
    <t>Test Source ER pen.</t>
  </si>
  <si>
    <t>T</t>
  </si>
  <si>
    <t>arg 1</t>
  </si>
  <si>
    <t>arg 2</t>
  </si>
  <si>
    <t>erf 1</t>
  </si>
  <si>
    <t>erf 2</t>
  </si>
  <si>
    <t>oio</t>
  </si>
  <si>
    <t>Tstep</t>
  </si>
  <si>
    <t>erf1'</t>
  </si>
  <si>
    <t>erf2'</t>
  </si>
  <si>
    <t>ioi</t>
  </si>
  <si>
    <t>One bit L</t>
  </si>
  <si>
    <t>1 bit R</t>
  </si>
  <si>
    <t>speedup</t>
  </si>
  <si>
    <t>Teff</t>
  </si>
  <si>
    <t>Eye mask</t>
  </si>
  <si>
    <t>Jitter</t>
  </si>
  <si>
    <t>Early</t>
  </si>
  <si>
    <t>Late</t>
  </si>
  <si>
    <t>To switch polarisation Mode Dispersion off,</t>
  </si>
  <si>
    <t>ModalNoisePen</t>
  </si>
  <si>
    <t>&lt;- This revision number refers to the PMD numbers</t>
  </si>
  <si>
    <t>To be filed at:</t>
  </si>
  <si>
    <t>Corrections to February 1550 nm page:</t>
  </si>
  <si>
    <t>"Worst" dispersion is for dispersion min. at shortest wavelength</t>
  </si>
  <si>
    <t>Receiver (minimum) bandwidth corrected from 9500 to 7725 MHz</t>
  </si>
  <si>
    <t>Changes over 3pmd046.xls of 6 July 2000:</t>
  </si>
  <si>
    <t>1550 nm powers raised by 2 dB</t>
  </si>
  <si>
    <t>OMA definitions of Tx power and RIN added</t>
  </si>
  <si>
    <t>PMD accounted for</t>
  </si>
  <si>
    <t>Changes over 3pmd048PMD_OMA.xls of 13 Dec. 2000:</t>
  </si>
  <si>
    <t>850 serial sheets added</t>
  </si>
  <si>
    <t>Example LW4 (1300nm WWDM, WAN PHY) sheet added</t>
  </si>
  <si>
    <t>This version prepared by Piers Dawe, 850 input from Jack Jewell</t>
  </si>
  <si>
    <t>Based on updated Gigabit Ethernet Spreadsheet as detailed below</t>
  </si>
  <si>
    <t>Change history</t>
  </si>
  <si>
    <t>&lt;- This rev. number for model &amp; spreadsheet structure &amp; presentation</t>
  </si>
  <si>
    <t>Modifications over the IEEE 802.3z link model spreadsheet,</t>
  </si>
  <si>
    <t>http://grouper.ieee.org/groups/802/3/10G_study/public/email_attach/All_1250.xls</t>
  </si>
  <si>
    <t>which is documented in</t>
  </si>
  <si>
    <t>http://www.ieee802.org/3/z/public/presentations/mar1997/DCwpaper.pdf</t>
  </si>
  <si>
    <t>*</t>
  </si>
  <si>
    <t>"Back-to-back" line added showing case of 2m fibre, low RIN source with rise time as specified</t>
  </si>
  <si>
    <t>Baseline wander formulae included, assuming low-overhead scrambled coding e.g. SONET or 64B66B</t>
  </si>
  <si>
    <t xml:space="preserve">    Input parameter "RMS baseline wander" is like a signal/noise ratio: Standard dev/(eye height * 0.5)</t>
  </si>
  <si>
    <t xml:space="preserve">    P_BLW(no ISI) is the effect of baseline wander assuming ample bandwidth in transmitter and receiver, no fibre</t>
  </si>
  <si>
    <t xml:space="preserve">    P_BLW is the effect of baseline wander assuming fast transmitter, receiver bandwidth as specified, no fibre</t>
  </si>
  <si>
    <t xml:space="preserve">    The definition of "Power budget" (transmitted power - receiver sensitivity) already includes this effect.</t>
  </si>
  <si>
    <t xml:space="preserve">    Suggest reduce DCD_RJ if using BLW terms in low-overhead scenario</t>
  </si>
  <si>
    <t>Interaction between ISI, TP4 eye closure, RIN, MPN and baseline wander calculated</t>
  </si>
  <si>
    <t xml:space="preserve">    Pcross is the extra penalty caused by these interactions</t>
  </si>
  <si>
    <t>"New MMF" scenario added</t>
  </si>
  <si>
    <t>Attenuation specification at standard wavelength clarified</t>
  </si>
  <si>
    <t>Margin at target reach calculated</t>
  </si>
  <si>
    <t>Modifications over IEEE 802.3ae link model spreadsheet of March 2000,</t>
  </si>
  <si>
    <t>http://grouper.ieee.org/groups/802/3/10G_study/public/email_attach/All_1250v2.xls</t>
  </si>
  <si>
    <t>Bandwidth to risetime conversion factor for receiver corrected,</t>
  </si>
  <si>
    <t>GbE formula for ISI penalty replaced with self-consistent Gaussian approximation</t>
  </si>
  <si>
    <t>GbE formula for receiver eye penalty replaced with self-consistent Gaussian approximation</t>
  </si>
  <si>
    <t xml:space="preserve">62 MMF dispersion S0 at worst lambda0 corrected from 0.11 to 0.093 </t>
  </si>
  <si>
    <t>Receiver bandwidth to risetime conversion factor shown explicitly</t>
  </si>
  <si>
    <t>Column S, "P_C" replaced by single box, as not length dependent</t>
  </si>
  <si>
    <t>Modifications over version 2.3.4:</t>
  </si>
  <si>
    <t>Polarisation Mode Dispersion</t>
  </si>
  <si>
    <t>Extra input box E2, "PolMD DGDmax" to calculate polarisation mode dispersion for single mode fibre</t>
  </si>
  <si>
    <t>To use, enter the maximum DGD (differential group delay) at the target reach</t>
  </si>
  <si>
    <t>In SMF case, Effective fibre bandwidth Eff.BWm is taken from the above, overriding BWm input</t>
  </si>
  <si>
    <t>Fibre bandwidth assumed to be to -6dBe or -3 dBo point</t>
  </si>
  <si>
    <t>RIN(OMA) now distinguished from RIN, correcting an oversight</t>
  </si>
  <si>
    <t>Modifications over version 2.3.6:</t>
  </si>
  <si>
    <t>OMA</t>
  </si>
  <si>
    <t>Worst extinction ratio now calculated from TX OMA min and Pave max</t>
  </si>
  <si>
    <t>Columns P, "Per", Y, "penalty and Z, "penalty" no longer used.  Equivalent values in boxes Z5, Z1, Z4 are used instead</t>
  </si>
  <si>
    <t xml:space="preserve">  "Per", or "Net ExR pen" is used in Stressed receiver sensitivity column but no longer in Ptotal</t>
  </si>
  <si>
    <t>Note the necessary RIN values are now much more demanding</t>
  </si>
  <si>
    <t>MPN k factor now labelled MPN k(OMA) to make clear that it represents term related to signal/noise not carrier/noise in this model</t>
  </si>
  <si>
    <t>Reach</t>
  </si>
  <si>
    <t>TP1 RJ, UI =</t>
  </si>
  <si>
    <t>TP1 DJ, UI =</t>
  </si>
  <si>
    <t>TP3 DJ wo ISI, UI =</t>
  </si>
  <si>
    <t>TP3.5 DJisi, UI =</t>
  </si>
  <si>
    <t>RJ(link noise), UI =</t>
  </si>
  <si>
    <t>Cum RJ(TP4), UI =</t>
  </si>
  <si>
    <t>TP4 J2, UI =</t>
  </si>
  <si>
    <t>TP4 J9, UI =</t>
  </si>
  <si>
    <t>Peye</t>
  </si>
  <si>
    <t>m</t>
  </si>
  <si>
    <t>BER =</t>
  </si>
  <si>
    <t>TP1 RJ(@BER), UI =</t>
  </si>
  <si>
    <t>TP1 RJrms, UI =</t>
  </si>
  <si>
    <t>TP4 TJ(@BER), UI =</t>
  </si>
  <si>
    <t>DJ+ &amp; TP4eye</t>
  </si>
  <si>
    <t xml:space="preserve">DJ at TP4, UI = </t>
  </si>
  <si>
    <t>ps for BER=E-12</t>
  </si>
  <si>
    <t>Qjit@BER</t>
  </si>
  <si>
    <t>Qjit@BER=E-12</t>
  </si>
  <si>
    <t>See"10GbE Notes" tab for 10GEPBud3_1_16a notes.</t>
  </si>
  <si>
    <t>Example MMF Link Model Notes</t>
  </si>
  <si>
    <t xml:space="preserve">ExampleMMF LinkModel 120914 prep'd for 802.3bm use as an example of an MMF link model based on 10GEPBud3_1_16a </t>
  </si>
  <si>
    <t>This version adds extensions to 10GEPBud3_1_16a that provide for inclusion of TP1 jitter allocations and estimates of jitter and eye width at TP4.</t>
  </si>
  <si>
    <t>RMS Width, Uw</t>
  </si>
  <si>
    <t>To account for Peye in the calculation of Stressed Rx Sens OMA, the value in tab Base(c) cell W3 is zeroed out.</t>
  </si>
  <si>
    <t>The equations in AQ18:27 and AQ29:38 were corrected.</t>
  </si>
  <si>
    <t xml:space="preserve"> The difference in the link penalties between the tabs Base and Base(c) yields the power required for the target TP4 eye, Peye.</t>
  </si>
  <si>
    <t>DJ at TP3</t>
  </si>
  <si>
    <t>Tab 850S2000 is included unchanged from 10GEPBud3_1_16a for reference.</t>
  </si>
  <si>
    <t>The tab Base includes entries in cells A39:H52 to provide for calculation of TP4 jitter.  These calculations are based on row 28 being aligned with the target reach and for link margin, cell W28, = 0.</t>
  </si>
  <si>
    <t xml:space="preserve">Base(c) tab is slaved to the Base tab except it maintains the original definition of  cell G7, DJ at TP3. </t>
  </si>
  <si>
    <t>Base tab cell G7 has been redefined as the combined DJ at TP3, Rx contributed DJ, RJ at TP1 &amp; target TP4 eye width.  The 'DJ at TP3' value is now entered (in units of UI instead of ps) in cell F44.</t>
  </si>
  <si>
    <t>To match the definition of VECP in Clause 52, calculations were added to Base(c) tab cells W12 &amp; W13 to account for included noise.</t>
  </si>
  <si>
    <t>ExampleMMF LinkModel 120918 updated for 802.3bm nomenclature</t>
  </si>
  <si>
    <t>ExampleMMF LinkModel 121108 updated for Nov 2012 802.3 presentation</t>
  </si>
  <si>
    <t>ExampleMMF LinkModel 130130 updated for Q for BER = 5E-5 and J2 and J9 calculations</t>
  </si>
  <si>
    <t>TP4 Eye Width(@BER), UI =</t>
  </si>
  <si>
    <t>ExampleMMF LinkModel 130502 updated for 100 m OM4 &amp; 70 m OM3</t>
  </si>
  <si>
    <t>Added J4 calculation at TP4</t>
  </si>
  <si>
    <t>TP4 J4, UI =</t>
  </si>
</sst>
</file>

<file path=xl/styles.xml><?xml version="1.0" encoding="utf-8"?>
<styleSheet xmlns="http://schemas.openxmlformats.org/spreadsheetml/2006/main">
  <numFmts count="13">
    <numFmt numFmtId="164" formatCode="0.0"/>
    <numFmt numFmtId="165" formatCode="0.000"/>
    <numFmt numFmtId="166" formatCode="0.0E+00"/>
    <numFmt numFmtId="167" formatCode="###0.0##"/>
    <numFmt numFmtId="168" formatCode="0.##"/>
    <numFmt numFmtId="169" formatCode="0.00#"/>
    <numFmt numFmtId="170" formatCode="0.0%"/>
    <numFmt numFmtId="171" formatCode="0.0000"/>
    <numFmt numFmtId="172" formatCode="0.00000"/>
    <numFmt numFmtId="173" formatCode="###0.0#"/>
    <numFmt numFmtId="174" formatCode="0E+00"/>
    <numFmt numFmtId="175" formatCode="0.##E+0"/>
    <numFmt numFmtId="176" formatCode="[$-409]dd\-mmm\-yy;@"/>
  </numFmts>
  <fonts count="7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indexed="23"/>
      <name val="Arial"/>
      <family val="2"/>
    </font>
    <font>
      <sz val="12"/>
      <color indexed="23"/>
      <name val="Arial"/>
      <family val="2"/>
    </font>
    <font>
      <sz val="12"/>
      <color indexed="14"/>
      <name val="Arial"/>
      <family val="2"/>
    </font>
    <font>
      <b/>
      <sz val="12"/>
      <color indexed="23"/>
      <name val="Arial"/>
      <family val="2"/>
    </font>
    <font>
      <b/>
      <sz val="12"/>
      <name val="Arial"/>
      <family val="2"/>
    </font>
    <font>
      <sz val="11"/>
      <color indexed="55"/>
      <name val="Arial"/>
      <family val="2"/>
    </font>
    <font>
      <vertAlign val="subscript"/>
      <sz val="12"/>
      <color indexed="23"/>
      <name val="Arial"/>
      <family val="2"/>
    </font>
    <font>
      <sz val="12"/>
      <color indexed="10"/>
      <name val="Arial"/>
      <family val="2"/>
    </font>
    <font>
      <sz val="12"/>
      <color indexed="57"/>
      <name val="Arial"/>
      <family val="2"/>
    </font>
    <font>
      <sz val="12"/>
      <color indexed="12"/>
      <name val="Arial"/>
      <family val="2"/>
    </font>
    <font>
      <sz val="12"/>
      <color indexed="55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5"/>
      <name val="Arial"/>
      <family val="2"/>
    </font>
    <font>
      <u/>
      <sz val="12"/>
      <color indexed="12"/>
      <name val="Arial"/>
      <family val="2"/>
    </font>
    <font>
      <b/>
      <sz val="11"/>
      <color indexed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1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sz val="12"/>
      <color indexed="61"/>
      <name val="Arial"/>
      <family val="2"/>
    </font>
    <font>
      <sz val="11"/>
      <color indexed="61"/>
      <name val="Arial"/>
      <family val="2"/>
    </font>
    <font>
      <u/>
      <sz val="12"/>
      <color indexed="17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name val="Arial Narrow"/>
      <family val="2"/>
    </font>
    <font>
      <b/>
      <sz val="12"/>
      <color indexed="14"/>
      <name val="Arial"/>
      <family val="2"/>
    </font>
    <font>
      <sz val="12"/>
      <name val="Arial Narrow"/>
      <family val="2"/>
    </font>
    <font>
      <sz val="12"/>
      <color indexed="14"/>
      <name val="Arial"/>
      <family val="2"/>
    </font>
    <font>
      <sz val="12"/>
      <color indexed="5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1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rgb="FF0000FF"/>
      <name val="Arial"/>
      <family val="2"/>
    </font>
    <font>
      <sz val="10"/>
      <name val="MS Sans Serif"/>
      <family val="2"/>
    </font>
    <font>
      <sz val="9"/>
      <color rgb="FF0000FF"/>
      <name val="Arial Narrow"/>
      <family val="2"/>
    </font>
    <font>
      <sz val="9"/>
      <color indexed="8"/>
      <name val="Arial Narrow"/>
      <family val="2"/>
    </font>
    <font>
      <b/>
      <sz val="12"/>
      <color indexed="12"/>
      <name val="Arial Narrow"/>
      <family val="2"/>
    </font>
    <font>
      <sz val="12"/>
      <color rgb="FF0000FF"/>
      <name val="Arial"/>
      <family val="2"/>
    </font>
    <font>
      <b/>
      <sz val="12"/>
      <color rgb="FF0000FF"/>
      <name val="Arial Narrow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71" fillId="0" borderId="0"/>
  </cellStyleXfs>
  <cellXfs count="787">
    <xf numFmtId="0" fontId="0" fillId="0" borderId="0" xfId="0"/>
    <xf numFmtId="0" fontId="5" fillId="0" borderId="1" xfId="2" applyFont="1" applyBorder="1" applyAlignment="1">
      <alignment horizontal="left"/>
    </xf>
    <xf numFmtId="0" fontId="5" fillId="0" borderId="2" xfId="2" applyFont="1" applyBorder="1" applyAlignment="1"/>
    <xf numFmtId="0" fontId="6" fillId="0" borderId="2" xfId="2" applyNumberFormat="1" applyFont="1" applyBorder="1" applyAlignment="1" applyProtection="1">
      <protection locked="0"/>
    </xf>
    <xf numFmtId="15" fontId="5" fillId="0" borderId="1" xfId="2" applyNumberFormat="1" applyFont="1" applyBorder="1" applyAlignment="1">
      <alignment horizontal="right"/>
    </xf>
    <xf numFmtId="0" fontId="6" fillId="0" borderId="3" xfId="2" applyNumberFormat="1" applyFont="1" applyBorder="1" applyAlignment="1" applyProtection="1">
      <protection locked="0"/>
    </xf>
    <xf numFmtId="2" fontId="5" fillId="0" borderId="3" xfId="2" applyNumberFormat="1" applyFont="1" applyBorder="1" applyAlignment="1">
      <alignment horizontal="right"/>
    </xf>
    <xf numFmtId="0" fontId="6" fillId="0" borderId="0" xfId="2" applyNumberFormat="1" applyFont="1" applyBorder="1" applyAlignment="1" applyProtection="1">
      <protection locked="0"/>
    </xf>
    <xf numFmtId="0" fontId="5" fillId="0" borderId="0" xfId="2" applyFont="1" applyBorder="1" applyAlignment="1"/>
    <xf numFmtId="0" fontId="3" fillId="0" borderId="0" xfId="2" applyNumberFormat="1" applyFont="1" applyBorder="1" applyAlignment="1" applyProtection="1">
      <protection locked="0"/>
    </xf>
    <xf numFmtId="1" fontId="5" fillId="0" borderId="0" xfId="2" applyNumberFormat="1" applyFont="1" applyBorder="1" applyAlignment="1"/>
    <xf numFmtId="0" fontId="6" fillId="0" borderId="4" xfId="2" applyNumberFormat="1" applyFont="1" applyBorder="1" applyAlignment="1" applyProtection="1">
      <protection locked="0"/>
    </xf>
    <xf numFmtId="2" fontId="7" fillId="0" borderId="5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3" fillId="0" borderId="0" xfId="2" applyNumberFormat="1" applyFont="1" applyAlignment="1" applyProtection="1">
      <protection locked="0"/>
    </xf>
    <xf numFmtId="0" fontId="9" fillId="0" borderId="0" xfId="2" applyFont="1" applyAlignment="1"/>
    <xf numFmtId="2" fontId="5" fillId="0" borderId="0" xfId="2" applyNumberFormat="1" applyFont="1" applyBorder="1" applyAlignment="1"/>
    <xf numFmtId="2" fontId="11" fillId="0" borderId="0" xfId="2" applyNumberFormat="1" applyFont="1" applyBorder="1" applyAlignment="1"/>
    <xf numFmtId="0" fontId="12" fillId="0" borderId="0" xfId="2" applyNumberFormat="1" applyFont="1" applyAlignment="1" applyProtection="1">
      <protection locked="0"/>
    </xf>
    <xf numFmtId="2" fontId="5" fillId="2" borderId="0" xfId="2" applyNumberFormat="1" applyFont="1" applyFill="1" applyBorder="1" applyAlignment="1"/>
    <xf numFmtId="0" fontId="3" fillId="0" borderId="0" xfId="2" applyNumberFormat="1" applyFont="1" applyAlignment="1" applyProtection="1">
      <alignment horizontal="center"/>
      <protection locked="0"/>
    </xf>
    <xf numFmtId="0" fontId="13" fillId="0" borderId="0" xfId="2" applyNumberFormat="1" applyFont="1" applyBorder="1" applyAlignment="1"/>
    <xf numFmtId="0" fontId="15" fillId="0" borderId="0" xfId="2" applyNumberFormat="1" applyFont="1" applyBorder="1" applyAlignment="1"/>
    <xf numFmtId="2" fontId="13" fillId="0" borderId="0" xfId="2" applyNumberFormat="1" applyFont="1" applyBorder="1" applyAlignment="1" applyProtection="1">
      <protection locked="0"/>
    </xf>
    <xf numFmtId="0" fontId="12" fillId="0" borderId="0" xfId="2" applyNumberFormat="1" applyFont="1" applyBorder="1" applyAlignment="1" applyProtection="1">
      <protection locked="0"/>
    </xf>
    <xf numFmtId="0" fontId="7" fillId="0" borderId="0" xfId="2" applyFont="1" applyBorder="1" applyAlignment="1">
      <alignment horizontal="right"/>
    </xf>
    <xf numFmtId="0" fontId="10" fillId="0" borderId="0" xfId="2" applyNumberFormat="1" applyFont="1" applyBorder="1" applyAlignment="1" applyProtection="1">
      <alignment horizontal="right"/>
      <protection locked="0"/>
    </xf>
    <xf numFmtId="0" fontId="16" fillId="0" borderId="0" xfId="2" applyNumberFormat="1" applyFont="1" applyBorder="1" applyAlignment="1" applyProtection="1">
      <protection locked="0"/>
    </xf>
    <xf numFmtId="0" fontId="12" fillId="0" borderId="0" xfId="2" applyFont="1" applyAlignment="1">
      <alignment horizontal="center"/>
    </xf>
    <xf numFmtId="0" fontId="3" fillId="0" borderId="5" xfId="2" applyNumberFormat="1" applyFont="1" applyBorder="1" applyAlignment="1" applyProtection="1">
      <protection locked="0"/>
    </xf>
    <xf numFmtId="2" fontId="5" fillId="2" borderId="5" xfId="2" applyNumberFormat="1" applyFont="1" applyFill="1" applyBorder="1" applyAlignment="1"/>
    <xf numFmtId="2" fontId="5" fillId="0" borderId="5" xfId="2" applyNumberFormat="1" applyFont="1" applyBorder="1" applyAlignment="1"/>
    <xf numFmtId="2" fontId="7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0" fontId="13" fillId="0" borderId="0" xfId="2" applyNumberFormat="1" applyFont="1" applyBorder="1" applyAlignment="1">
      <alignment horizontal="right"/>
    </xf>
    <xf numFmtId="0" fontId="9" fillId="0" borderId="5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7" fillId="0" borderId="5" xfId="2" applyNumberFormat="1" applyFont="1" applyBorder="1" applyAlignment="1" applyProtection="1">
      <protection locked="0"/>
    </xf>
    <xf numFmtId="0" fontId="17" fillId="0" borderId="5" xfId="2" applyFont="1" applyBorder="1" applyAlignment="1"/>
    <xf numFmtId="0" fontId="12" fillId="0" borderId="5" xfId="2" applyFont="1" applyBorder="1" applyAlignment="1">
      <alignment horizontal="right"/>
    </xf>
    <xf numFmtId="0" fontId="12" fillId="0" borderId="5" xfId="2" applyNumberFormat="1" applyFont="1" applyBorder="1" applyAlignment="1">
      <alignment horizontal="right"/>
    </xf>
    <xf numFmtId="165" fontId="5" fillId="0" borderId="6" xfId="2" applyNumberFormat="1" applyFont="1" applyBorder="1" applyAlignment="1">
      <alignment horizontal="center"/>
    </xf>
    <xf numFmtId="2" fontId="5" fillId="0" borderId="2" xfId="2" applyNumberFormat="1" applyFont="1" applyBorder="1" applyAlignment="1"/>
    <xf numFmtId="2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>
      <alignment horizontal="center"/>
    </xf>
    <xf numFmtId="1" fontId="5" fillId="0" borderId="2" xfId="2" applyNumberFormat="1" applyFont="1" applyBorder="1" applyAlignment="1">
      <alignment horizontal="center"/>
    </xf>
    <xf numFmtId="2" fontId="13" fillId="0" borderId="2" xfId="2" applyNumberFormat="1" applyFont="1" applyBorder="1" applyAlignment="1"/>
    <xf numFmtId="0" fontId="5" fillId="0" borderId="2" xfId="2" applyFont="1" applyBorder="1" applyAlignment="1">
      <alignment horizontal="center"/>
    </xf>
    <xf numFmtId="2" fontId="13" fillId="0" borderId="2" xfId="2" applyNumberFormat="1" applyFont="1" applyBorder="1" applyAlignment="1">
      <alignment horizontal="right"/>
    </xf>
    <xf numFmtId="2" fontId="13" fillId="0" borderId="2" xfId="2" applyNumberFormat="1" applyFont="1" applyBorder="1" applyAlignment="1" applyProtection="1">
      <protection locked="0"/>
    </xf>
    <xf numFmtId="169" fontId="11" fillId="0" borderId="7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2" fontId="15" fillId="0" borderId="0" xfId="2" applyNumberFormat="1" applyFont="1" applyBorder="1" applyAlignment="1"/>
    <xf numFmtId="2" fontId="11" fillId="0" borderId="0" xfId="2" applyNumberFormat="1" applyFont="1" applyAlignment="1"/>
    <xf numFmtId="0" fontId="11" fillId="0" borderId="0" xfId="2" applyFont="1" applyBorder="1" applyAlignment="1">
      <alignment horizontal="center"/>
    </xf>
    <xf numFmtId="168" fontId="25" fillId="0" borderId="0" xfId="2" applyNumberFormat="1" applyFont="1" applyAlignment="1"/>
    <xf numFmtId="2" fontId="15" fillId="0" borderId="0" xfId="2" applyNumberFormat="1" applyFont="1" applyAlignment="1"/>
    <xf numFmtId="2" fontId="15" fillId="0" borderId="0" xfId="2" applyNumberFormat="1" applyFont="1" applyAlignment="1">
      <alignment horizontal="right"/>
    </xf>
    <xf numFmtId="2" fontId="15" fillId="0" borderId="0" xfId="2" applyNumberFormat="1" applyFont="1" applyBorder="1" applyAlignment="1" applyProtection="1">
      <protection locked="0"/>
    </xf>
    <xf numFmtId="0" fontId="16" fillId="0" borderId="0" xfId="2" applyNumberFormat="1" applyFont="1" applyAlignment="1" applyProtection="1">
      <protection locked="0"/>
    </xf>
    <xf numFmtId="169" fontId="5" fillId="0" borderId="7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3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14" fillId="0" borderId="0" xfId="2" applyNumberFormat="1" applyFont="1" applyAlignment="1" applyProtection="1">
      <protection locked="0"/>
    </xf>
    <xf numFmtId="2" fontId="13" fillId="0" borderId="0" xfId="2" applyNumberFormat="1" applyFont="1" applyBorder="1" applyAlignment="1"/>
    <xf numFmtId="2" fontId="5" fillId="0" borderId="0" xfId="2" applyNumberFormat="1" applyFont="1" applyAlignment="1"/>
    <xf numFmtId="0" fontId="5" fillId="0" borderId="0" xfId="2" applyFont="1" applyBorder="1" applyAlignment="1">
      <alignment horizontal="center"/>
    </xf>
    <xf numFmtId="168" fontId="22" fillId="0" borderId="0" xfId="2" applyNumberFormat="1" applyFont="1" applyAlignment="1"/>
    <xf numFmtId="2" fontId="13" fillId="0" borderId="0" xfId="2" applyNumberFormat="1" applyFont="1" applyAlignment="1"/>
    <xf numFmtId="2" fontId="13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protection locked="0"/>
    </xf>
    <xf numFmtId="169" fontId="11" fillId="0" borderId="8" xfId="2" applyNumberFormat="1" applyFont="1" applyBorder="1" applyAlignment="1">
      <alignment horizontal="center"/>
    </xf>
    <xf numFmtId="2" fontId="11" fillId="0" borderId="5" xfId="2" applyNumberFormat="1" applyFont="1" applyBorder="1" applyAlignment="1">
      <alignment horizontal="center"/>
    </xf>
    <xf numFmtId="3" fontId="11" fillId="0" borderId="5" xfId="2" applyNumberFormat="1" applyFont="1" applyBorder="1" applyAlignment="1">
      <alignment horizontal="center"/>
    </xf>
    <xf numFmtId="1" fontId="11" fillId="0" borderId="5" xfId="2" applyNumberFormat="1" applyFont="1" applyBorder="1" applyAlignment="1">
      <alignment horizontal="center"/>
    </xf>
    <xf numFmtId="2" fontId="11" fillId="0" borderId="5" xfId="2" applyNumberFormat="1" applyFont="1" applyBorder="1" applyAlignment="1"/>
    <xf numFmtId="2" fontId="15" fillId="0" borderId="5" xfId="2" applyNumberFormat="1" applyFont="1" applyBorder="1" applyAlignment="1"/>
    <xf numFmtId="0" fontId="11" fillId="0" borderId="5" xfId="2" applyFont="1" applyBorder="1" applyAlignment="1">
      <alignment horizontal="center"/>
    </xf>
    <xf numFmtId="168" fontId="25" fillId="0" borderId="5" xfId="2" applyNumberFormat="1" applyFont="1" applyBorder="1" applyAlignment="1"/>
    <xf numFmtId="2" fontId="15" fillId="0" borderId="5" xfId="2" applyNumberFormat="1" applyFont="1" applyBorder="1" applyAlignment="1">
      <alignment horizontal="right"/>
    </xf>
    <xf numFmtId="2" fontId="15" fillId="0" borderId="5" xfId="2" applyNumberFormat="1" applyFont="1" applyBorder="1" applyAlignment="1" applyProtection="1">
      <protection locked="0"/>
    </xf>
    <xf numFmtId="0" fontId="16" fillId="0" borderId="5" xfId="2" applyNumberFormat="1" applyFont="1" applyBorder="1" applyAlignment="1" applyProtection="1">
      <protection locked="0"/>
    </xf>
    <xf numFmtId="0" fontId="5" fillId="0" borderId="0" xfId="2" applyFont="1" applyAlignment="1"/>
    <xf numFmtId="2" fontId="5" fillId="0" borderId="0" xfId="2" applyNumberFormat="1" applyFont="1" applyFill="1" applyAlignment="1"/>
    <xf numFmtId="0" fontId="6" fillId="0" borderId="0" xfId="2" applyNumberFormat="1" applyFont="1" applyAlignment="1"/>
    <xf numFmtId="0" fontId="23" fillId="0" borderId="0" xfId="2" applyNumberFormat="1" applyFont="1" applyAlignment="1" applyProtection="1">
      <protection locked="0"/>
    </xf>
    <xf numFmtId="168" fontId="22" fillId="0" borderId="0" xfId="2" applyNumberFormat="1" applyFont="1" applyBorder="1" applyAlignment="1"/>
    <xf numFmtId="0" fontId="11" fillId="0" borderId="0" xfId="2" applyFont="1" applyAlignment="1"/>
    <xf numFmtId="2" fontId="26" fillId="0" borderId="0" xfId="1" applyNumberFormat="1" applyFont="1" applyAlignment="1" applyProtection="1"/>
    <xf numFmtId="0" fontId="6" fillId="0" borderId="0" xfId="0" applyFont="1" applyAlignment="1"/>
    <xf numFmtId="0" fontId="5" fillId="0" borderId="0" xfId="2" applyFont="1" applyAlignment="1">
      <alignment horizontal="right"/>
    </xf>
    <xf numFmtId="2" fontId="5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alignment horizontal="center"/>
      <protection locked="0"/>
    </xf>
    <xf numFmtId="0" fontId="5" fillId="0" borderId="0" xfId="2" applyFont="1" applyAlignment="1">
      <alignment horizontal="center"/>
    </xf>
    <xf numFmtId="0" fontId="27" fillId="0" borderId="0" xfId="2" applyNumberFormat="1" applyFont="1" applyAlignment="1" applyProtection="1">
      <protection locked="0"/>
    </xf>
    <xf numFmtId="0" fontId="9" fillId="0" borderId="0" xfId="2" applyNumberFormat="1" applyFont="1" applyAlignment="1"/>
    <xf numFmtId="0" fontId="5" fillId="0" borderId="0" xfId="2" applyNumberFormat="1" applyFont="1" applyAlignment="1"/>
    <xf numFmtId="0" fontId="3" fillId="0" borderId="0" xfId="2" applyNumberFormat="1" applyFont="1" applyFill="1" applyAlignment="1" applyProtection="1">
      <protection locked="0"/>
    </xf>
    <xf numFmtId="0" fontId="6" fillId="0" borderId="2" xfId="0" quotePrefix="1" applyFont="1" applyBorder="1" applyAlignment="1">
      <alignment horizontal="center"/>
    </xf>
    <xf numFmtId="0" fontId="3" fillId="0" borderId="9" xfId="2" applyNumberFormat="1" applyFont="1" applyBorder="1" applyAlignment="1" applyProtection="1">
      <protection locked="0"/>
    </xf>
    <xf numFmtId="0" fontId="12" fillId="0" borderId="9" xfId="2" applyNumberFormat="1" applyFont="1" applyBorder="1" applyAlignment="1" applyProtection="1">
      <protection locked="0"/>
    </xf>
    <xf numFmtId="0" fontId="12" fillId="0" borderId="4" xfId="2" applyNumberFormat="1" applyFont="1" applyBorder="1" applyAlignment="1">
      <alignment horizontal="right"/>
    </xf>
    <xf numFmtId="0" fontId="6" fillId="0" borderId="0" xfId="2" quotePrefix="1" applyNumberFormat="1" applyFont="1" applyAlignment="1" applyProtection="1">
      <protection locked="0"/>
    </xf>
    <xf numFmtId="2" fontId="5" fillId="0" borderId="0" xfId="2" quotePrefix="1" applyNumberFormat="1" applyFont="1" applyAlignment="1"/>
    <xf numFmtId="0" fontId="3" fillId="0" borderId="10" xfId="2" applyNumberFormat="1" applyFont="1" applyBorder="1" applyAlignment="1" applyProtection="1">
      <protection locked="0"/>
    </xf>
    <xf numFmtId="2" fontId="8" fillId="0" borderId="10" xfId="2" applyNumberFormat="1" applyFont="1" applyBorder="1" applyAlignment="1"/>
    <xf numFmtId="0" fontId="6" fillId="0" borderId="5" xfId="2" applyNumberFormat="1" applyFont="1" applyBorder="1" applyAlignment="1" applyProtection="1">
      <protection locked="0"/>
    </xf>
    <xf numFmtId="164" fontId="5" fillId="0" borderId="0" xfId="2" applyNumberFormat="1" applyFont="1" applyBorder="1" applyAlignment="1"/>
    <xf numFmtId="0" fontId="11" fillId="0" borderId="3" xfId="2" applyFont="1" applyBorder="1" applyAlignment="1">
      <alignment horizontal="right"/>
    </xf>
    <xf numFmtId="0" fontId="11" fillId="0" borderId="0" xfId="2" applyNumberFormat="1" applyFont="1" applyBorder="1" applyAlignment="1"/>
    <xf numFmtId="0" fontId="11" fillId="0" borderId="0" xfId="2" applyFont="1" applyBorder="1" applyAlignment="1"/>
    <xf numFmtId="0" fontId="11" fillId="0" borderId="0" xfId="2" applyFont="1" applyBorder="1" applyAlignment="1">
      <alignment horizontal="right"/>
    </xf>
    <xf numFmtId="2" fontId="5" fillId="0" borderId="0" xfId="2" applyNumberFormat="1" applyFont="1" applyBorder="1" applyAlignment="1">
      <alignment horizontal="right"/>
    </xf>
    <xf numFmtId="0" fontId="28" fillId="0" borderId="11" xfId="2" applyNumberFormat="1" applyFont="1" applyBorder="1" applyAlignment="1" applyProtection="1">
      <protection locked="0"/>
    </xf>
    <xf numFmtId="0" fontId="5" fillId="0" borderId="3" xfId="2" applyFont="1" applyBorder="1" applyAlignment="1">
      <alignment horizontal="right"/>
    </xf>
    <xf numFmtId="0" fontId="5" fillId="0" borderId="12" xfId="2" applyFont="1" applyBorder="1" applyAlignment="1"/>
    <xf numFmtId="0" fontId="6" fillId="0" borderId="9" xfId="2" applyNumberFormat="1" applyFont="1" applyBorder="1" applyAlignment="1" applyProtection="1">
      <protection locked="0"/>
    </xf>
    <xf numFmtId="0" fontId="5" fillId="0" borderId="0" xfId="2" applyFont="1" applyBorder="1" applyAlignment="1">
      <alignment horizontal="right"/>
    </xf>
    <xf numFmtId="0" fontId="6" fillId="0" borderId="10" xfId="2" applyNumberFormat="1" applyFont="1" applyBorder="1" applyAlignment="1" applyProtection="1">
      <protection locked="0"/>
    </xf>
    <xf numFmtId="0" fontId="5" fillId="0" borderId="5" xfId="2" applyFont="1" applyBorder="1" applyAlignment="1">
      <alignment horizontal="right"/>
    </xf>
    <xf numFmtId="0" fontId="5" fillId="0" borderId="13" xfId="2" applyFont="1" applyBorder="1" applyAlignment="1"/>
    <xf numFmtId="0" fontId="5" fillId="0" borderId="10" xfId="2" applyFont="1" applyBorder="1" applyAlignment="1"/>
    <xf numFmtId="0" fontId="6" fillId="0" borderId="0" xfId="2" applyNumberFormat="1" applyFont="1" applyAlignment="1" applyProtection="1">
      <alignment horizontal="right"/>
      <protection locked="0"/>
    </xf>
    <xf numFmtId="0" fontId="5" fillId="0" borderId="10" xfId="2" applyFont="1" applyBorder="1" applyAlignment="1">
      <alignment horizontal="left"/>
    </xf>
    <xf numFmtId="2" fontId="7" fillId="0" borderId="0" xfId="2" applyNumberFormat="1" applyFont="1" applyBorder="1" applyAlignment="1">
      <alignment horizontal="right"/>
    </xf>
    <xf numFmtId="174" fontId="5" fillId="0" borderId="2" xfId="2" applyNumberFormat="1" applyFont="1" applyBorder="1" applyAlignment="1">
      <alignment horizontal="center"/>
    </xf>
    <xf numFmtId="0" fontId="6" fillId="0" borderId="12" xfId="2" applyNumberFormat="1" applyFont="1" applyBorder="1" applyAlignment="1" applyProtection="1">
      <protection locked="0"/>
    </xf>
    <xf numFmtId="1" fontId="11" fillId="0" borderId="0" xfId="2" applyNumberFormat="1" applyFont="1" applyBorder="1" applyAlignment="1"/>
    <xf numFmtId="167" fontId="11" fillId="0" borderId="5" xfId="2" applyNumberFormat="1" applyFont="1" applyBorder="1" applyAlignment="1"/>
    <xf numFmtId="0" fontId="6" fillId="0" borderId="13" xfId="2" applyNumberFormat="1" applyFont="1" applyBorder="1" applyAlignment="1" applyProtection="1">
      <protection locked="0"/>
    </xf>
    <xf numFmtId="0" fontId="6" fillId="0" borderId="0" xfId="2" applyNumberFormat="1" applyFont="1" applyBorder="1" applyAlignment="1" applyProtection="1">
      <alignment horizontal="right"/>
      <protection locked="0"/>
    </xf>
    <xf numFmtId="3" fontId="11" fillId="0" borderId="0" xfId="2" applyNumberFormat="1" applyFont="1" applyBorder="1" applyAlignment="1"/>
    <xf numFmtId="0" fontId="6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2" fontId="5" fillId="0" borderId="5" xfId="2" applyNumberFormat="1" applyFont="1" applyBorder="1" applyAlignment="1">
      <alignment horizontal="right"/>
    </xf>
    <xf numFmtId="166" fontId="5" fillId="0" borderId="5" xfId="2" applyNumberFormat="1" applyFont="1" applyBorder="1" applyAlignment="1"/>
    <xf numFmtId="0" fontId="6" fillId="0" borderId="11" xfId="2" applyNumberFormat="1" applyFont="1" applyBorder="1" applyAlignment="1" applyProtection="1">
      <protection locked="0"/>
    </xf>
    <xf numFmtId="0" fontId="16" fillId="0" borderId="0" xfId="2" applyNumberFormat="1" applyFont="1" applyBorder="1" applyAlignment="1" applyProtection="1">
      <alignment horizontal="center"/>
      <protection locked="0"/>
    </xf>
    <xf numFmtId="0" fontId="5" fillId="0" borderId="13" xfId="2" applyFont="1" applyBorder="1" applyAlignment="1">
      <alignment horizontal="center"/>
    </xf>
    <xf numFmtId="1" fontId="5" fillId="0" borderId="5" xfId="2" applyNumberFormat="1" applyFont="1" applyBorder="1" applyAlignment="1">
      <alignment horizontal="right"/>
    </xf>
    <xf numFmtId="1" fontId="5" fillId="0" borderId="13" xfId="2" applyNumberFormat="1" applyFont="1" applyBorder="1" applyAlignment="1"/>
    <xf numFmtId="0" fontId="6" fillId="0" borderId="5" xfId="2" applyNumberFormat="1" applyFont="1" applyBorder="1" applyAlignment="1" applyProtection="1">
      <alignment horizontal="right"/>
      <protection locked="0"/>
    </xf>
    <xf numFmtId="0" fontId="6" fillId="0" borderId="5" xfId="2" quotePrefix="1" applyNumberFormat="1" applyFont="1" applyBorder="1" applyAlignment="1" applyProtection="1">
      <alignment horizontal="center"/>
      <protection locked="0"/>
    </xf>
    <xf numFmtId="0" fontId="5" fillId="0" borderId="5" xfId="2" applyFont="1" applyBorder="1" applyAlignment="1">
      <alignment horizontal="center"/>
    </xf>
    <xf numFmtId="0" fontId="16" fillId="0" borderId="3" xfId="2" applyFont="1" applyBorder="1" applyAlignment="1"/>
    <xf numFmtId="0" fontId="28" fillId="0" borderId="9" xfId="2" applyNumberFormat="1" applyFont="1" applyBorder="1" applyAlignment="1" applyProtection="1">
      <protection locked="0"/>
    </xf>
    <xf numFmtId="0" fontId="23" fillId="0" borderId="0" xfId="2" applyNumberFormat="1" applyFont="1" applyBorder="1" applyAlignment="1" applyProtection="1">
      <protection locked="0"/>
    </xf>
    <xf numFmtId="1" fontId="7" fillId="0" borderId="0" xfId="2" applyNumberFormat="1" applyFont="1" applyBorder="1" applyAlignment="1">
      <alignment horizontal="right"/>
    </xf>
    <xf numFmtId="0" fontId="5" fillId="0" borderId="9" xfId="2" applyFont="1" applyFill="1" applyBorder="1" applyAlignment="1">
      <alignment horizontal="left"/>
    </xf>
    <xf numFmtId="2" fontId="5" fillId="0" borderId="9" xfId="2" applyNumberFormat="1" applyFont="1" applyFill="1" applyBorder="1" applyAlignment="1"/>
    <xf numFmtId="1" fontId="6" fillId="0" borderId="0" xfId="2" applyNumberFormat="1" applyFont="1" applyBorder="1" applyAlignment="1" applyProtection="1">
      <protection locked="0"/>
    </xf>
    <xf numFmtId="1" fontId="5" fillId="0" borderId="10" xfId="2" applyNumberFormat="1" applyFont="1" applyBorder="1" applyAlignment="1">
      <alignment horizontal="left"/>
    </xf>
    <xf numFmtId="0" fontId="23" fillId="0" borderId="10" xfId="2" applyNumberFormat="1" applyFont="1" applyBorder="1" applyAlignment="1" applyProtection="1">
      <protection locked="0"/>
    </xf>
    <xf numFmtId="1" fontId="5" fillId="0" borderId="4" xfId="2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7" fillId="0" borderId="10" xfId="2" applyNumberFormat="1" applyFont="1" applyBorder="1" applyAlignment="1" applyProtection="1">
      <protection locked="0"/>
    </xf>
    <xf numFmtId="1" fontId="7" fillId="0" borderId="10" xfId="2" applyNumberFormat="1" applyFont="1" applyBorder="1" applyAlignment="1">
      <alignment horizontal="left"/>
    </xf>
    <xf numFmtId="0" fontId="6" fillId="0" borderId="10" xfId="2" applyNumberFormat="1" applyFont="1" applyBorder="1" applyAlignment="1" applyProtection="1">
      <alignment horizontal="center"/>
      <protection locked="0"/>
    </xf>
    <xf numFmtId="0" fontId="5" fillId="0" borderId="7" xfId="2" applyFont="1" applyBorder="1" applyAlignment="1">
      <alignment horizontal="center"/>
    </xf>
    <xf numFmtId="0" fontId="6" fillId="0" borderId="8" xfId="2" applyNumberFormat="1" applyFont="1" applyBorder="1" applyAlignment="1" applyProtection="1">
      <alignment horizontal="center"/>
      <protection locked="0"/>
    </xf>
    <xf numFmtId="164" fontId="5" fillId="0" borderId="0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0" fontId="7" fillId="0" borderId="10" xfId="2" applyFont="1" applyBorder="1" applyAlignment="1">
      <alignment horizontal="left"/>
    </xf>
    <xf numFmtId="0" fontId="6" fillId="0" borderId="3" xfId="2" applyNumberFormat="1" applyFont="1" applyBorder="1" applyAlignment="1" applyProtection="1">
      <alignment horizontal="center"/>
      <protection locked="0"/>
    </xf>
    <xf numFmtId="0" fontId="6" fillId="0" borderId="11" xfId="2" applyNumberFormat="1" applyFont="1" applyBorder="1" applyAlignment="1" applyProtection="1">
      <alignment horizontal="right"/>
      <protection locked="0"/>
    </xf>
    <xf numFmtId="2" fontId="6" fillId="0" borderId="3" xfId="2" applyNumberFormat="1" applyFont="1" applyBorder="1" applyAlignment="1" applyProtection="1">
      <protection locked="0"/>
    </xf>
    <xf numFmtId="0" fontId="28" fillId="0" borderId="4" xfId="2" applyNumberFormat="1" applyFont="1" applyBorder="1" applyAlignment="1" applyProtection="1">
      <protection locked="0"/>
    </xf>
    <xf numFmtId="0" fontId="7" fillId="0" borderId="10" xfId="2" applyFont="1" applyBorder="1" applyAlignment="1"/>
    <xf numFmtId="0" fontId="6" fillId="0" borderId="5" xfId="2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64" fontId="21" fillId="0" borderId="2" xfId="2" applyNumberFormat="1" applyFont="1" applyBorder="1" applyAlignment="1">
      <alignment horizontal="center"/>
    </xf>
    <xf numFmtId="164" fontId="11" fillId="0" borderId="9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164" fontId="24" fillId="0" borderId="0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21" fillId="0" borderId="0" xfId="2" applyNumberFormat="1" applyFont="1" applyBorder="1" applyAlignment="1">
      <alignment horizontal="center"/>
    </xf>
    <xf numFmtId="164" fontId="11" fillId="0" borderId="4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24" fillId="0" borderId="5" xfId="2" applyNumberFormat="1" applyFont="1" applyBorder="1" applyAlignment="1">
      <alignment horizontal="center"/>
    </xf>
    <xf numFmtId="0" fontId="12" fillId="0" borderId="0" xfId="2" applyNumberFormat="1" applyFont="1" applyAlignment="1"/>
    <xf numFmtId="0" fontId="22" fillId="0" borderId="2" xfId="2" applyNumberFormat="1" applyFont="1" applyBorder="1" applyAlignment="1"/>
    <xf numFmtId="0" fontId="25" fillId="0" borderId="0" xfId="2" applyNumberFormat="1" applyFont="1" applyAlignment="1"/>
    <xf numFmtId="0" fontId="22" fillId="0" borderId="0" xfId="2" applyNumberFormat="1" applyFont="1" applyAlignment="1"/>
    <xf numFmtId="0" fontId="22" fillId="0" borderId="0" xfId="2" applyNumberFormat="1" applyFont="1" applyAlignment="1" applyProtection="1">
      <protection locked="0"/>
    </xf>
    <xf numFmtId="0" fontId="25" fillId="0" borderId="0" xfId="2" applyNumberFormat="1" applyFont="1" applyAlignment="1" applyProtection="1">
      <protection locked="0"/>
    </xf>
    <xf numFmtId="0" fontId="25" fillId="0" borderId="5" xfId="2" applyNumberFormat="1" applyFont="1" applyBorder="1" applyAlignment="1"/>
    <xf numFmtId="0" fontId="25" fillId="0" borderId="5" xfId="2" applyNumberFormat="1" applyFont="1" applyBorder="1" applyAlignment="1" applyProtection="1">
      <protection locked="0"/>
    </xf>
    <xf numFmtId="0" fontId="6" fillId="0" borderId="0" xfId="2" applyFont="1" applyAlignment="1"/>
    <xf numFmtId="164" fontId="5" fillId="0" borderId="0" xfId="2" applyNumberFormat="1" applyFont="1" applyAlignment="1"/>
    <xf numFmtId="0" fontId="13" fillId="0" borderId="0" xfId="2" applyNumberFormat="1" applyFont="1" applyBorder="1" applyAlignment="1" applyProtection="1">
      <protection locked="0"/>
    </xf>
    <xf numFmtId="0" fontId="13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>
      <alignment horizontal="right"/>
    </xf>
    <xf numFmtId="2" fontId="6" fillId="0" borderId="0" xfId="2" applyNumberFormat="1" applyFont="1" applyBorder="1" applyAlignment="1"/>
    <xf numFmtId="0" fontId="6" fillId="0" borderId="0" xfId="2" applyFont="1" applyBorder="1" applyAlignment="1"/>
    <xf numFmtId="2" fontId="13" fillId="0" borderId="0" xfId="2" applyNumberFormat="1" applyFont="1" applyFill="1" applyBorder="1" applyAlignment="1"/>
    <xf numFmtId="171" fontId="6" fillId="0" borderId="0" xfId="2" applyNumberFormat="1" applyFont="1" applyAlignment="1" applyProtection="1">
      <protection locked="0"/>
    </xf>
    <xf numFmtId="2" fontId="5" fillId="0" borderId="10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2" fontId="20" fillId="0" borderId="1" xfId="2" applyNumberFormat="1" applyFont="1" applyBorder="1" applyAlignment="1">
      <alignment horizontal="center"/>
    </xf>
    <xf numFmtId="0" fontId="6" fillId="0" borderId="0" xfId="2" applyNumberFormat="1" applyFont="1" applyFill="1" applyAlignment="1" applyProtection="1">
      <protection locked="0"/>
    </xf>
    <xf numFmtId="0" fontId="16" fillId="0" borderId="0" xfId="0" applyFont="1"/>
    <xf numFmtId="0" fontId="5" fillId="0" borderId="0" xfId="2" applyFont="1" applyFill="1" applyAlignment="1"/>
    <xf numFmtId="0" fontId="6" fillId="0" borderId="13" xfId="2" applyNumberFormat="1" applyFont="1" applyBorder="1" applyAlignment="1" applyProtection="1">
      <alignment horizontal="center"/>
      <protection locked="0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33" fillId="0" borderId="0" xfId="1" applyFont="1" applyAlignment="1" applyProtection="1"/>
    <xf numFmtId="0" fontId="31" fillId="0" borderId="0" xfId="0" applyFont="1" applyBorder="1"/>
    <xf numFmtId="15" fontId="31" fillId="0" borderId="0" xfId="0" applyNumberFormat="1" applyFont="1" applyBorder="1"/>
    <xf numFmtId="0" fontId="30" fillId="0" borderId="3" xfId="2" applyFont="1" applyBorder="1" applyAlignment="1">
      <alignment horizontal="left"/>
    </xf>
    <xf numFmtId="0" fontId="34" fillId="0" borderId="3" xfId="2" applyFont="1" applyBorder="1" applyAlignment="1"/>
    <xf numFmtId="0" fontId="31" fillId="0" borderId="3" xfId="0" applyFont="1" applyBorder="1"/>
    <xf numFmtId="2" fontId="34" fillId="0" borderId="3" xfId="2" applyNumberFormat="1" applyFont="1" applyBorder="1" applyAlignment="1">
      <alignment horizontal="center"/>
    </xf>
    <xf numFmtId="0" fontId="31" fillId="0" borderId="3" xfId="2" applyNumberFormat="1" applyFont="1" applyBorder="1" applyAlignment="1" applyProtection="1">
      <protection locked="0"/>
    </xf>
    <xf numFmtId="0" fontId="34" fillId="0" borderId="0" xfId="2" applyFont="1" applyBorder="1" applyAlignment="1">
      <alignment horizontal="left"/>
    </xf>
    <xf numFmtId="0" fontId="34" fillId="0" borderId="0" xfId="2" applyFont="1" applyBorder="1" applyAlignment="1"/>
    <xf numFmtId="2" fontId="34" fillId="0" borderId="0" xfId="2" applyNumberFormat="1" applyFont="1" applyBorder="1" applyAlignment="1">
      <alignment horizontal="right"/>
    </xf>
    <xf numFmtId="0" fontId="34" fillId="0" borderId="0" xfId="2" applyFont="1" applyBorder="1" applyAlignment="1">
      <alignment horizontal="right"/>
    </xf>
    <xf numFmtId="0" fontId="31" fillId="0" borderId="0" xfId="2" applyNumberFormat="1" applyFont="1" applyBorder="1" applyAlignment="1" applyProtection="1">
      <protection locked="0"/>
    </xf>
    <xf numFmtId="2" fontId="34" fillId="0" borderId="0" xfId="2" applyNumberFormat="1" applyFont="1" applyBorder="1" applyAlignment="1"/>
    <xf numFmtId="2" fontId="34" fillId="0" borderId="0" xfId="2" applyNumberFormat="1" applyFont="1" applyAlignment="1"/>
    <xf numFmtId="2" fontId="33" fillId="0" borderId="0" xfId="1" applyNumberFormat="1" applyFont="1" applyAlignment="1" applyProtection="1"/>
    <xf numFmtId="0" fontId="31" fillId="0" borderId="0" xfId="0" applyFont="1" applyAlignment="1"/>
    <xf numFmtId="0" fontId="34" fillId="0" borderId="0" xfId="2" applyFont="1" applyAlignment="1">
      <alignment horizontal="center"/>
    </xf>
    <xf numFmtId="0" fontId="34" fillId="0" borderId="0" xfId="2" applyFont="1" applyAlignment="1"/>
    <xf numFmtId="2" fontId="34" fillId="0" borderId="0" xfId="2" applyNumberFormat="1" applyFont="1" applyAlignment="1">
      <alignment horizontal="right"/>
    </xf>
    <xf numFmtId="0" fontId="34" fillId="0" borderId="0" xfId="2" applyFont="1" applyAlignment="1">
      <alignment horizontal="right"/>
    </xf>
    <xf numFmtId="0" fontId="31" fillId="0" borderId="0" xfId="2" applyNumberFormat="1" applyFont="1" applyAlignment="1" applyProtection="1">
      <protection locked="0"/>
    </xf>
    <xf numFmtId="0" fontId="34" fillId="0" borderId="0" xfId="2" applyNumberFormat="1" applyFont="1" applyAlignment="1"/>
    <xf numFmtId="0" fontId="34" fillId="0" borderId="0" xfId="2" applyFont="1" applyAlignment="1">
      <alignment horizontal="left"/>
    </xf>
    <xf numFmtId="0" fontId="35" fillId="0" borderId="0" xfId="0" applyFont="1"/>
    <xf numFmtId="0" fontId="34" fillId="0" borderId="0" xfId="2" applyFont="1" applyBorder="1" applyAlignment="1">
      <alignment horizontal="center"/>
    </xf>
    <xf numFmtId="0" fontId="32" fillId="0" borderId="0" xfId="0" applyFont="1"/>
    <xf numFmtId="0" fontId="36" fillId="0" borderId="0" xfId="0" applyFont="1"/>
    <xf numFmtId="0" fontId="5" fillId="0" borderId="5" xfId="2" applyFont="1" applyBorder="1" applyAlignment="1"/>
    <xf numFmtId="0" fontId="28" fillId="0" borderId="3" xfId="2" applyNumberFormat="1" applyFont="1" applyBorder="1" applyAlignment="1" applyProtection="1">
      <protection locked="0"/>
    </xf>
    <xf numFmtId="0" fontId="29" fillId="0" borderId="0" xfId="2" applyFont="1" applyBorder="1" applyAlignment="1"/>
    <xf numFmtId="0" fontId="29" fillId="0" borderId="5" xfId="2" applyFont="1" applyBorder="1" applyAlignment="1"/>
    <xf numFmtId="0" fontId="10" fillId="0" borderId="0" xfId="2" applyFont="1" applyAlignment="1">
      <alignment horizontal="center"/>
    </xf>
    <xf numFmtId="2" fontId="6" fillId="0" borderId="5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2" fontId="16" fillId="0" borderId="0" xfId="2" applyNumberFormat="1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16" fillId="0" borderId="5" xfId="2" applyNumberFormat="1" applyFont="1" applyBorder="1" applyAlignment="1">
      <alignment horizontal="center"/>
    </xf>
    <xf numFmtId="0" fontId="37" fillId="0" borderId="0" xfId="0" applyFont="1"/>
    <xf numFmtId="0" fontId="40" fillId="0" borderId="0" xfId="2" applyNumberFormat="1" applyFont="1" applyAlignment="1" applyProtection="1">
      <alignment horizontal="center"/>
      <protection locked="0"/>
    </xf>
    <xf numFmtId="2" fontId="41" fillId="0" borderId="5" xfId="2" applyNumberFormat="1" applyFont="1" applyBorder="1" applyAlignment="1">
      <alignment horizontal="center"/>
    </xf>
    <xf numFmtId="0" fontId="38" fillId="0" borderId="0" xfId="2" applyFont="1" applyAlignment="1">
      <alignment horizontal="left"/>
    </xf>
    <xf numFmtId="2" fontId="39" fillId="0" borderId="0" xfId="2" applyNumberFormat="1" applyFont="1" applyFill="1" applyBorder="1" applyAlignment="1">
      <alignment horizontal="center"/>
    </xf>
    <xf numFmtId="2" fontId="39" fillId="0" borderId="12" xfId="2" applyNumberFormat="1" applyFont="1" applyFill="1" applyBorder="1" applyAlignment="1">
      <alignment horizontal="center"/>
    </xf>
    <xf numFmtId="0" fontId="39" fillId="0" borderId="0" xfId="2" applyNumberFormat="1" applyFont="1" applyAlignment="1" applyProtection="1">
      <alignment horizontal="center"/>
      <protection locked="0"/>
    </xf>
    <xf numFmtId="0" fontId="39" fillId="0" borderId="10" xfId="2" applyFont="1" applyBorder="1" applyAlignment="1">
      <alignment horizontal="center"/>
    </xf>
    <xf numFmtId="2" fontId="40" fillId="0" borderId="5" xfId="2" applyNumberFormat="1" applyFont="1" applyBorder="1" applyAlignment="1">
      <alignment horizontal="center"/>
    </xf>
    <xf numFmtId="2" fontId="40" fillId="0" borderId="13" xfId="2" applyNumberFormat="1" applyFont="1" applyFill="1" applyBorder="1" applyAlignment="1">
      <alignment horizontal="center"/>
    </xf>
    <xf numFmtId="2" fontId="40" fillId="0" borderId="2" xfId="2" applyNumberFormat="1" applyFont="1" applyBorder="1" applyAlignment="1">
      <alignment horizontal="center"/>
    </xf>
    <xf numFmtId="2" fontId="40" fillId="0" borderId="14" xfId="2" applyNumberFormat="1" applyFont="1" applyFill="1" applyBorder="1" applyAlignment="1">
      <alignment horizontal="center"/>
    </xf>
    <xf numFmtId="0" fontId="40" fillId="0" borderId="2" xfId="2" applyNumberFormat="1" applyFont="1" applyBorder="1" applyAlignment="1" applyProtection="1">
      <alignment horizontal="center"/>
      <protection locked="0"/>
    </xf>
    <xf numFmtId="2" fontId="41" fillId="0" borderId="0" xfId="2" applyNumberFormat="1" applyFont="1" applyBorder="1" applyAlignment="1">
      <alignment horizontal="center"/>
    </xf>
    <xf numFmtId="2" fontId="41" fillId="0" borderId="10" xfId="2" applyNumberFormat="1" applyFont="1" applyFill="1" applyBorder="1" applyAlignment="1">
      <alignment horizontal="center"/>
    </xf>
    <xf numFmtId="0" fontId="41" fillId="0" borderId="0" xfId="2" applyNumberFormat="1" applyFont="1" applyAlignment="1" applyProtection="1">
      <alignment horizontal="center"/>
      <protection locked="0"/>
    </xf>
    <xf numFmtId="2" fontId="40" fillId="0" borderId="0" xfId="2" applyNumberFormat="1" applyFont="1" applyBorder="1" applyAlignment="1">
      <alignment horizontal="center"/>
    </xf>
    <xf numFmtId="2" fontId="40" fillId="0" borderId="10" xfId="2" applyNumberFormat="1" applyFont="1" applyFill="1" applyBorder="1" applyAlignment="1">
      <alignment horizontal="center"/>
    </xf>
    <xf numFmtId="2" fontId="41" fillId="0" borderId="13" xfId="2" applyNumberFormat="1" applyFont="1" applyFill="1" applyBorder="1" applyAlignment="1">
      <alignment horizontal="center"/>
    </xf>
    <xf numFmtId="2" fontId="39" fillId="0" borderId="12" xfId="2" applyNumberFormat="1" applyFont="1" applyBorder="1" applyAlignment="1">
      <alignment horizontal="center"/>
    </xf>
    <xf numFmtId="2" fontId="39" fillId="0" borderId="10" xfId="2" applyNumberFormat="1" applyFont="1" applyBorder="1" applyAlignment="1">
      <alignment horizontal="center"/>
    </xf>
    <xf numFmtId="2" fontId="40" fillId="0" borderId="13" xfId="2" applyNumberFormat="1" applyFont="1" applyBorder="1" applyAlignment="1">
      <alignment horizontal="center"/>
    </xf>
    <xf numFmtId="2" fontId="40" fillId="0" borderId="14" xfId="2" applyNumberFormat="1" applyFont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40" fillId="0" borderId="10" xfId="2" applyNumberFormat="1" applyFont="1" applyBorder="1" applyAlignment="1">
      <alignment horizontal="center"/>
    </xf>
    <xf numFmtId="164" fontId="41" fillId="0" borderId="13" xfId="2" applyNumberFormat="1" applyFont="1" applyBorder="1" applyAlignment="1">
      <alignment horizontal="center"/>
    </xf>
    <xf numFmtId="0" fontId="39" fillId="0" borderId="9" xfId="2" applyNumberFormat="1" applyFont="1" applyBorder="1" applyAlignment="1" applyProtection="1">
      <alignment horizontal="center"/>
      <protection locked="0"/>
    </xf>
    <xf numFmtId="164" fontId="16" fillId="0" borderId="9" xfId="2" applyNumberFormat="1" applyFont="1" applyBorder="1" applyAlignment="1">
      <alignment horizontal="center"/>
    </xf>
    <xf numFmtId="164" fontId="16" fillId="0" borderId="4" xfId="2" applyNumberFormat="1" applyFont="1" applyBorder="1" applyAlignment="1">
      <alignment horizontal="center"/>
    </xf>
    <xf numFmtId="0" fontId="41" fillId="0" borderId="0" xfId="2" applyFont="1" applyBorder="1" applyAlignment="1"/>
    <xf numFmtId="0" fontId="40" fillId="0" borderId="0" xfId="2" applyNumberFormat="1" applyFont="1" applyBorder="1" applyAlignment="1" applyProtection="1">
      <alignment horizontal="right"/>
      <protection locked="0"/>
    </xf>
    <xf numFmtId="0" fontId="39" fillId="0" borderId="10" xfId="2" applyNumberFormat="1" applyFont="1" applyBorder="1" applyAlignment="1" applyProtection="1">
      <protection locked="0"/>
    </xf>
    <xf numFmtId="0" fontId="40" fillId="0" borderId="0" xfId="2" applyFont="1" applyBorder="1" applyAlignment="1">
      <alignment horizontal="right"/>
    </xf>
    <xf numFmtId="2" fontId="40" fillId="2" borderId="0" xfId="2" applyNumberFormat="1" applyFont="1" applyFill="1" applyBorder="1" applyAlignment="1"/>
    <xf numFmtId="0" fontId="40" fillId="0" borderId="10" xfId="2" applyFont="1" applyBorder="1" applyAlignment="1">
      <alignment horizontal="left"/>
    </xf>
    <xf numFmtId="171" fontId="40" fillId="0" borderId="0" xfId="2" applyNumberFormat="1" applyFont="1" applyBorder="1" applyAlignment="1">
      <alignment horizontal="center"/>
    </xf>
    <xf numFmtId="0" fontId="40" fillId="0" borderId="0" xfId="2" applyFont="1" applyAlignment="1"/>
    <xf numFmtId="172" fontId="40" fillId="0" borderId="0" xfId="2" applyNumberFormat="1" applyFont="1" applyBorder="1" applyAlignment="1" applyProtection="1">
      <protection locked="0"/>
    </xf>
    <xf numFmtId="0" fontId="40" fillId="0" borderId="0" xfId="2" applyNumberFormat="1" applyFont="1" applyBorder="1" applyAlignment="1" applyProtection="1">
      <protection locked="0"/>
    </xf>
    <xf numFmtId="166" fontId="40" fillId="0" borderId="0" xfId="2" applyNumberFormat="1" applyFont="1" applyBorder="1" applyAlignment="1"/>
    <xf numFmtId="0" fontId="40" fillId="0" borderId="0" xfId="2" applyFont="1" applyBorder="1" applyAlignment="1"/>
    <xf numFmtId="0" fontId="39" fillId="0" borderId="0" xfId="2" applyFont="1" applyAlignment="1">
      <alignment horizontal="center"/>
    </xf>
    <xf numFmtId="0" fontId="39" fillId="0" borderId="5" xfId="2" applyFont="1" applyBorder="1" applyAlignment="1">
      <alignment horizontal="center"/>
    </xf>
    <xf numFmtId="0" fontId="40" fillId="0" borderId="2" xfId="2" applyNumberFormat="1" applyFont="1" applyBorder="1" applyAlignment="1" applyProtection="1">
      <protection locked="0"/>
    </xf>
    <xf numFmtId="2" fontId="41" fillId="0" borderId="0" xfId="2" applyNumberFormat="1" applyFont="1" applyAlignment="1" applyProtection="1">
      <protection locked="0"/>
    </xf>
    <xf numFmtId="2" fontId="40" fillId="0" borderId="0" xfId="2" applyNumberFormat="1" applyFont="1" applyAlignment="1" applyProtection="1">
      <protection locked="0"/>
    </xf>
    <xf numFmtId="2" fontId="39" fillId="0" borderId="0" xfId="2" applyNumberFormat="1" applyFont="1" applyBorder="1" applyAlignment="1">
      <alignment horizontal="center"/>
    </xf>
    <xf numFmtId="2" fontId="39" fillId="0" borderId="5" xfId="2" applyNumberFormat="1" applyFont="1" applyBorder="1" applyAlignment="1">
      <alignment horizontal="right"/>
    </xf>
    <xf numFmtId="2" fontId="40" fillId="0" borderId="2" xfId="2" applyNumberFormat="1" applyFont="1" applyBorder="1" applyAlignment="1"/>
    <xf numFmtId="166" fontId="41" fillId="0" borderId="0" xfId="2" applyNumberFormat="1" applyFont="1" applyBorder="1" applyAlignment="1"/>
    <xf numFmtId="0" fontId="40" fillId="0" borderId="11" xfId="2" applyNumberFormat="1" applyFont="1" applyBorder="1" applyAlignment="1" applyProtection="1">
      <protection locked="0"/>
    </xf>
    <xf numFmtId="0" fontId="40" fillId="0" borderId="3" xfId="2" applyNumberFormat="1" applyFont="1" applyBorder="1" applyAlignment="1" applyProtection="1">
      <protection locked="0"/>
    </xf>
    <xf numFmtId="0" fontId="40" fillId="0" borderId="3" xfId="2" quotePrefix="1" applyNumberFormat="1" applyFont="1" applyBorder="1" applyAlignment="1" applyProtection="1">
      <protection locked="0"/>
    </xf>
    <xf numFmtId="0" fontId="40" fillId="0" borderId="3" xfId="2" applyFont="1" applyBorder="1" applyAlignment="1"/>
    <xf numFmtId="0" fontId="40" fillId="0" borderId="12" xfId="2" applyNumberFormat="1" applyFont="1" applyBorder="1" applyAlignment="1" applyProtection="1">
      <protection locked="0"/>
    </xf>
    <xf numFmtId="0" fontId="40" fillId="0" borderId="9" xfId="2" quotePrefix="1" applyNumberFormat="1" applyFont="1" applyBorder="1" applyAlignment="1" applyProtection="1">
      <protection locked="0"/>
    </xf>
    <xf numFmtId="0" fontId="40" fillId="0" borderId="1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protection locked="0"/>
    </xf>
    <xf numFmtId="9" fontId="40" fillId="0" borderId="0" xfId="4" applyFont="1" applyBorder="1" applyAlignment="1" applyProtection="1">
      <protection locked="0"/>
    </xf>
    <xf numFmtId="9" fontId="40" fillId="0" borderId="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alignment horizontal="center"/>
      <protection locked="0"/>
    </xf>
    <xf numFmtId="0" fontId="40" fillId="0" borderId="4" xfId="2" applyNumberFormat="1" applyFont="1" applyBorder="1" applyAlignment="1" applyProtection="1">
      <alignment horizontal="center"/>
      <protection locked="0"/>
    </xf>
    <xf numFmtId="0" fontId="40" fillId="0" borderId="5" xfId="2" applyNumberFormat="1" applyFont="1" applyBorder="1" applyAlignment="1" applyProtection="1">
      <protection locked="0"/>
    </xf>
    <xf numFmtId="9" fontId="40" fillId="0" borderId="5" xfId="4" applyFont="1" applyBorder="1" applyAlignment="1" applyProtection="1">
      <protection locked="0"/>
    </xf>
    <xf numFmtId="9" fontId="40" fillId="0" borderId="5" xfId="2" applyNumberFormat="1" applyFont="1" applyBorder="1" applyAlignment="1" applyProtection="1">
      <protection locked="0"/>
    </xf>
    <xf numFmtId="0" fontId="40" fillId="0" borderId="13" xfId="2" applyNumberFormat="1" applyFont="1" applyBorder="1" applyAlignment="1" applyProtection="1">
      <protection locked="0"/>
    </xf>
    <xf numFmtId="0" fontId="40" fillId="0" borderId="10" xfId="2" applyFont="1" applyBorder="1" applyAlignment="1"/>
    <xf numFmtId="0" fontId="40" fillId="0" borderId="13" xfId="2" applyFont="1" applyBorder="1" applyAlignment="1"/>
    <xf numFmtId="0" fontId="10" fillId="0" borderId="10" xfId="2" applyNumberFormat="1" applyFont="1" applyBorder="1" applyAlignment="1" applyProtection="1">
      <protection locked="0"/>
    </xf>
    <xf numFmtId="165" fontId="16" fillId="0" borderId="0" xfId="2" applyNumberFormat="1" applyFont="1" applyBorder="1" applyAlignment="1" applyProtection="1">
      <protection locked="0"/>
    </xf>
    <xf numFmtId="0" fontId="41" fillId="0" borderId="3" xfId="2" applyFont="1" applyBorder="1" applyAlignment="1"/>
    <xf numFmtId="2" fontId="6" fillId="0" borderId="0" xfId="2" applyNumberFormat="1" applyFont="1" applyAlignment="1" applyProtection="1">
      <protection locked="0"/>
    </xf>
    <xf numFmtId="164" fontId="6" fillId="0" borderId="0" xfId="2" applyNumberFormat="1" applyFont="1" applyAlignment="1" applyProtection="1">
      <protection locked="0"/>
    </xf>
    <xf numFmtId="173" fontId="41" fillId="0" borderId="0" xfId="2" applyNumberFormat="1" applyFont="1" applyFill="1" applyBorder="1" applyAlignment="1"/>
    <xf numFmtId="0" fontId="10" fillId="0" borderId="11" xfId="2" applyNumberFormat="1" applyFont="1" applyBorder="1" applyAlignment="1" applyProtection="1">
      <protection locked="0"/>
    </xf>
    <xf numFmtId="0" fontId="7" fillId="0" borderId="9" xfId="2" applyFont="1" applyBorder="1" applyAlignment="1"/>
    <xf numFmtId="2" fontId="7" fillId="0" borderId="0" xfId="2" applyNumberFormat="1" applyFont="1" applyBorder="1" applyAlignment="1"/>
    <xf numFmtId="0" fontId="17" fillId="0" borderId="0" xfId="2" applyFont="1" applyBorder="1" applyAlignment="1">
      <alignment horizontal="right"/>
    </xf>
    <xf numFmtId="9" fontId="40" fillId="0" borderId="10" xfId="2" applyNumberFormat="1" applyFont="1" applyBorder="1" applyAlignment="1" applyProtection="1">
      <protection locked="0"/>
    </xf>
    <xf numFmtId="0" fontId="40" fillId="0" borderId="4" xfId="2" applyNumberFormat="1" applyFont="1" applyBorder="1" applyAlignment="1" applyProtection="1">
      <protection locked="0"/>
    </xf>
    <xf numFmtId="9" fontId="40" fillId="0" borderId="13" xfId="2" applyNumberFormat="1" applyFont="1" applyBorder="1" applyAlignment="1" applyProtection="1">
      <protection locked="0"/>
    </xf>
    <xf numFmtId="0" fontId="3" fillId="0" borderId="3" xfId="2" applyNumberFormat="1" applyFont="1" applyBorder="1" applyAlignment="1" applyProtection="1">
      <protection locked="0"/>
    </xf>
    <xf numFmtId="2" fontId="3" fillId="0" borderId="12" xfId="2" applyNumberFormat="1" applyFont="1" applyBorder="1" applyAlignment="1" applyProtection="1">
      <protection locked="0"/>
    </xf>
    <xf numFmtId="2" fontId="3" fillId="0" borderId="13" xfId="2" applyNumberFormat="1" applyFont="1" applyBorder="1" applyAlignment="1" applyProtection="1">
      <protection locked="0"/>
    </xf>
    <xf numFmtId="164" fontId="6" fillId="0" borderId="9" xfId="2" applyNumberFormat="1" applyFont="1" applyBorder="1" applyAlignment="1">
      <alignment horizontal="center"/>
    </xf>
    <xf numFmtId="0" fontId="40" fillId="0" borderId="0" xfId="2" applyFont="1" applyBorder="1" applyAlignment="1">
      <alignment horizontal="center"/>
    </xf>
    <xf numFmtId="0" fontId="39" fillId="0" borderId="0" xfId="2" applyFont="1" applyBorder="1" applyAlignment="1">
      <alignment horizontal="right"/>
    </xf>
    <xf numFmtId="0" fontId="39" fillId="0" borderId="0" xfId="2" applyNumberFormat="1" applyFont="1" applyAlignment="1" applyProtection="1">
      <protection locked="0"/>
    </xf>
    <xf numFmtId="0" fontId="40" fillId="0" borderId="5" xfId="2" applyFont="1" applyBorder="1" applyAlignment="1">
      <alignment horizontal="center"/>
    </xf>
    <xf numFmtId="0" fontId="39" fillId="0" borderId="5" xfId="2" applyFont="1" applyBorder="1" applyAlignment="1">
      <alignment horizontal="right"/>
    </xf>
    <xf numFmtId="168" fontId="41" fillId="0" borderId="0" xfId="2" applyNumberFormat="1" applyFont="1" applyAlignment="1"/>
    <xf numFmtId="2" fontId="41" fillId="0" borderId="0" xfId="2" applyNumberFormat="1" applyFont="1" applyAlignment="1"/>
    <xf numFmtId="168" fontId="40" fillId="0" borderId="0" xfId="2" applyNumberFormat="1" applyFont="1" applyAlignment="1"/>
    <xf numFmtId="2" fontId="40" fillId="0" borderId="0" xfId="2" applyNumberFormat="1" applyFont="1" applyAlignment="1"/>
    <xf numFmtId="168" fontId="41" fillId="0" borderId="5" xfId="2" applyNumberFormat="1" applyFont="1" applyBorder="1" applyAlignment="1"/>
    <xf numFmtId="168" fontId="40" fillId="0" borderId="11" xfId="2" applyNumberFormat="1" applyFont="1" applyBorder="1" applyAlignment="1"/>
    <xf numFmtId="168" fontId="40" fillId="0" borderId="3" xfId="2" applyNumberFormat="1" applyFont="1" applyBorder="1" applyAlignment="1"/>
    <xf numFmtId="0" fontId="9" fillId="0" borderId="11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7" fillId="0" borderId="0" xfId="2" applyNumberFormat="1" applyFont="1" applyBorder="1" applyAlignment="1"/>
    <xf numFmtId="0" fontId="6" fillId="0" borderId="1" xfId="2" applyNumberFormat="1" applyFont="1" applyBorder="1" applyAlignment="1" applyProtection="1">
      <alignment horizontal="center"/>
      <protection locked="0"/>
    </xf>
    <xf numFmtId="0" fontId="16" fillId="0" borderId="0" xfId="2" applyFont="1" applyBorder="1" applyAlignment="1"/>
    <xf numFmtId="0" fontId="11" fillId="0" borderId="5" xfId="2" applyNumberFormat="1" applyFont="1" applyBorder="1" applyAlignment="1">
      <alignment horizontal="right"/>
    </xf>
    <xf numFmtId="2" fontId="39" fillId="0" borderId="0" xfId="2" applyNumberFormat="1" applyFont="1" applyBorder="1" applyAlignment="1">
      <alignment horizontal="right"/>
    </xf>
    <xf numFmtId="1" fontId="39" fillId="0" borderId="0" xfId="2" applyNumberFormat="1" applyFont="1" applyBorder="1" applyAlignment="1">
      <alignment horizontal="left"/>
    </xf>
    <xf numFmtId="0" fontId="10" fillId="0" borderId="0" xfId="2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0" fillId="0" borderId="0" xfId="2" applyNumberFormat="1" applyFont="1" applyAlignment="1" applyProtection="1">
      <protection locked="0"/>
    </xf>
    <xf numFmtId="0" fontId="10" fillId="0" borderId="5" xfId="2" applyNumberFormat="1" applyFont="1" applyBorder="1" applyAlignment="1" applyProtection="1">
      <protection locked="0"/>
    </xf>
    <xf numFmtId="1" fontId="7" fillId="0" borderId="0" xfId="2" applyNumberFormat="1" applyFont="1" applyBorder="1" applyAlignment="1">
      <alignment horizontal="center"/>
    </xf>
    <xf numFmtId="0" fontId="10" fillId="0" borderId="0" xfId="2" applyNumberFormat="1" applyFont="1" applyFill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166" fontId="41" fillId="0" borderId="5" xfId="2" applyNumberFormat="1" applyFont="1" applyBorder="1" applyAlignment="1"/>
    <xf numFmtId="0" fontId="4" fillId="0" borderId="0" xfId="3" applyFont="1"/>
    <xf numFmtId="0" fontId="10" fillId="0" borderId="3" xfId="2" applyNumberFormat="1" applyFont="1" applyBorder="1" applyAlignment="1" applyProtection="1">
      <alignment horizontal="right"/>
      <protection locked="0"/>
    </xf>
    <xf numFmtId="0" fontId="43" fillId="0" borderId="9" xfId="2" applyNumberFormat="1" applyFont="1" applyFill="1" applyBorder="1" applyAlignment="1" applyProtection="1">
      <protection locked="0"/>
    </xf>
    <xf numFmtId="165" fontId="6" fillId="0" borderId="0" xfId="2" applyNumberFormat="1" applyFont="1" applyBorder="1" applyAlignment="1" applyProtection="1">
      <protection locked="0"/>
    </xf>
    <xf numFmtId="165" fontId="6" fillId="0" borderId="0" xfId="2" applyNumberFormat="1" applyFont="1" applyAlignment="1" applyProtection="1">
      <protection locked="0"/>
    </xf>
    <xf numFmtId="2" fontId="44" fillId="0" borderId="2" xfId="2" applyNumberFormat="1" applyFont="1" applyBorder="1" applyAlignment="1" applyProtection="1">
      <protection locked="0"/>
    </xf>
    <xf numFmtId="0" fontId="38" fillId="0" borderId="0" xfId="0" applyFont="1"/>
    <xf numFmtId="0" fontId="5" fillId="0" borderId="11" xfId="2" applyFont="1" applyBorder="1" applyAlignment="1"/>
    <xf numFmtId="164" fontId="28" fillId="0" borderId="0" xfId="2" applyNumberFormat="1" applyFont="1" applyAlignment="1" applyProtection="1">
      <protection locked="0"/>
    </xf>
    <xf numFmtId="0" fontId="37" fillId="0" borderId="0" xfId="0" applyFont="1" applyAlignment="1"/>
    <xf numFmtId="0" fontId="2" fillId="0" borderId="0" xfId="1" applyAlignment="1" applyProtection="1"/>
    <xf numFmtId="2" fontId="16" fillId="0" borderId="0" xfId="2" applyNumberFormat="1" applyFont="1" applyBorder="1" applyAlignment="1"/>
    <xf numFmtId="0" fontId="37" fillId="0" borderId="0" xfId="0" applyFont="1" applyBorder="1"/>
    <xf numFmtId="1" fontId="6" fillId="0" borderId="0" xfId="2" applyNumberFormat="1" applyFont="1" applyAlignment="1" applyProtection="1">
      <protection locked="0"/>
    </xf>
    <xf numFmtId="0" fontId="5" fillId="0" borderId="9" xfId="2" applyNumberFormat="1" applyFont="1" applyBorder="1" applyAlignment="1" applyProtection="1">
      <alignment horizontal="right"/>
      <protection locked="0"/>
    </xf>
    <xf numFmtId="0" fontId="9" fillId="0" borderId="5" xfId="2" applyFont="1" applyBorder="1" applyAlignment="1"/>
    <xf numFmtId="15" fontId="37" fillId="0" borderId="0" xfId="0" applyNumberFormat="1" applyFont="1" applyBorder="1" applyAlignment="1">
      <alignment horizontal="center"/>
    </xf>
    <xf numFmtId="2" fontId="16" fillId="0" borderId="0" xfId="3" applyNumberFormat="1" applyFont="1"/>
    <xf numFmtId="0" fontId="23" fillId="0" borderId="0" xfId="2" applyFont="1" applyBorder="1" applyAlignment="1"/>
    <xf numFmtId="2" fontId="23" fillId="0" borderId="0" xfId="2" applyNumberFormat="1" applyFont="1" applyBorder="1" applyAlignment="1"/>
    <xf numFmtId="0" fontId="45" fillId="0" borderId="0" xfId="0" applyFont="1"/>
    <xf numFmtId="0" fontId="46" fillId="0" borderId="0" xfId="0" applyFont="1" applyBorder="1"/>
    <xf numFmtId="0" fontId="46" fillId="0" borderId="0" xfId="2" applyFont="1" applyBorder="1" applyAlignment="1">
      <alignment horizontal="center"/>
    </xf>
    <xf numFmtId="170" fontId="19" fillId="0" borderId="0" xfId="2" applyNumberFormat="1" applyFont="1" applyBorder="1" applyAlignment="1"/>
    <xf numFmtId="0" fontId="46" fillId="0" borderId="0" xfId="0" applyFont="1" applyAlignment="1">
      <alignment horizontal="center"/>
    </xf>
    <xf numFmtId="0" fontId="19" fillId="0" borderId="0" xfId="2" applyNumberFormat="1" applyFont="1" applyAlignment="1" applyProtection="1">
      <protection locked="0"/>
    </xf>
    <xf numFmtId="15" fontId="49" fillId="0" borderId="0" xfId="0" applyNumberFormat="1" applyFont="1"/>
    <xf numFmtId="0" fontId="48" fillId="0" borderId="0" xfId="0" applyFont="1"/>
    <xf numFmtId="0" fontId="49" fillId="0" borderId="0" xfId="0" applyFont="1" applyBorder="1"/>
    <xf numFmtId="2" fontId="21" fillId="0" borderId="2" xfId="2" applyNumberFormat="1" applyFont="1" applyBorder="1" applyAlignment="1">
      <alignment horizontal="center"/>
    </xf>
    <xf numFmtId="2" fontId="24" fillId="0" borderId="0" xfId="2" applyNumberFormat="1" applyFont="1" applyAlignment="1">
      <alignment horizontal="center"/>
    </xf>
    <xf numFmtId="2" fontId="21" fillId="0" borderId="0" xfId="2" applyNumberFormat="1" applyFont="1" applyAlignment="1">
      <alignment horizontal="center"/>
    </xf>
    <xf numFmtId="2" fontId="24" fillId="0" borderId="5" xfId="2" applyNumberFormat="1" applyFont="1" applyBorder="1" applyAlignment="1">
      <alignment horizontal="center"/>
    </xf>
    <xf numFmtId="0" fontId="48" fillId="0" borderId="0" xfId="2" applyFont="1" applyAlignment="1">
      <alignment horizontal="left"/>
    </xf>
    <xf numFmtId="0" fontId="49" fillId="0" borderId="0" xfId="2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2" fontId="47" fillId="0" borderId="0" xfId="2" applyNumberFormat="1" applyFont="1" applyAlignment="1" applyProtection="1">
      <protection locked="0"/>
    </xf>
    <xf numFmtId="0" fontId="3" fillId="0" borderId="4" xfId="2" applyNumberFormat="1" applyFont="1" applyBorder="1" applyAlignment="1" applyProtection="1">
      <protection locked="0"/>
    </xf>
    <xf numFmtId="175" fontId="16" fillId="0" borderId="5" xfId="2" applyNumberFormat="1" applyFont="1" applyBorder="1" applyAlignment="1" applyProtection="1">
      <protection locked="0"/>
    </xf>
    <xf numFmtId="0" fontId="3" fillId="0" borderId="13" xfId="2" applyNumberFormat="1" applyFont="1" applyBorder="1" applyAlignment="1" applyProtection="1">
      <protection locked="0"/>
    </xf>
    <xf numFmtId="0" fontId="3" fillId="0" borderId="11" xfId="2" applyNumberFormat="1" applyFont="1" applyBorder="1" applyAlignment="1" applyProtection="1">
      <alignment horizontal="right"/>
      <protection locked="0"/>
    </xf>
    <xf numFmtId="0" fontId="42" fillId="0" borderId="3" xfId="2" applyNumberFormat="1" applyFont="1" applyBorder="1" applyAlignment="1" applyProtection="1">
      <protection locked="0"/>
    </xf>
    <xf numFmtId="0" fontId="3" fillId="0" borderId="12" xfId="2" applyNumberFormat="1" applyFont="1" applyBorder="1" applyAlignment="1" applyProtection="1">
      <protection locked="0"/>
    </xf>
    <xf numFmtId="0" fontId="49" fillId="0" borderId="0" xfId="0" applyFont="1" applyAlignment="1"/>
    <xf numFmtId="0" fontId="49" fillId="0" borderId="0" xfId="0" applyFont="1"/>
    <xf numFmtId="0" fontId="26" fillId="0" borderId="0" xfId="1" applyFont="1" applyBorder="1" applyAlignment="1" applyProtection="1">
      <alignment horizontal="right"/>
    </xf>
    <xf numFmtId="0" fontId="2" fillId="0" borderId="0" xfId="1" applyBorder="1" applyAlignment="1" applyProtection="1"/>
    <xf numFmtId="164" fontId="50" fillId="0" borderId="14" xfId="2" applyNumberFormat="1" applyFont="1" applyBorder="1" applyAlignment="1">
      <alignment horizontal="center"/>
    </xf>
    <xf numFmtId="164" fontId="47" fillId="0" borderId="10" xfId="2" applyNumberFormat="1" applyFont="1" applyBorder="1" applyAlignment="1">
      <alignment horizontal="center"/>
    </xf>
    <xf numFmtId="164" fontId="50" fillId="0" borderId="10" xfId="2" applyNumberFormat="1" applyFont="1" applyBorder="1" applyAlignment="1">
      <alignment horizontal="center"/>
    </xf>
    <xf numFmtId="164" fontId="47" fillId="0" borderId="13" xfId="2" applyNumberFormat="1" applyFont="1" applyBorder="1" applyAlignment="1">
      <alignment horizontal="center"/>
    </xf>
    <xf numFmtId="0" fontId="51" fillId="0" borderId="15" xfId="2" applyFont="1" applyBorder="1" applyAlignment="1">
      <alignment horizontal="right"/>
    </xf>
    <xf numFmtId="0" fontId="51" fillId="0" borderId="7" xfId="2" applyFont="1" applyBorder="1" applyAlignment="1">
      <alignment horizontal="center"/>
    </xf>
    <xf numFmtId="0" fontId="51" fillId="0" borderId="10" xfId="2" applyFont="1" applyBorder="1" applyAlignment="1">
      <alignment horizontal="center"/>
    </xf>
    <xf numFmtId="0" fontId="51" fillId="0" borderId="10" xfId="2" applyNumberFormat="1" applyFont="1" applyBorder="1" applyAlignment="1" applyProtection="1">
      <alignment horizontal="center"/>
      <protection locked="0"/>
    </xf>
    <xf numFmtId="0" fontId="49" fillId="0" borderId="0" xfId="1" applyFont="1" applyBorder="1" applyAlignment="1" applyProtection="1"/>
    <xf numFmtId="0" fontId="52" fillId="0" borderId="0" xfId="1" applyNumberFormat="1" applyFont="1" applyBorder="1" applyAlignment="1">
      <alignment horizontal="right"/>
      <protection locked="0"/>
    </xf>
    <xf numFmtId="0" fontId="48" fillId="0" borderId="0" xfId="0" applyFont="1" applyAlignment="1">
      <alignment horizontal="right"/>
    </xf>
    <xf numFmtId="0" fontId="53" fillId="0" borderId="0" xfId="1" applyFont="1" applyAlignment="1" applyProtection="1"/>
    <xf numFmtId="0" fontId="49" fillId="0" borderId="3" xfId="2" applyNumberFormat="1" applyFont="1" applyBorder="1" applyAlignment="1" applyProtection="1">
      <alignment horizontal="center"/>
      <protection locked="0"/>
    </xf>
    <xf numFmtId="15" fontId="49" fillId="0" borderId="3" xfId="2" applyNumberFormat="1" applyFont="1" applyBorder="1" applyAlignment="1">
      <alignment horizontal="center"/>
    </xf>
    <xf numFmtId="0" fontId="55" fillId="0" borderId="0" xfId="0" applyNumberFormat="1" applyFont="1" applyFill="1" applyBorder="1" applyAlignment="1">
      <alignment vertical="center"/>
    </xf>
    <xf numFmtId="0" fontId="55" fillId="0" borderId="0" xfId="0" applyNumberFormat="1" applyFont="1" applyFill="1" applyBorder="1" applyAlignment="1">
      <alignment horizontal="center" vertical="center"/>
    </xf>
    <xf numFmtId="176" fontId="55" fillId="0" borderId="0" xfId="0" applyNumberFormat="1" applyFont="1" applyFill="1" applyBorder="1" applyAlignment="1">
      <alignment horizontal="center" vertical="center"/>
    </xf>
    <xf numFmtId="164" fontId="55" fillId="0" borderId="0" xfId="0" applyNumberFormat="1" applyFont="1" applyFill="1" applyBorder="1" applyAlignment="1">
      <alignment horizontal="center" vertical="center"/>
    </xf>
    <xf numFmtId="169" fontId="11" fillId="3" borderId="7" xfId="2" applyNumberFormat="1" applyFont="1" applyFill="1" applyBorder="1" applyAlignment="1">
      <alignment horizontal="center"/>
    </xf>
    <xf numFmtId="2" fontId="11" fillId="3" borderId="0" xfId="2" applyNumberFormat="1" applyFont="1" applyFill="1" applyBorder="1" applyAlignment="1">
      <alignment horizontal="center"/>
    </xf>
    <xf numFmtId="164" fontId="11" fillId="3" borderId="9" xfId="2" applyNumberFormat="1" applyFont="1" applyFill="1" applyBorder="1" applyAlignment="1">
      <alignment horizontal="center"/>
    </xf>
    <xf numFmtId="3" fontId="11" fillId="3" borderId="0" xfId="2" applyNumberFormat="1" applyFont="1" applyFill="1" applyBorder="1" applyAlignment="1">
      <alignment horizontal="center"/>
    </xf>
    <xf numFmtId="1" fontId="11" fillId="3" borderId="0" xfId="2" applyNumberFormat="1" applyFont="1" applyFill="1" applyBorder="1" applyAlignment="1">
      <alignment horizontal="center"/>
    </xf>
    <xf numFmtId="0" fontId="41" fillId="3" borderId="0" xfId="2" applyNumberFormat="1" applyFont="1" applyFill="1" applyAlignment="1" applyProtection="1">
      <alignment horizontal="center"/>
      <protection locked="0"/>
    </xf>
    <xf numFmtId="164" fontId="16" fillId="3" borderId="9" xfId="2" applyNumberFormat="1" applyFont="1" applyFill="1" applyBorder="1" applyAlignment="1">
      <alignment horizontal="center"/>
    </xf>
    <xf numFmtId="2" fontId="15" fillId="3" borderId="0" xfId="2" applyNumberFormat="1" applyFont="1" applyFill="1" applyAlignment="1"/>
    <xf numFmtId="2" fontId="15" fillId="3" borderId="0" xfId="2" applyNumberFormat="1" applyFont="1" applyFill="1" applyAlignment="1">
      <alignment horizontal="right"/>
    </xf>
    <xf numFmtId="2" fontId="41" fillId="3" borderId="0" xfId="2" applyNumberFormat="1" applyFont="1" applyFill="1" applyAlignment="1" applyProtection="1">
      <protection locked="0"/>
    </xf>
    <xf numFmtId="2" fontId="11" fillId="3" borderId="0" xfId="2" applyNumberFormat="1" applyFont="1" applyFill="1" applyAlignment="1"/>
    <xf numFmtId="2" fontId="15" fillId="3" borderId="0" xfId="2" applyNumberFormat="1" applyFont="1" applyFill="1" applyBorder="1" applyAlignment="1"/>
    <xf numFmtId="2" fontId="15" fillId="3" borderId="0" xfId="2" applyNumberFormat="1" applyFont="1" applyFill="1" applyBorder="1" applyAlignment="1" applyProtection="1">
      <protection locked="0"/>
    </xf>
    <xf numFmtId="166" fontId="41" fillId="3" borderId="0" xfId="2" applyNumberFormat="1" applyFont="1" applyFill="1" applyBorder="1" applyAlignment="1"/>
    <xf numFmtId="0" fontId="11" fillId="3" borderId="0" xfId="2" applyFont="1" applyFill="1" applyBorder="1" applyAlignment="1">
      <alignment horizontal="center"/>
    </xf>
    <xf numFmtId="0" fontId="25" fillId="3" borderId="0" xfId="2" applyNumberFormat="1" applyFont="1" applyFill="1" applyAlignment="1"/>
    <xf numFmtId="0" fontId="25" fillId="3" borderId="0" xfId="2" applyNumberFormat="1" applyFont="1" applyFill="1" applyAlignment="1" applyProtection="1">
      <protection locked="0"/>
    </xf>
    <xf numFmtId="168" fontId="25" fillId="3" borderId="0" xfId="2" applyNumberFormat="1" applyFont="1" applyFill="1" applyAlignment="1"/>
    <xf numFmtId="168" fontId="41" fillId="3" borderId="0" xfId="2" applyNumberFormat="1" applyFont="1" applyFill="1" applyAlignment="1"/>
    <xf numFmtId="2" fontId="41" fillId="3" borderId="0" xfId="2" applyNumberFormat="1" applyFont="1" applyFill="1" applyAlignment="1"/>
    <xf numFmtId="0" fontId="16" fillId="3" borderId="0" xfId="2" applyNumberFormat="1" applyFont="1" applyFill="1" applyAlignment="1" applyProtection="1">
      <protection locked="0"/>
    </xf>
    <xf numFmtId="0" fontId="56" fillId="0" borderId="11" xfId="2" applyNumberFormat="1" applyFont="1" applyBorder="1" applyAlignment="1"/>
    <xf numFmtId="0" fontId="6" fillId="0" borderId="3" xfId="2" applyNumberFormat="1" applyFont="1" applyBorder="1" applyAlignment="1"/>
    <xf numFmtId="0" fontId="6" fillId="0" borderId="12" xfId="2" applyNumberFormat="1" applyFont="1" applyBorder="1" applyAlignment="1"/>
    <xf numFmtId="0" fontId="6" fillId="0" borderId="10" xfId="2" applyNumberFormat="1" applyFont="1" applyBorder="1" applyAlignment="1"/>
    <xf numFmtId="165" fontId="6" fillId="0" borderId="0" xfId="2" applyNumberFormat="1" applyFont="1" applyBorder="1" applyAlignment="1"/>
    <xf numFmtId="164" fontId="6" fillId="0" borderId="0" xfId="2" applyNumberFormat="1" applyFont="1" applyBorder="1" applyAlignment="1"/>
    <xf numFmtId="0" fontId="10" fillId="0" borderId="9" xfId="2" applyNumberFormat="1" applyFont="1" applyFill="1" applyBorder="1" applyAlignment="1"/>
    <xf numFmtId="0" fontId="16" fillId="0" borderId="3" xfId="2" applyFont="1" applyBorder="1" applyAlignment="1">
      <alignment horizontal="right"/>
    </xf>
    <xf numFmtId="0" fontId="6" fillId="0" borderId="12" xfId="2" applyFont="1" applyBorder="1" applyAlignment="1"/>
    <xf numFmtId="0" fontId="6" fillId="0" borderId="3" xfId="2" applyFont="1" applyBorder="1" applyAlignment="1">
      <alignment horizontal="right"/>
    </xf>
    <xf numFmtId="2" fontId="6" fillId="0" borderId="3" xfId="2" applyNumberFormat="1" applyFont="1" applyBorder="1" applyAlignment="1">
      <alignment horizontal="right"/>
    </xf>
    <xf numFmtId="1" fontId="6" fillId="0" borderId="0" xfId="2" applyNumberFormat="1" applyFont="1" applyBorder="1" applyAlignment="1"/>
    <xf numFmtId="0" fontId="6" fillId="0" borderId="10" xfId="2" applyFont="1" applyBorder="1" applyAlignment="1"/>
    <xf numFmtId="0" fontId="10" fillId="0" borderId="0" xfId="2" applyNumberFormat="1" applyFont="1" applyFill="1" applyAlignment="1" applyProtection="1">
      <protection locked="0"/>
    </xf>
    <xf numFmtId="0" fontId="6" fillId="0" borderId="0" xfId="3" applyFont="1"/>
    <xf numFmtId="0" fontId="6" fillId="0" borderId="13" xfId="2" applyFont="1" applyBorder="1" applyAlignment="1"/>
    <xf numFmtId="0" fontId="10" fillId="0" borderId="10" xfId="2" applyFont="1" applyBorder="1" applyAlignment="1">
      <alignment horizontal="left"/>
    </xf>
    <xf numFmtId="0" fontId="28" fillId="0" borderId="0" xfId="2" applyFont="1" applyBorder="1" applyAlignment="1"/>
    <xf numFmtId="0" fontId="6" fillId="0" borderId="0" xfId="2" applyFont="1" applyBorder="1" applyAlignment="1">
      <alignment horizontal="left"/>
    </xf>
    <xf numFmtId="0" fontId="6" fillId="0" borderId="10" xfId="2" applyFont="1" applyBorder="1" applyAlignment="1">
      <alignment horizontal="left"/>
    </xf>
    <xf numFmtId="0" fontId="28" fillId="0" borderId="5" xfId="2" applyFont="1" applyBorder="1" applyAlignment="1"/>
    <xf numFmtId="0" fontId="6" fillId="0" borderId="5" xfId="2" applyFont="1" applyBorder="1" applyAlignment="1">
      <alignment horizontal="right"/>
    </xf>
    <xf numFmtId="2" fontId="6" fillId="0" borderId="0" xfId="2" applyNumberFormat="1" applyFont="1" applyBorder="1" applyAlignment="1">
      <alignment horizontal="right"/>
    </xf>
    <xf numFmtId="0" fontId="6" fillId="0" borderId="9" xfId="2" applyFont="1" applyFill="1" applyBorder="1" applyAlignment="1">
      <alignment horizontal="left"/>
    </xf>
    <xf numFmtId="0" fontId="10" fillId="0" borderId="11" xfId="2" applyNumberFormat="1" applyFont="1" applyBorder="1" applyAlignment="1" applyProtection="1">
      <alignment horizontal="right"/>
      <protection locked="0"/>
    </xf>
    <xf numFmtId="0" fontId="10" fillId="0" borderId="12" xfId="2" applyNumberFormat="1" applyFont="1" applyBorder="1" applyAlignment="1" applyProtection="1">
      <protection locked="0"/>
    </xf>
    <xf numFmtId="0" fontId="16" fillId="0" borderId="0" xfId="2" applyNumberFormat="1" applyFont="1" applyBorder="1" applyAlignment="1"/>
    <xf numFmtId="2" fontId="6" fillId="0" borderId="9" xfId="2" applyNumberFormat="1" applyFont="1" applyFill="1" applyBorder="1" applyAlignment="1"/>
    <xf numFmtId="0" fontId="10" fillId="0" borderId="4" xfId="2" applyNumberFormat="1" applyFont="1" applyBorder="1" applyAlignment="1" applyProtection="1">
      <protection locked="0"/>
    </xf>
    <xf numFmtId="0" fontId="10" fillId="0" borderId="13" xfId="2" applyNumberFormat="1" applyFont="1" applyBorder="1" applyAlignment="1" applyProtection="1">
      <protection locked="0"/>
    </xf>
    <xf numFmtId="2" fontId="10" fillId="0" borderId="0" xfId="2" applyNumberFormat="1" applyFont="1" applyBorder="1" applyAlignment="1">
      <alignment horizontal="right"/>
    </xf>
    <xf numFmtId="0" fontId="6" fillId="0" borderId="11" xfId="2" applyFont="1" applyBorder="1" applyAlignment="1"/>
    <xf numFmtId="0" fontId="10" fillId="0" borderId="0" xfId="2" applyFont="1" applyBorder="1" applyAlignment="1">
      <alignment horizontal="right"/>
    </xf>
    <xf numFmtId="0" fontId="10" fillId="0" borderId="9" xfId="2" applyNumberFormat="1" applyFont="1" applyBorder="1" applyAlignment="1" applyProtection="1">
      <protection locked="0"/>
    </xf>
    <xf numFmtId="2" fontId="10" fillId="0" borderId="0" xfId="2" applyNumberFormat="1" applyFont="1" applyBorder="1" applyAlignment="1"/>
    <xf numFmtId="0" fontId="16" fillId="0" borderId="0" xfId="2" applyFont="1" applyBorder="1" applyAlignment="1">
      <alignment horizontal="right"/>
    </xf>
    <xf numFmtId="2" fontId="6" fillId="2" borderId="0" xfId="2" applyNumberFormat="1" applyFont="1" applyFill="1" applyBorder="1" applyAlignment="1"/>
    <xf numFmtId="1" fontId="16" fillId="0" borderId="0" xfId="2" applyNumberFormat="1" applyFont="1" applyBorder="1" applyAlignment="1"/>
    <xf numFmtId="0" fontId="42" fillId="0" borderId="0" xfId="2" applyNumberFormat="1" applyFont="1" applyAlignment="1" applyProtection="1">
      <protection locked="0"/>
    </xf>
    <xf numFmtId="0" fontId="10" fillId="0" borderId="9" xfId="2" applyFont="1" applyBorder="1" applyAlignment="1"/>
    <xf numFmtId="0" fontId="10" fillId="0" borderId="0" xfId="2" applyNumberFormat="1" applyFont="1" applyBorder="1" applyAlignment="1" applyProtection="1">
      <protection locked="0"/>
    </xf>
    <xf numFmtId="1" fontId="10" fillId="0" borderId="10" xfId="2" applyNumberFormat="1" applyFont="1" applyBorder="1" applyAlignment="1">
      <alignment horizontal="left"/>
    </xf>
    <xf numFmtId="170" fontId="6" fillId="0" borderId="0" xfId="2" applyNumberFormat="1" applyFont="1" applyBorder="1" applyAlignment="1"/>
    <xf numFmtId="2" fontId="10" fillId="0" borderId="10" xfId="2" applyNumberFormat="1" applyFont="1" applyBorder="1" applyAlignment="1"/>
    <xf numFmtId="0" fontId="10" fillId="0" borderId="10" xfId="2" applyFont="1" applyBorder="1" applyAlignment="1"/>
    <xf numFmtId="0" fontId="16" fillId="0" borderId="10" xfId="2" applyNumberFormat="1" applyFont="1" applyBorder="1" applyAlignment="1" applyProtection="1">
      <protection locked="0"/>
    </xf>
    <xf numFmtId="0" fontId="57" fillId="0" borderId="0" xfId="1" applyNumberFormat="1" applyFont="1" applyBorder="1" applyAlignment="1">
      <alignment horizontal="right"/>
      <protection locked="0"/>
    </xf>
    <xf numFmtId="0" fontId="14" fillId="4" borderId="0" xfId="2" applyNumberFormat="1" applyFont="1" applyFill="1" applyBorder="1" applyAlignment="1"/>
    <xf numFmtId="0" fontId="14" fillId="4" borderId="0" xfId="2" applyNumberFormat="1" applyFont="1" applyFill="1" applyBorder="1" applyAlignment="1">
      <alignment horizontal="right"/>
    </xf>
    <xf numFmtId="15" fontId="55" fillId="0" borderId="0" xfId="0" applyNumberFormat="1" applyFont="1" applyFill="1" applyBorder="1" applyAlignment="1">
      <alignment vertical="center"/>
    </xf>
    <xf numFmtId="164" fontId="55" fillId="0" borderId="0" xfId="0" applyNumberFormat="1" applyFont="1" applyFill="1" applyBorder="1" applyAlignment="1">
      <alignment vertical="center"/>
    </xf>
    <xf numFmtId="164" fontId="55" fillId="0" borderId="0" xfId="0" applyNumberFormat="1" applyFont="1" applyFill="1" applyBorder="1" applyAlignment="1">
      <alignment horizontal="right" vertical="center"/>
    </xf>
    <xf numFmtId="165" fontId="55" fillId="0" borderId="0" xfId="0" applyNumberFormat="1" applyFont="1" applyFill="1" applyBorder="1" applyAlignment="1">
      <alignment horizontal="right" vertical="center"/>
    </xf>
    <xf numFmtId="164" fontId="55" fillId="0" borderId="0" xfId="0" applyNumberFormat="1" applyFont="1" applyFill="1" applyBorder="1" applyAlignment="1">
      <alignment horizontal="left" vertical="center"/>
    </xf>
    <xf numFmtId="2" fontId="59" fillId="0" borderId="0" xfId="2" applyNumberFormat="1" applyFont="1" applyFill="1" applyAlignment="1"/>
    <xf numFmtId="2" fontId="14" fillId="0" borderId="0" xfId="2" applyNumberFormat="1" applyFont="1" applyFill="1" applyAlignment="1"/>
    <xf numFmtId="2" fontId="59" fillId="3" borderId="0" xfId="2" applyNumberFormat="1" applyFont="1" applyFill="1" applyAlignment="1"/>
    <xf numFmtId="2" fontId="14" fillId="0" borderId="0" xfId="2" applyNumberFormat="1" applyFont="1" applyBorder="1" applyAlignment="1">
      <alignment horizontal="center"/>
    </xf>
    <xf numFmtId="0" fontId="58" fillId="0" borderId="0" xfId="0" applyNumberFormat="1" applyFont="1" applyFill="1" applyBorder="1" applyAlignment="1">
      <alignment vertical="center"/>
    </xf>
    <xf numFmtId="2" fontId="24" fillId="3" borderId="0" xfId="2" applyNumberFormat="1" applyFont="1" applyFill="1" applyBorder="1" applyAlignment="1">
      <alignment horizontal="center"/>
    </xf>
    <xf numFmtId="0" fontId="55" fillId="0" borderId="0" xfId="0" quotePrefix="1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/>
    <xf numFmtId="2" fontId="6" fillId="0" borderId="0" xfId="2" applyNumberFormat="1" applyFont="1" applyFill="1" applyBorder="1" applyAlignment="1"/>
    <xf numFmtId="164" fontId="6" fillId="0" borderId="0" xfId="2" applyNumberFormat="1" applyFont="1" applyFill="1" applyBorder="1" applyAlignment="1"/>
    <xf numFmtId="0" fontId="16" fillId="0" borderId="0" xfId="2" applyFont="1" applyFill="1" applyBorder="1" applyAlignment="1"/>
    <xf numFmtId="2" fontId="11" fillId="0" borderId="3" xfId="2" applyNumberFormat="1" applyFont="1" applyBorder="1" applyAlignment="1"/>
    <xf numFmtId="167" fontId="11" fillId="0" borderId="0" xfId="2" applyNumberFormat="1" applyFont="1" applyBorder="1" applyAlignment="1"/>
    <xf numFmtId="164" fontId="23" fillId="0" borderId="0" xfId="2" applyNumberFormat="1" applyFont="1" applyBorder="1" applyAlignment="1"/>
    <xf numFmtId="0" fontId="16" fillId="5" borderId="5" xfId="2" applyNumberFormat="1" applyFont="1" applyFill="1" applyBorder="1" applyAlignment="1">
      <alignment horizontal="right"/>
    </xf>
    <xf numFmtId="0" fontId="16" fillId="5" borderId="0" xfId="2" applyNumberFormat="1" applyFont="1" applyFill="1" applyBorder="1" applyAlignment="1"/>
    <xf numFmtId="2" fontId="16" fillId="5" borderId="0" xfId="2" applyNumberFormat="1" applyFont="1" applyFill="1" applyBorder="1" applyAlignment="1"/>
    <xf numFmtId="2" fontId="16" fillId="5" borderId="0" xfId="3" applyNumberFormat="1" applyFont="1" applyFill="1"/>
    <xf numFmtId="164" fontId="16" fillId="5" borderId="0" xfId="2" applyNumberFormat="1" applyFont="1" applyFill="1" applyBorder="1" applyAlignment="1"/>
    <xf numFmtId="1" fontId="16" fillId="5" borderId="0" xfId="2" applyNumberFormat="1" applyFont="1" applyFill="1" applyBorder="1" applyAlignment="1"/>
    <xf numFmtId="165" fontId="16" fillId="5" borderId="0" xfId="2" applyNumberFormat="1" applyFont="1" applyFill="1" applyBorder="1" applyAlignment="1"/>
    <xf numFmtId="165" fontId="16" fillId="5" borderId="3" xfId="2" applyNumberFormat="1" applyFont="1" applyFill="1" applyBorder="1" applyAlignment="1"/>
    <xf numFmtId="167" fontId="16" fillId="5" borderId="0" xfId="2" applyNumberFormat="1" applyFont="1" applyFill="1" applyBorder="1" applyAlignment="1"/>
    <xf numFmtId="167" fontId="16" fillId="5" borderId="5" xfId="2" applyNumberFormat="1" applyFont="1" applyFill="1" applyBorder="1" applyAlignment="1"/>
    <xf numFmtId="164" fontId="16" fillId="5" borderId="3" xfId="2" applyNumberFormat="1" applyFont="1" applyFill="1" applyBorder="1" applyAlignment="1"/>
    <xf numFmtId="0" fontId="16" fillId="5" borderId="3" xfId="2" applyFont="1" applyFill="1" applyBorder="1" applyAlignment="1"/>
    <xf numFmtId="165" fontId="16" fillId="0" borderId="0" xfId="2" applyNumberFormat="1" applyFont="1" applyBorder="1" applyAlignment="1"/>
    <xf numFmtId="2" fontId="14" fillId="0" borderId="3" xfId="2" applyNumberFormat="1" applyFont="1" applyBorder="1" applyAlignment="1"/>
    <xf numFmtId="0" fontId="8" fillId="0" borderId="10" xfId="2" applyNumberFormat="1" applyFont="1" applyBorder="1" applyAlignment="1">
      <alignment horizontal="center"/>
    </xf>
    <xf numFmtId="2" fontId="47" fillId="3" borderId="10" xfId="2" applyNumberFormat="1" applyFont="1" applyFill="1" applyBorder="1" applyAlignment="1">
      <alignment horizontal="center"/>
    </xf>
    <xf numFmtId="0" fontId="61" fillId="0" borderId="0" xfId="0" applyFont="1"/>
    <xf numFmtId="0" fontId="3" fillId="0" borderId="0" xfId="2" applyNumberFormat="1" applyFont="1" applyAlignment="1"/>
    <xf numFmtId="2" fontId="61" fillId="0" borderId="0" xfId="2" applyNumberFormat="1" applyFont="1" applyAlignment="1">
      <alignment horizontal="center"/>
    </xf>
    <xf numFmtId="0" fontId="3" fillId="0" borderId="5" xfId="2" applyNumberFormat="1" applyFont="1" applyBorder="1" applyAlignment="1"/>
    <xf numFmtId="2" fontId="62" fillId="0" borderId="0" xfId="2" applyNumberFormat="1" applyFont="1" applyBorder="1" applyAlignment="1"/>
    <xf numFmtId="0" fontId="21" fillId="0" borderId="2" xfId="2" applyNumberFormat="1" applyFont="1" applyBorder="1" applyAlignment="1" applyProtection="1">
      <protection locked="0"/>
    </xf>
    <xf numFmtId="0" fontId="10" fillId="0" borderId="0" xfId="2" applyNumberFormat="1" applyFont="1" applyFill="1" applyBorder="1" applyAlignment="1"/>
    <xf numFmtId="0" fontId="64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/>
    <xf numFmtId="0" fontId="6" fillId="0" borderId="0" xfId="2" applyNumberFormat="1" applyFont="1" applyAlignment="1" applyProtection="1">
      <alignment horizontal="center" vertical="center"/>
      <protection locked="0"/>
    </xf>
    <xf numFmtId="165" fontId="6" fillId="0" borderId="0" xfId="2" applyNumberFormat="1" applyFont="1" applyAlignment="1" applyProtection="1">
      <alignment horizontal="center" vertical="center"/>
      <protection locked="0"/>
    </xf>
    <xf numFmtId="2" fontId="6" fillId="0" borderId="0" xfId="2" applyNumberFormat="1" applyFont="1" applyAlignment="1" applyProtection="1">
      <alignment horizontal="center" vertical="center"/>
      <protection locked="0"/>
    </xf>
    <xf numFmtId="2" fontId="5" fillId="0" borderId="0" xfId="2" applyNumberFormat="1" applyFont="1" applyAlignment="1">
      <alignment horizontal="center" vertical="center"/>
    </xf>
    <xf numFmtId="2" fontId="65" fillId="0" borderId="0" xfId="2" applyNumberFormat="1" applyFont="1" applyAlignment="1"/>
    <xf numFmtId="0" fontId="4" fillId="0" borderId="0" xfId="2" applyNumberFormat="1" applyFont="1" applyBorder="1" applyAlignment="1" applyProtection="1">
      <protection locked="0"/>
    </xf>
    <xf numFmtId="2" fontId="4" fillId="0" borderId="0" xfId="2" applyNumberFormat="1" applyFont="1" applyBorder="1" applyAlignment="1"/>
    <xf numFmtId="164" fontId="63" fillId="0" borderId="5" xfId="2" applyNumberFormat="1" applyFont="1" applyFill="1" applyBorder="1" applyAlignment="1">
      <alignment horizontal="right"/>
    </xf>
    <xf numFmtId="0" fontId="57" fillId="0" borderId="0" xfId="2" applyNumberFormat="1" applyFont="1" applyBorder="1" applyAlignment="1"/>
    <xf numFmtId="0" fontId="4" fillId="0" borderId="0" xfId="2" applyNumberFormat="1" applyFont="1" applyBorder="1" applyAlignment="1"/>
    <xf numFmtId="2" fontId="4" fillId="0" borderId="0" xfId="2" applyNumberFormat="1" applyFont="1" applyFill="1" applyBorder="1" applyAlignment="1"/>
    <xf numFmtId="165" fontId="16" fillId="0" borderId="0" xfId="2" applyNumberFormat="1" applyFont="1" applyBorder="1" applyAlignment="1">
      <alignment horizontal="center"/>
    </xf>
    <xf numFmtId="0" fontId="4" fillId="0" borderId="0" xfId="2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center"/>
    </xf>
    <xf numFmtId="0" fontId="4" fillId="0" borderId="0" xfId="2" applyNumberFormat="1" applyFont="1" applyAlignment="1" applyProtection="1">
      <protection locked="0"/>
    </xf>
    <xf numFmtId="0" fontId="4" fillId="0" borderId="0" xfId="2" applyFont="1" applyBorder="1" applyAlignment="1">
      <alignment horizontal="right"/>
    </xf>
    <xf numFmtId="164" fontId="4" fillId="0" borderId="0" xfId="2" applyNumberFormat="1" applyFont="1" applyBorder="1" applyAlignment="1"/>
    <xf numFmtId="0" fontId="16" fillId="0" borderId="0" xfId="2" applyNumberFormat="1" applyFont="1" applyBorder="1" applyAlignment="1">
      <alignment horizontal="center"/>
    </xf>
    <xf numFmtId="164" fontId="16" fillId="0" borderId="0" xfId="2" applyNumberFormat="1" applyFont="1" applyFill="1" applyAlignment="1" applyProtection="1">
      <alignment horizontal="center"/>
      <protection locked="0"/>
    </xf>
    <xf numFmtId="0" fontId="16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/>
    <xf numFmtId="0" fontId="4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Alignment="1" applyProtection="1">
      <protection locked="0"/>
    </xf>
    <xf numFmtId="164" fontId="16" fillId="0" borderId="0" xfId="2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vertical="center"/>
    </xf>
    <xf numFmtId="0" fontId="60" fillId="0" borderId="0" xfId="0" applyNumberFormat="1" applyFont="1" applyFill="1" applyBorder="1" applyAlignment="1">
      <alignment vertical="center"/>
    </xf>
    <xf numFmtId="0" fontId="60" fillId="0" borderId="0" xfId="0" applyNumberFormat="1" applyFont="1" applyFill="1" applyBorder="1" applyAlignment="1">
      <alignment horizontal="center" vertical="center"/>
    </xf>
    <xf numFmtId="2" fontId="60" fillId="0" borderId="0" xfId="2" applyNumberFormat="1" applyFont="1" applyFill="1" applyAlignment="1" applyProtection="1">
      <alignment horizontal="center" vertical="center"/>
      <protection locked="0"/>
    </xf>
    <xf numFmtId="165" fontId="60" fillId="0" borderId="0" xfId="2" applyNumberFormat="1" applyFont="1" applyFill="1" applyAlignment="1" applyProtection="1">
      <alignment horizontal="center" vertical="center"/>
      <protection locked="0"/>
    </xf>
    <xf numFmtId="2" fontId="60" fillId="0" borderId="0" xfId="2" applyNumberFormat="1" applyFont="1" applyAlignment="1" applyProtection="1">
      <alignment horizontal="center" vertical="center"/>
      <protection locked="0"/>
    </xf>
    <xf numFmtId="165" fontId="60" fillId="0" borderId="0" xfId="2" applyNumberFormat="1" applyFont="1" applyAlignment="1" applyProtection="1">
      <alignment horizontal="center" vertical="center"/>
      <protection locked="0"/>
    </xf>
    <xf numFmtId="2" fontId="60" fillId="0" borderId="0" xfId="0" applyNumberFormat="1" applyFont="1" applyFill="1" applyBorder="1" applyAlignment="1">
      <alignment horizontal="center" vertical="center"/>
    </xf>
    <xf numFmtId="0" fontId="60" fillId="0" borderId="0" xfId="2" applyNumberFormat="1" applyFont="1" applyAlignment="1" applyProtection="1">
      <alignment horizontal="center" vertical="center"/>
      <protection locked="0"/>
    </xf>
    <xf numFmtId="171" fontId="60" fillId="0" borderId="0" xfId="2" applyNumberFormat="1" applyFont="1" applyAlignment="1" applyProtection="1">
      <alignment horizontal="center" vertical="center"/>
      <protection locked="0"/>
    </xf>
    <xf numFmtId="171" fontId="60" fillId="0" borderId="0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/>
    <xf numFmtId="0" fontId="67" fillId="0" borderId="0" xfId="2" applyFont="1" applyAlignment="1">
      <alignment horizontal="center"/>
    </xf>
    <xf numFmtId="2" fontId="68" fillId="0" borderId="5" xfId="2" applyNumberFormat="1" applyFont="1" applyBorder="1" applyAlignment="1">
      <alignment horizontal="center"/>
    </xf>
    <xf numFmtId="2" fontId="68" fillId="0" borderId="2" xfId="2" applyNumberFormat="1" applyFont="1" applyBorder="1" applyAlignment="1">
      <alignment horizontal="center"/>
    </xf>
    <xf numFmtId="2" fontId="69" fillId="0" borderId="0" xfId="2" applyNumberFormat="1" applyFont="1" applyBorder="1" applyAlignment="1">
      <alignment horizontal="center"/>
    </xf>
    <xf numFmtId="2" fontId="68" fillId="0" borderId="0" xfId="2" applyNumberFormat="1" applyFont="1" applyBorder="1" applyAlignment="1">
      <alignment horizontal="center"/>
    </xf>
    <xf numFmtId="2" fontId="69" fillId="3" borderId="0" xfId="2" applyNumberFormat="1" applyFont="1" applyFill="1" applyBorder="1" applyAlignment="1">
      <alignment horizontal="center"/>
    </xf>
    <xf numFmtId="2" fontId="69" fillId="0" borderId="5" xfId="2" applyNumberFormat="1" applyFont="1" applyBorder="1" applyAlignment="1">
      <alignment horizontal="center"/>
    </xf>
    <xf numFmtId="2" fontId="67" fillId="0" borderId="12" xfId="2" applyNumberFormat="1" applyFont="1" applyFill="1" applyBorder="1" applyAlignment="1">
      <alignment horizontal="center"/>
    </xf>
    <xf numFmtId="0" fontId="67" fillId="0" borderId="10" xfId="2" applyFont="1" applyBorder="1" applyAlignment="1">
      <alignment horizontal="center"/>
    </xf>
    <xf numFmtId="2" fontId="68" fillId="0" borderId="13" xfId="2" applyNumberFormat="1" applyFont="1" applyFill="1" applyBorder="1" applyAlignment="1">
      <alignment horizontal="center"/>
    </xf>
    <xf numFmtId="2" fontId="68" fillId="0" borderId="14" xfId="2" applyNumberFormat="1" applyFont="1" applyFill="1" applyBorder="1" applyAlignment="1">
      <alignment horizontal="center"/>
    </xf>
    <xf numFmtId="2" fontId="69" fillId="0" borderId="10" xfId="2" applyNumberFormat="1" applyFont="1" applyFill="1" applyBorder="1" applyAlignment="1">
      <alignment horizontal="center"/>
    </xf>
    <xf numFmtId="2" fontId="68" fillId="0" borderId="10" xfId="2" applyNumberFormat="1" applyFont="1" applyFill="1" applyBorder="1" applyAlignment="1">
      <alignment horizontal="center"/>
    </xf>
    <xf numFmtId="2" fontId="69" fillId="3" borderId="10" xfId="2" applyNumberFormat="1" applyFont="1" applyFill="1" applyBorder="1" applyAlignment="1">
      <alignment horizontal="center"/>
    </xf>
    <xf numFmtId="2" fontId="69" fillId="0" borderId="13" xfId="2" applyNumberFormat="1" applyFont="1" applyFill="1" applyBorder="1" applyAlignment="1">
      <alignment horizontal="center"/>
    </xf>
    <xf numFmtId="2" fontId="67" fillId="0" borderId="12" xfId="2" applyNumberFormat="1" applyFont="1" applyBorder="1" applyAlignment="1">
      <alignment horizontal="center"/>
    </xf>
    <xf numFmtId="2" fontId="67" fillId="0" borderId="10" xfId="2" applyNumberFormat="1" applyFont="1" applyBorder="1" applyAlignment="1">
      <alignment horizontal="center"/>
    </xf>
    <xf numFmtId="2" fontId="68" fillId="0" borderId="13" xfId="2" applyNumberFormat="1" applyFont="1" applyBorder="1" applyAlignment="1">
      <alignment horizontal="center"/>
    </xf>
    <xf numFmtId="2" fontId="68" fillId="0" borderId="14" xfId="2" applyNumberFormat="1" applyFont="1" applyBorder="1" applyAlignment="1">
      <alignment horizontal="center"/>
    </xf>
    <xf numFmtId="164" fontId="69" fillId="0" borderId="10" xfId="2" applyNumberFormat="1" applyFont="1" applyBorder="1" applyAlignment="1">
      <alignment horizontal="center"/>
    </xf>
    <xf numFmtId="164" fontId="68" fillId="0" borderId="10" xfId="2" applyNumberFormat="1" applyFont="1" applyBorder="1" applyAlignment="1">
      <alignment horizontal="center"/>
    </xf>
    <xf numFmtId="164" fontId="69" fillId="3" borderId="10" xfId="2" applyNumberFormat="1" applyFont="1" applyFill="1" applyBorder="1" applyAlignment="1">
      <alignment horizontal="center"/>
    </xf>
    <xf numFmtId="164" fontId="69" fillId="0" borderId="13" xfId="2" applyNumberFormat="1" applyFont="1" applyBorder="1" applyAlignment="1">
      <alignment horizontal="center"/>
    </xf>
    <xf numFmtId="0" fontId="6" fillId="0" borderId="0" xfId="2" quotePrefix="1" applyNumberFormat="1" applyFont="1" applyBorder="1" applyAlignment="1" applyProtection="1">
      <protection locked="0"/>
    </xf>
    <xf numFmtId="0" fontId="6" fillId="0" borderId="0" xfId="0" applyFont="1" applyBorder="1" applyAlignment="1"/>
    <xf numFmtId="0" fontId="16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NumberFormat="1" applyFont="1" applyFill="1" applyAlignment="1" applyProtection="1">
      <alignment horizontal="center" vertical="center"/>
      <protection locked="0"/>
    </xf>
    <xf numFmtId="0" fontId="6" fillId="0" borderId="0" xfId="2" applyNumberFormat="1" applyFont="1" applyFill="1" applyAlignment="1" applyProtection="1">
      <alignment horizontal="left" vertical="center"/>
      <protection locked="0"/>
    </xf>
    <xf numFmtId="2" fontId="5" fillId="0" borderId="0" xfId="2" applyNumberFormat="1" applyFont="1" applyFill="1" applyAlignment="1">
      <alignment horizontal="left" vertical="center"/>
    </xf>
    <xf numFmtId="2" fontId="6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 applyProtection="1">
      <alignment horizontal="center" vertical="center"/>
      <protection locked="0"/>
    </xf>
    <xf numFmtId="2" fontId="5" fillId="0" borderId="0" xfId="2" applyNumberFormat="1" applyFont="1" applyFill="1" applyAlignment="1">
      <alignment horizontal="center" vertical="center"/>
    </xf>
    <xf numFmtId="2" fontId="65" fillId="0" borderId="0" xfId="2" applyNumberFormat="1" applyFont="1" applyFill="1" applyAlignment="1">
      <alignment horizontal="center" vertical="center"/>
    </xf>
    <xf numFmtId="2" fontId="65" fillId="0" borderId="0" xfId="2" applyNumberFormat="1" applyFont="1" applyFill="1" applyAlignment="1"/>
    <xf numFmtId="3" fontId="66" fillId="0" borderId="3" xfId="2" applyNumberFormat="1" applyFont="1" applyBorder="1" applyAlignment="1"/>
    <xf numFmtId="2" fontId="55" fillId="0" borderId="0" xfId="2" applyNumberFormat="1" applyFont="1" applyFill="1" applyAlignment="1" applyProtection="1">
      <alignment horizontal="center" vertical="center"/>
      <protection locked="0"/>
    </xf>
    <xf numFmtId="165" fontId="55" fillId="0" borderId="0" xfId="2" applyNumberFormat="1" applyFont="1" applyFill="1" applyAlignment="1" applyProtection="1">
      <alignment horizontal="center" vertical="center"/>
      <protection locked="0"/>
    </xf>
    <xf numFmtId="2" fontId="55" fillId="0" borderId="0" xfId="0" applyNumberFormat="1" applyFont="1" applyFill="1" applyBorder="1" applyAlignment="1">
      <alignment horizontal="center" vertical="center"/>
    </xf>
    <xf numFmtId="165" fontId="55" fillId="0" borderId="0" xfId="0" applyNumberFormat="1" applyFont="1" applyFill="1" applyBorder="1" applyAlignment="1">
      <alignment horizontal="center" vertical="center"/>
    </xf>
    <xf numFmtId="171" fontId="55" fillId="0" borderId="0" xfId="0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right" vertical="center"/>
    </xf>
    <xf numFmtId="1" fontId="58" fillId="0" borderId="0" xfId="5" applyNumberFormat="1" applyFont="1" applyFill="1" applyBorder="1" applyAlignment="1">
      <alignment horizontal="center" vertical="center"/>
    </xf>
    <xf numFmtId="2" fontId="58" fillId="0" borderId="0" xfId="5" applyNumberFormat="1" applyFont="1" applyFill="1" applyBorder="1" applyAlignment="1">
      <alignment horizontal="center"/>
    </xf>
    <xf numFmtId="171" fontId="58" fillId="0" borderId="0" xfId="5" applyNumberFormat="1" applyFont="1" applyFill="1" applyBorder="1" applyAlignment="1">
      <alignment horizontal="center"/>
    </xf>
    <xf numFmtId="171" fontId="58" fillId="0" borderId="0" xfId="0" applyNumberFormat="1" applyFont="1" applyFill="1" applyBorder="1" applyAlignment="1">
      <alignment horizontal="center" vertical="center"/>
    </xf>
    <xf numFmtId="0" fontId="55" fillId="0" borderId="0" xfId="5" applyFont="1" applyFill="1" applyBorder="1"/>
    <xf numFmtId="11" fontId="55" fillId="0" borderId="0" xfId="5" applyNumberFormat="1" applyFont="1" applyFill="1" applyBorder="1"/>
    <xf numFmtId="11" fontId="72" fillId="0" borderId="0" xfId="5" applyNumberFormat="1" applyFont="1" applyFill="1"/>
    <xf numFmtId="0" fontId="55" fillId="0" borderId="0" xfId="0" applyNumberFormat="1" applyFont="1" applyFill="1" applyBorder="1" applyAlignment="1">
      <alignment horizontal="left" vertical="center"/>
    </xf>
    <xf numFmtId="0" fontId="58" fillId="0" borderId="0" xfId="0" applyNumberFormat="1" applyFont="1" applyFill="1" applyBorder="1" applyAlignment="1">
      <alignment horizontal="left" vertical="center"/>
    </xf>
    <xf numFmtId="0" fontId="58" fillId="0" borderId="0" xfId="0" applyNumberFormat="1" applyFont="1" applyFill="1" applyBorder="1" applyAlignment="1">
      <alignment horizontal="center" vertical="center"/>
    </xf>
    <xf numFmtId="11" fontId="58" fillId="0" borderId="0" xfId="0" applyNumberFormat="1" applyFont="1" applyFill="1" applyBorder="1" applyAlignment="1">
      <alignment vertical="center"/>
    </xf>
    <xf numFmtId="11" fontId="55" fillId="0" borderId="0" xfId="0" applyNumberFormat="1" applyFont="1" applyFill="1" applyBorder="1" applyAlignment="1">
      <alignment vertical="center"/>
    </xf>
    <xf numFmtId="166" fontId="55" fillId="0" borderId="0" xfId="0" applyNumberFormat="1" applyFont="1" applyFill="1" applyBorder="1" applyAlignment="1">
      <alignment vertical="center"/>
    </xf>
    <xf numFmtId="11" fontId="55" fillId="0" borderId="0" xfId="5" applyNumberFormat="1" applyFont="1" applyFill="1" applyAlignment="1">
      <alignment horizontal="center"/>
    </xf>
    <xf numFmtId="166" fontId="55" fillId="0" borderId="0" xfId="0" applyNumberFormat="1" applyFont="1" applyFill="1" applyBorder="1" applyAlignment="1">
      <alignment horizontal="center" vertical="center"/>
    </xf>
    <xf numFmtId="0" fontId="58" fillId="0" borderId="0" xfId="0" applyNumberFormat="1" applyFont="1" applyFill="1" applyBorder="1" applyAlignment="1">
      <alignment horizontal="right" vertical="center"/>
    </xf>
    <xf numFmtId="166" fontId="60" fillId="0" borderId="0" xfId="2" applyNumberFormat="1" applyFont="1" applyBorder="1" applyAlignment="1"/>
    <xf numFmtId="0" fontId="56" fillId="0" borderId="0" xfId="2" applyNumberFormat="1" applyFont="1" applyBorder="1" applyAlignment="1"/>
    <xf numFmtId="2" fontId="4" fillId="0" borderId="0" xfId="2" applyNumberFormat="1" applyFont="1" applyBorder="1" applyAlignment="1">
      <alignment horizontal="center"/>
    </xf>
    <xf numFmtId="2" fontId="4" fillId="6" borderId="0" xfId="2" applyNumberFormat="1" applyFont="1" applyFill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/>
    </xf>
    <xf numFmtId="2" fontId="16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16" fillId="3" borderId="0" xfId="2" applyNumberFormat="1" applyFont="1" applyFill="1" applyAlignment="1">
      <alignment horizontal="center"/>
    </xf>
    <xf numFmtId="2" fontId="4" fillId="0" borderId="5" xfId="2" applyNumberFormat="1" applyFont="1" applyBorder="1" applyAlignment="1">
      <alignment horizontal="center"/>
    </xf>
    <xf numFmtId="2" fontId="16" fillId="3" borderId="0" xfId="2" applyNumberFormat="1" applyFont="1" applyFill="1" applyBorder="1" applyAlignment="1">
      <alignment horizontal="center"/>
    </xf>
    <xf numFmtId="0" fontId="3" fillId="0" borderId="0" xfId="2" applyNumberFormat="1" applyFont="1" applyFill="1" applyAlignment="1" applyProtection="1">
      <alignment horizontal="center"/>
      <protection locked="0"/>
    </xf>
    <xf numFmtId="0" fontId="3" fillId="0" borderId="7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NumberFormat="1" applyFont="1" applyBorder="1" applyAlignment="1" applyProtection="1">
      <alignment horizontal="center"/>
      <protection locked="0"/>
    </xf>
    <xf numFmtId="0" fontId="4" fillId="0" borderId="13" xfId="2" applyFont="1" applyBorder="1" applyAlignment="1">
      <alignment horizontal="center"/>
    </xf>
    <xf numFmtId="164" fontId="4" fillId="0" borderId="14" xfId="2" applyNumberFormat="1" applyFont="1" applyBorder="1" applyAlignment="1">
      <alignment horizontal="center"/>
    </xf>
    <xf numFmtId="164" fontId="16" fillId="0" borderId="10" xfId="2" applyNumberFormat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4" fontId="16" fillId="0" borderId="13" xfId="2" applyNumberFormat="1" applyFont="1" applyBorder="1" applyAlignment="1">
      <alignment horizontal="center"/>
    </xf>
    <xf numFmtId="167" fontId="16" fillId="0" borderId="5" xfId="2" applyNumberFormat="1" applyFont="1" applyBorder="1" applyAlignment="1"/>
    <xf numFmtId="164" fontId="16" fillId="0" borderId="3" xfId="2" applyNumberFormat="1" applyFont="1" applyFill="1" applyBorder="1" applyAlignment="1"/>
    <xf numFmtId="2" fontId="4" fillId="2" borderId="0" xfId="2" applyNumberFormat="1" applyFont="1" applyFill="1" applyBorder="1" applyAlignment="1"/>
    <xf numFmtId="170" fontId="4" fillId="0" borderId="0" xfId="2" applyNumberFormat="1" applyFont="1" applyBorder="1" applyAlignment="1"/>
    <xf numFmtId="0" fontId="4" fillId="0" borderId="5" xfId="2" applyNumberFormat="1" applyFont="1" applyBorder="1" applyAlignment="1" applyProtection="1">
      <protection locked="0"/>
    </xf>
    <xf numFmtId="0" fontId="3" fillId="0" borderId="15" xfId="2" applyFont="1" applyBorder="1" applyAlignment="1">
      <alignment horizontal="right"/>
    </xf>
    <xf numFmtId="164" fontId="4" fillId="0" borderId="2" xfId="2" applyNumberFormat="1" applyFont="1" applyBorder="1" applyAlignment="1">
      <alignment horizontal="center"/>
    </xf>
    <xf numFmtId="164" fontId="16" fillId="0" borderId="0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16" fillId="0" borderId="5" xfId="2" applyNumberFormat="1" applyFont="1" applyBorder="1" applyAlignment="1">
      <alignment horizontal="center"/>
    </xf>
    <xf numFmtId="169" fontId="11" fillId="0" borderId="7" xfId="2" applyNumberFormat="1" applyFont="1" applyFill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0" fontId="16" fillId="0" borderId="0" xfId="2" applyNumberFormat="1" applyFont="1" applyFill="1" applyAlignment="1" applyProtection="1">
      <protection locked="0"/>
    </xf>
    <xf numFmtId="2" fontId="11" fillId="7" borderId="0" xfId="2" applyNumberFormat="1" applyFont="1" applyFill="1" applyBorder="1" applyAlignment="1">
      <alignment horizontal="center"/>
    </xf>
    <xf numFmtId="164" fontId="11" fillId="7" borderId="9" xfId="2" applyNumberFormat="1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1" fontId="11" fillId="7" borderId="0" xfId="2" applyNumberFormat="1" applyFont="1" applyFill="1" applyBorder="1" applyAlignment="1">
      <alignment horizontal="center"/>
    </xf>
    <xf numFmtId="2" fontId="16" fillId="7" borderId="0" xfId="2" applyNumberFormat="1" applyFont="1" applyFill="1" applyAlignment="1">
      <alignment horizontal="center"/>
    </xf>
    <xf numFmtId="2" fontId="69" fillId="7" borderId="0" xfId="2" applyNumberFormat="1" applyFont="1" applyFill="1" applyBorder="1" applyAlignment="1">
      <alignment horizontal="center"/>
    </xf>
    <xf numFmtId="2" fontId="16" fillId="7" borderId="0" xfId="2" applyNumberFormat="1" applyFont="1" applyFill="1" applyBorder="1" applyAlignment="1">
      <alignment horizontal="center"/>
    </xf>
    <xf numFmtId="2" fontId="69" fillId="7" borderId="10" xfId="2" applyNumberFormat="1" applyFont="1" applyFill="1" applyBorder="1" applyAlignment="1">
      <alignment horizontal="center"/>
    </xf>
    <xf numFmtId="164" fontId="16" fillId="7" borderId="9" xfId="2" applyNumberFormat="1" applyFont="1" applyFill="1" applyBorder="1" applyAlignment="1">
      <alignment horizontal="center"/>
    </xf>
    <xf numFmtId="164" fontId="69" fillId="7" borderId="10" xfId="2" applyNumberFormat="1" applyFont="1" applyFill="1" applyBorder="1" applyAlignment="1">
      <alignment horizontal="center"/>
    </xf>
    <xf numFmtId="2" fontId="24" fillId="7" borderId="0" xfId="2" applyNumberFormat="1" applyFont="1" applyFill="1" applyBorder="1" applyAlignment="1">
      <alignment horizontal="center"/>
    </xf>
    <xf numFmtId="164" fontId="16" fillId="7" borderId="10" xfId="2" applyNumberFormat="1" applyFont="1" applyFill="1" applyBorder="1" applyAlignment="1">
      <alignment horizontal="center"/>
    </xf>
    <xf numFmtId="2" fontId="15" fillId="7" borderId="0" xfId="2" applyNumberFormat="1" applyFont="1" applyFill="1" applyAlignment="1"/>
    <xf numFmtId="2" fontId="15" fillId="7" borderId="0" xfId="2" applyNumberFormat="1" applyFont="1" applyFill="1" applyAlignment="1">
      <alignment horizontal="right"/>
    </xf>
    <xf numFmtId="2" fontId="41" fillId="7" borderId="0" xfId="2" applyNumberFormat="1" applyFont="1" applyFill="1" applyAlignment="1" applyProtection="1">
      <protection locked="0"/>
    </xf>
    <xf numFmtId="2" fontId="11" fillId="7" borderId="0" xfId="2" applyNumberFormat="1" applyFont="1" applyFill="1" applyAlignment="1"/>
    <xf numFmtId="2" fontId="15" fillId="7" borderId="0" xfId="2" applyNumberFormat="1" applyFont="1" applyFill="1" applyBorder="1" applyAlignment="1"/>
    <xf numFmtId="2" fontId="15" fillId="7" borderId="0" xfId="2" applyNumberFormat="1" applyFont="1" applyFill="1" applyBorder="1" applyAlignment="1" applyProtection="1">
      <protection locked="0"/>
    </xf>
    <xf numFmtId="166" fontId="41" fillId="7" borderId="0" xfId="2" applyNumberFormat="1" applyFont="1" applyFill="1" applyBorder="1" applyAlignment="1"/>
    <xf numFmtId="0" fontId="11" fillId="7" borderId="0" xfId="2" applyFont="1" applyFill="1" applyBorder="1" applyAlignment="1">
      <alignment horizontal="center"/>
    </xf>
    <xf numFmtId="0" fontId="25" fillId="7" borderId="0" xfId="2" applyNumberFormat="1" applyFont="1" applyFill="1" applyAlignment="1"/>
    <xf numFmtId="0" fontId="25" fillId="7" borderId="0" xfId="2" applyNumberFormat="1" applyFont="1" applyFill="1" applyAlignment="1" applyProtection="1">
      <protection locked="0"/>
    </xf>
    <xf numFmtId="168" fontId="25" fillId="7" borderId="0" xfId="2" applyNumberFormat="1" applyFont="1" applyFill="1" applyAlignment="1"/>
    <xf numFmtId="168" fontId="41" fillId="7" borderId="0" xfId="2" applyNumberFormat="1" applyFont="1" applyFill="1" applyAlignment="1"/>
    <xf numFmtId="2" fontId="59" fillId="7" borderId="0" xfId="2" applyNumberFormat="1" applyFont="1" applyFill="1" applyAlignment="1"/>
    <xf numFmtId="2" fontId="41" fillId="7" borderId="0" xfId="2" applyNumberFormat="1" applyFont="1" applyFill="1" applyAlignment="1"/>
    <xf numFmtId="0" fontId="16" fillId="7" borderId="0" xfId="2" applyNumberFormat="1" applyFont="1" applyFill="1" applyAlignment="1" applyProtection="1">
      <protection locked="0"/>
    </xf>
    <xf numFmtId="2" fontId="3" fillId="0" borderId="0" xfId="2" applyNumberFormat="1" applyFont="1" applyBorder="1" applyAlignment="1">
      <alignment horizontal="center"/>
    </xf>
    <xf numFmtId="2" fontId="3" fillId="0" borderId="5" xfId="2" applyNumberFormat="1" applyFont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171" fontId="16" fillId="5" borderId="0" xfId="2" applyNumberFormat="1" applyFont="1" applyFill="1" applyBorder="1" applyAlignment="1"/>
    <xf numFmtId="166" fontId="4" fillId="0" borderId="5" xfId="2" applyNumberFormat="1" applyFont="1" applyBorder="1" applyAlignment="1"/>
    <xf numFmtId="0" fontId="4" fillId="0" borderId="12" xfId="2" applyNumberFormat="1" applyFont="1" applyBorder="1" applyAlignment="1" applyProtection="1">
      <protection locked="0"/>
    </xf>
    <xf numFmtId="0" fontId="16" fillId="0" borderId="13" xfId="2" applyNumberFormat="1" applyFont="1" applyFill="1" applyBorder="1" applyAlignment="1" applyProtection="1">
      <alignment horizontal="center"/>
      <protection locked="0"/>
    </xf>
    <xf numFmtId="166" fontId="65" fillId="0" borderId="5" xfId="2" applyNumberFormat="1" applyFont="1" applyBorder="1" applyAlignment="1"/>
    <xf numFmtId="2" fontId="70" fillId="3" borderId="0" xfId="2" applyNumberFormat="1" applyFont="1" applyFill="1" applyBorder="1" applyAlignment="1">
      <alignment horizontal="center"/>
    </xf>
    <xf numFmtId="165" fontId="16" fillId="0" borderId="0" xfId="2" applyNumberFormat="1" applyFont="1" applyAlignment="1" applyProtection="1">
      <alignment horizontal="center"/>
      <protection locked="0"/>
    </xf>
    <xf numFmtId="0" fontId="16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right"/>
      <protection locked="0"/>
    </xf>
    <xf numFmtId="2" fontId="4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right"/>
    </xf>
    <xf numFmtId="171" fontId="4" fillId="0" borderId="0" xfId="2" applyNumberFormat="1" applyFont="1" applyBorder="1" applyAlignment="1">
      <alignment horizontal="center"/>
    </xf>
    <xf numFmtId="0" fontId="6" fillId="8" borderId="0" xfId="2" applyNumberFormat="1" applyFont="1" applyFill="1" applyAlignment="1" applyProtection="1">
      <protection locked="0"/>
    </xf>
    <xf numFmtId="0" fontId="4" fillId="8" borderId="0" xfId="2" applyNumberFormat="1" applyFont="1" applyFill="1" applyBorder="1" applyAlignment="1"/>
    <xf numFmtId="0" fontId="5" fillId="8" borderId="0" xfId="2" applyFont="1" applyFill="1" applyBorder="1" applyAlignment="1">
      <alignment horizontal="right"/>
    </xf>
    <xf numFmtId="165" fontId="4" fillId="8" borderId="0" xfId="2" applyNumberFormat="1" applyFont="1" applyFill="1" applyBorder="1" applyAlignment="1">
      <alignment horizontal="center"/>
    </xf>
    <xf numFmtId="164" fontId="4" fillId="8" borderId="0" xfId="2" applyNumberFormat="1" applyFont="1" applyFill="1" applyBorder="1" applyAlignment="1"/>
    <xf numFmtId="0" fontId="4" fillId="0" borderId="11" xfId="2" applyNumberFormat="1" applyFont="1" applyBorder="1" applyAlignment="1" applyProtection="1">
      <protection locked="0"/>
    </xf>
    <xf numFmtId="0" fontId="16" fillId="0" borderId="4" xfId="2" applyNumberFormat="1" applyFont="1" applyBorder="1" applyAlignment="1" applyProtection="1">
      <alignment horizontal="center" vertical="center"/>
      <protection locked="0"/>
    </xf>
    <xf numFmtId="164" fontId="16" fillId="0" borderId="13" xfId="2" applyNumberFormat="1" applyFont="1" applyFill="1" applyBorder="1" applyAlignment="1">
      <alignment horizontal="center"/>
    </xf>
    <xf numFmtId="165" fontId="4" fillId="6" borderId="0" xfId="2" applyNumberFormat="1" applyFont="1" applyFill="1" applyBorder="1" applyAlignment="1">
      <alignment horizontal="center"/>
    </xf>
    <xf numFmtId="166" fontId="60" fillId="0" borderId="0" xfId="2" applyNumberFormat="1" applyFont="1" applyFill="1" applyBorder="1" applyAlignment="1"/>
    <xf numFmtId="0" fontId="4" fillId="0" borderId="0" xfId="2" applyNumberFormat="1" applyFont="1" applyFill="1" applyAlignment="1" applyProtection="1">
      <protection locked="0"/>
    </xf>
    <xf numFmtId="0" fontId="16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2" applyNumberFormat="1" applyFont="1" applyFill="1" applyAlignment="1" applyProtection="1">
      <alignment horizontal="center" vertical="center"/>
      <protection locked="0"/>
    </xf>
    <xf numFmtId="2" fontId="16" fillId="0" borderId="0" xfId="2" applyNumberFormat="1" applyFont="1" applyFill="1" applyBorder="1" applyAlignment="1">
      <alignment horizontal="center"/>
    </xf>
    <xf numFmtId="0" fontId="73" fillId="0" borderId="0" xfId="2" applyFont="1" applyAlignment="1"/>
    <xf numFmtId="3" fontId="74" fillId="5" borderId="3" xfId="2" applyNumberFormat="1" applyFont="1" applyFill="1" applyBorder="1" applyAlignment="1"/>
    <xf numFmtId="0" fontId="4" fillId="0" borderId="0" xfId="1" applyFont="1" applyBorder="1" applyAlignment="1" applyProtection="1">
      <alignment horizontal="right"/>
    </xf>
    <xf numFmtId="1" fontId="3" fillId="0" borderId="0" xfId="2" applyNumberFormat="1" applyFont="1" applyBorder="1" applyAlignment="1">
      <alignment horizontal="left"/>
    </xf>
    <xf numFmtId="0" fontId="4" fillId="0" borderId="2" xfId="2" applyNumberFormat="1" applyFont="1" applyBorder="1" applyAlignment="1" applyProtection="1">
      <alignment horizontal="center"/>
      <protection locked="0"/>
    </xf>
    <xf numFmtId="0" fontId="16" fillId="0" borderId="0" xfId="2" applyNumberFormat="1" applyFont="1" applyAlignment="1" applyProtection="1">
      <alignment horizontal="center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0" fontId="16" fillId="7" borderId="0" xfId="2" applyNumberFormat="1" applyFont="1" applyFill="1" applyAlignment="1" applyProtection="1">
      <alignment horizontal="center"/>
      <protection locked="0"/>
    </xf>
    <xf numFmtId="2" fontId="61" fillId="0" borderId="5" xfId="2" applyNumberFormat="1" applyFont="1" applyFill="1" applyBorder="1" applyAlignment="1">
      <alignment horizontal="center"/>
    </xf>
    <xf numFmtId="0" fontId="70" fillId="0" borderId="0" xfId="0" applyNumberFormat="1" applyFont="1" applyFill="1" applyBorder="1" applyAlignment="1">
      <alignment horizontal="center" vertical="center"/>
    </xf>
    <xf numFmtId="164" fontId="70" fillId="0" borderId="0" xfId="2" applyNumberFormat="1" applyFont="1" applyFill="1" applyBorder="1" applyAlignment="1"/>
    <xf numFmtId="165" fontId="70" fillId="0" borderId="0" xfId="2" applyNumberFormat="1" applyFont="1" applyBorder="1" applyAlignment="1"/>
    <xf numFmtId="165" fontId="75" fillId="0" borderId="3" xfId="2" applyNumberFormat="1" applyFont="1" applyBorder="1" applyAlignment="1"/>
    <xf numFmtId="167" fontId="70" fillId="0" borderId="0" xfId="2" applyNumberFormat="1" applyFont="1" applyBorder="1" applyAlignment="1"/>
    <xf numFmtId="2" fontId="70" fillId="0" borderId="0" xfId="3" applyNumberFormat="1" applyFont="1" applyFill="1"/>
    <xf numFmtId="3" fontId="76" fillId="0" borderId="0" xfId="2" applyNumberFormat="1" applyFont="1" applyFill="1" applyBorder="1" applyAlignment="1"/>
    <xf numFmtId="171" fontId="16" fillId="0" borderId="4" xfId="2" applyNumberFormat="1" applyFont="1" applyFill="1" applyBorder="1" applyAlignment="1" applyProtection="1">
      <alignment horizontal="center"/>
      <protection locked="0"/>
    </xf>
    <xf numFmtId="0" fontId="5" fillId="0" borderId="2" xfId="2" applyFont="1" applyBorder="1" applyAlignment="1">
      <alignment horizontal="center"/>
    </xf>
    <xf numFmtId="0" fontId="3" fillId="0" borderId="11" xfId="2" applyNumberFormat="1" applyFont="1" applyBorder="1" applyAlignment="1" applyProtection="1">
      <alignment horizontal="center"/>
      <protection locked="0"/>
    </xf>
    <xf numFmtId="0" fontId="3" fillId="0" borderId="3" xfId="2" applyNumberFormat="1" applyFont="1" applyBorder="1" applyAlignment="1" applyProtection="1">
      <alignment horizontal="center"/>
      <protection locked="0"/>
    </xf>
    <xf numFmtId="15" fontId="5" fillId="0" borderId="3" xfId="2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2" fontId="5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16" fillId="0" borderId="2" xfId="2" applyFont="1" applyFill="1" applyBorder="1" applyAlignment="1">
      <alignment horizontal="center"/>
    </xf>
    <xf numFmtId="0" fontId="16" fillId="0" borderId="14" xfId="2" applyFont="1" applyFill="1" applyBorder="1" applyAlignment="1">
      <alignment horizontal="center"/>
    </xf>
    <xf numFmtId="15" fontId="6" fillId="0" borderId="0" xfId="2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" xfId="2" applyFont="1" applyBorder="1" applyAlignment="1">
      <alignment horizontal="center"/>
    </xf>
    <xf numFmtId="0" fontId="16" fillId="4" borderId="2" xfId="2" applyFont="1" applyFill="1" applyBorder="1" applyAlignment="1">
      <alignment horizontal="center"/>
    </xf>
    <xf numFmtId="0" fontId="16" fillId="4" borderId="14" xfId="2" applyFont="1" applyFill="1" applyBorder="1" applyAlignment="1">
      <alignment horizontal="center"/>
    </xf>
    <xf numFmtId="15" fontId="49" fillId="0" borderId="5" xfId="0" applyNumberFormat="1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2" fontId="33" fillId="0" borderId="0" xfId="1" applyNumberFormat="1" applyFont="1" applyAlignment="1" applyProtection="1"/>
    <xf numFmtId="0" fontId="31" fillId="0" borderId="0" xfId="0" applyFont="1" applyAlignment="1"/>
    <xf numFmtId="0" fontId="33" fillId="0" borderId="0" xfId="1" applyFont="1" applyAlignment="1" applyProtection="1"/>
    <xf numFmtId="15" fontId="37" fillId="0" borderId="0" xfId="0" applyNumberFormat="1" applyFont="1" applyBorder="1" applyAlignment="1">
      <alignment horizontal="center"/>
    </xf>
    <xf numFmtId="15" fontId="46" fillId="0" borderId="0" xfId="0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15" fontId="5" fillId="0" borderId="0" xfId="2" applyNumberFormat="1" applyFont="1" applyBorder="1" applyAlignment="1">
      <alignment horizontal="left"/>
    </xf>
    <xf numFmtId="164" fontId="16" fillId="4" borderId="0" xfId="2" applyNumberFormat="1" applyFont="1" applyFill="1" applyBorder="1" applyAlignment="1"/>
    <xf numFmtId="165" fontId="4" fillId="0" borderId="0" xfId="2" applyNumberFormat="1" applyFont="1" applyFill="1" applyAlignment="1" applyProtection="1">
      <alignment horizontal="center"/>
      <protection locked="0"/>
    </xf>
    <xf numFmtId="165" fontId="16" fillId="6" borderId="0" xfId="2" applyNumberFormat="1" applyFont="1" applyFill="1" applyAlignment="1" applyProtection="1">
      <alignment horizontal="center"/>
      <protection locked="0"/>
    </xf>
    <xf numFmtId="171" fontId="4" fillId="6" borderId="0" xfId="2" applyNumberFormat="1" applyFont="1" applyFill="1" applyBorder="1" applyAlignment="1">
      <alignment horizontal="center"/>
    </xf>
    <xf numFmtId="171" fontId="16" fillId="6" borderId="4" xfId="2" applyNumberFormat="1" applyFont="1" applyFill="1" applyBorder="1" applyAlignment="1" applyProtection="1">
      <alignment horizontal="center"/>
      <protection locked="0"/>
    </xf>
    <xf numFmtId="171" fontId="16" fillId="0" borderId="0" xfId="2" applyNumberFormat="1" applyFont="1" applyFill="1" applyBorder="1" applyAlignment="1">
      <alignment horizontal="center"/>
    </xf>
    <xf numFmtId="171" fontId="16" fillId="6" borderId="0" xfId="2" applyNumberFormat="1" applyFont="1" applyFill="1" applyBorder="1" applyAlignment="1" applyProtection="1">
      <alignment horizontal="center"/>
      <protection locked="0"/>
    </xf>
    <xf numFmtId="2" fontId="16" fillId="6" borderId="0" xfId="2" applyNumberFormat="1" applyFont="1" applyFill="1" applyBorder="1" applyAlignment="1" applyProtection="1">
      <alignment horizontal="center"/>
      <protection locked="0"/>
    </xf>
    <xf numFmtId="164" fontId="16" fillId="6" borderId="0" xfId="2" applyNumberFormat="1" applyFont="1" applyFill="1" applyBorder="1" applyAlignment="1" applyProtection="1">
      <alignment horizontal="center"/>
      <protection locked="0"/>
    </xf>
    <xf numFmtId="1" fontId="77" fillId="0" borderId="0" xfId="2" applyNumberFormat="1" applyFont="1" applyFill="1" applyBorder="1" applyAlignment="1"/>
    <xf numFmtId="165" fontId="78" fillId="0" borderId="3" xfId="2" applyNumberFormat="1" applyFont="1" applyBorder="1" applyAlignment="1"/>
    <xf numFmtId="167" fontId="77" fillId="0" borderId="0" xfId="2" applyNumberFormat="1" applyFont="1" applyBorder="1" applyAlignment="1"/>
    <xf numFmtId="166" fontId="60" fillId="0" borderId="5" xfId="2" applyNumberFormat="1" applyFont="1" applyBorder="1" applyAlignment="1"/>
    <xf numFmtId="0" fontId="4" fillId="0" borderId="0" xfId="0" applyFont="1"/>
  </cellXfs>
  <cellStyles count="6">
    <cellStyle name="Hyperlink" xfId="1" builtinId="8"/>
    <cellStyle name="Normal" xfId="0" builtinId="0"/>
    <cellStyle name="Normal_852_6_~1" xfId="2"/>
    <cellStyle name="Normal_B" xfId="3"/>
    <cellStyle name="Normal_CrayJitBg02" xfId="5"/>
    <cellStyle name="Percent" xfId="4" builtinId="5"/>
  </cellStyles>
  <dxfs count="9"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</dxfs>
  <tableStyles count="0" defaultTableStyle="TableStyleMedium9" defaultPivotStyle="PivotStyleLight16"/>
  <colors>
    <mruColors>
      <color rgb="FFCCFFFF"/>
      <color rgb="FF0000FF"/>
      <color rgb="FFFFFF99"/>
      <color rgb="FFFFFFCC"/>
      <color rgb="FF006600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072201241089048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6981073566446"/>
          <c:y val="0.11944221419115032"/>
          <c:w val="0.55013836177640563"/>
          <c:h val="0.73371645860278512"/>
        </c:manualLayout>
      </c:layout>
      <c:scatterChart>
        <c:scatterStyle val="lineMarker"/>
        <c:ser>
          <c:idx val="1"/>
          <c:order val="0"/>
          <c:tx>
            <c:strRef>
              <c:f>BaseOM4!$B$15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BaseOM4!$B$18:$B$38</c:f>
              <c:numCache>
                <c:formatCode>0.00</c:formatCode>
                <c:ptCount val="21"/>
                <c:pt idx="0">
                  <c:v>0.18112975596197842</c:v>
                </c:pt>
                <c:pt idx="1">
                  <c:v>0.19924273155817623</c:v>
                </c:pt>
                <c:pt idx="2">
                  <c:v>0.21735570715437408</c:v>
                </c:pt>
                <c:pt idx="3">
                  <c:v>0.23546868275057192</c:v>
                </c:pt>
                <c:pt idx="4">
                  <c:v>0.25358165834676977</c:v>
                </c:pt>
                <c:pt idx="5">
                  <c:v>0.27169463394296767</c:v>
                </c:pt>
                <c:pt idx="6">
                  <c:v>0.28980760953916551</c:v>
                </c:pt>
                <c:pt idx="7">
                  <c:v>0.30792058513536336</c:v>
                </c:pt>
                <c:pt idx="8">
                  <c:v>0.3260335607315612</c:v>
                </c:pt>
                <c:pt idx="9">
                  <c:v>0.34414653632775905</c:v>
                </c:pt>
                <c:pt idx="10">
                  <c:v>0.36225951192395695</c:v>
                </c:pt>
                <c:pt idx="11">
                  <c:v>0.38037248752015479</c:v>
                </c:pt>
                <c:pt idx="12">
                  <c:v>0.39848546311635263</c:v>
                </c:pt>
                <c:pt idx="13">
                  <c:v>0.41659843871255048</c:v>
                </c:pt>
                <c:pt idx="14">
                  <c:v>0.43471141430874832</c:v>
                </c:pt>
                <c:pt idx="15">
                  <c:v>0.45282438990494622</c:v>
                </c:pt>
                <c:pt idx="16">
                  <c:v>0.47093736550114407</c:v>
                </c:pt>
                <c:pt idx="17">
                  <c:v>0.48905034109734191</c:v>
                </c:pt>
                <c:pt idx="18">
                  <c:v>0.50716331669353976</c:v>
                </c:pt>
                <c:pt idx="19">
                  <c:v>0.5252762922897376</c:v>
                </c:pt>
                <c:pt idx="20">
                  <c:v>0.54338926788593545</c:v>
                </c:pt>
              </c:numCache>
            </c:numRef>
          </c:yVal>
        </c:ser>
        <c:ser>
          <c:idx val="0"/>
          <c:order val="1"/>
          <c:tx>
            <c:strRef>
              <c:f>BaseOM4!$J$14:$J$15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BaseOM4!$J$18:$J$38</c:f>
              <c:numCache>
                <c:formatCode>0.00</c:formatCode>
                <c:ptCount val="21"/>
                <c:pt idx="0">
                  <c:v>2.4355168498933892</c:v>
                </c:pt>
                <c:pt idx="1">
                  <c:v>2.4858558105062936</c:v>
                </c:pt>
                <c:pt idx="2">
                  <c:v>2.5410504272182632</c:v>
                </c:pt>
                <c:pt idx="3">
                  <c:v>2.6011184021205098</c:v>
                </c:pt>
                <c:pt idx="4">
                  <c:v>2.6660790051752645</c:v>
                </c:pt>
                <c:pt idx="5">
                  <c:v>2.7359567563356202</c:v>
                </c:pt>
                <c:pt idx="6">
                  <c:v>2.810777300984288</c:v>
                </c:pt>
                <c:pt idx="7">
                  <c:v>2.8905700990703327</c:v>
                </c:pt>
                <c:pt idx="8">
                  <c:v>2.9753721403815847</c:v>
                </c:pt>
                <c:pt idx="9">
                  <c:v>3.0652225618395921</c:v>
                </c:pt>
                <c:pt idx="10">
                  <c:v>3.1601707620450958</c:v>
                </c:pt>
                <c:pt idx="11">
                  <c:v>3.2602713801098862</c:v>
                </c:pt>
                <c:pt idx="12">
                  <c:v>3.3655876893362584</c:v>
                </c:pt>
                <c:pt idx="13">
                  <c:v>3.4761970297474276</c:v>
                </c:pt>
                <c:pt idx="14">
                  <c:v>3.5921840949685926</c:v>
                </c:pt>
                <c:pt idx="15">
                  <c:v>3.7136524022751556</c:v>
                </c:pt>
                <c:pt idx="16">
                  <c:v>3.8407160372462918</c:v>
                </c:pt>
                <c:pt idx="17">
                  <c:v>3.9735112292636972</c:v>
                </c:pt>
                <c:pt idx="18">
                  <c:v>4.1121947577800739</c:v>
                </c:pt>
                <c:pt idx="19">
                  <c:v>4.256942470847104</c:v>
                </c:pt>
                <c:pt idx="20">
                  <c:v>4.4079553022376601</c:v>
                </c:pt>
              </c:numCache>
            </c:numRef>
          </c:yVal>
        </c:ser>
        <c:ser>
          <c:idx val="6"/>
          <c:order val="2"/>
          <c:tx>
            <c:strRef>
              <c:f>BaseOM4!$L$14:$L$15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BaseOM4!$L$18:$L$38</c:f>
              <c:numCache>
                <c:formatCode>0.00</c:formatCode>
                <c:ptCount val="21"/>
                <c:pt idx="0">
                  <c:v>1.7242495491274843</c:v>
                </c:pt>
                <c:pt idx="1">
                  <c:v>1.7265200394377218</c:v>
                </c:pt>
                <c:pt idx="2">
                  <c:v>1.7290784238847654</c:v>
                </c:pt>
                <c:pt idx="3">
                  <c:v>1.7319537943504173</c:v>
                </c:pt>
                <c:pt idx="4">
                  <c:v>1.73518212464292</c:v>
                </c:pt>
                <c:pt idx="5">
                  <c:v>1.7388034522083697</c:v>
                </c:pt>
                <c:pt idx="6">
                  <c:v>1.7428672057315691</c:v>
                </c:pt>
                <c:pt idx="7">
                  <c:v>1.7474310967124032</c:v>
                </c:pt>
                <c:pt idx="8">
                  <c:v>1.752558031608821</c:v>
                </c:pt>
                <c:pt idx="9">
                  <c:v>1.7583234722614005</c:v>
                </c:pt>
                <c:pt idx="10">
                  <c:v>1.7648088911997948</c:v>
                </c:pt>
                <c:pt idx="11">
                  <c:v>1.7721085062254911</c:v>
                </c:pt>
                <c:pt idx="12">
                  <c:v>1.7803288324711954</c:v>
                </c:pt>
                <c:pt idx="13">
                  <c:v>1.7895847147840014</c:v>
                </c:pt>
                <c:pt idx="14">
                  <c:v>1.8000096533030945</c:v>
                </c:pt>
                <c:pt idx="15">
                  <c:v>1.8117473339473702</c:v>
                </c:pt>
                <c:pt idx="16">
                  <c:v>1.8249649431209907</c:v>
                </c:pt>
                <c:pt idx="17">
                  <c:v>1.8398449332646774</c:v>
                </c:pt>
                <c:pt idx="18">
                  <c:v>1.8565932045523219</c:v>
                </c:pt>
                <c:pt idx="19">
                  <c:v>1.8754467587921155</c:v>
                </c:pt>
                <c:pt idx="20">
                  <c:v>1.8966774303818115</c:v>
                </c:pt>
              </c:numCache>
            </c:numRef>
          </c:yVal>
        </c:ser>
        <c:ser>
          <c:idx val="3"/>
          <c:order val="3"/>
          <c:tx>
            <c:strRef>
              <c:f>BaseOM4!$R$15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BaseOM4!$R$18:$R$38</c:f>
              <c:numCache>
                <c:formatCode>0.00</c:formatCode>
                <c:ptCount val="21"/>
                <c:pt idx="0">
                  <c:v>0.65939925629619012</c:v>
                </c:pt>
                <c:pt idx="1">
                  <c:v>0.66007798254164385</c:v>
                </c:pt>
                <c:pt idx="2">
                  <c:v>0.6617910929201245</c:v>
                </c:pt>
                <c:pt idx="3">
                  <c:v>0.66471557443410167</c:v>
                </c:pt>
                <c:pt idx="4">
                  <c:v>0.66902857256829307</c:v>
                </c:pt>
                <c:pt idx="5">
                  <c:v>0.6749107187510639</c:v>
                </c:pt>
                <c:pt idx="6">
                  <c:v>0.68255056121606961</c:v>
                </c:pt>
                <c:pt idx="7">
                  <c:v>0.6921500664149145</c:v>
                </c:pt>
                <c:pt idx="8">
                  <c:v>0.70393074224425767</c:v>
                </c:pt>
                <c:pt idx="9">
                  <c:v>0.71814138828494301</c:v>
                </c:pt>
                <c:pt idx="10">
                  <c:v>0.73506712489448944</c:v>
                </c:pt>
                <c:pt idx="11">
                  <c:v>0.75504035480223397</c:v>
                </c:pt>
                <c:pt idx="12">
                  <c:v>0.77845479245936877</c:v>
                </c:pt>
                <c:pt idx="13">
                  <c:v>0.80578243563708185</c:v>
                </c:pt>
                <c:pt idx="14">
                  <c:v>0.83759638944092574</c:v>
                </c:pt>
                <c:pt idx="15">
                  <c:v>0.87460049815671292</c:v>
                </c:pt>
                <c:pt idx="16">
                  <c:v>0.91767013709903389</c:v>
                </c:pt>
                <c:pt idx="17">
                  <c:v>0.96790713813652185</c:v>
                </c:pt>
                <c:pt idx="18">
                  <c:v>1.0267187571972589</c:v>
                </c:pt>
                <c:pt idx="19">
                  <c:v>1.0959310520989898</c:v>
                </c:pt>
                <c:pt idx="20">
                  <c:v>1.1779594101950617</c:v>
                </c:pt>
              </c:numCache>
            </c:numRef>
          </c:yVal>
        </c:ser>
        <c:ser>
          <c:idx val="5"/>
          <c:order val="4"/>
          <c:tx>
            <c:strRef>
              <c:f>BaseOM4!$N$14:$N$15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BaseOM4!$Q$15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BaseOM4!$Q$18:$Q$38</c:f>
              <c:numCache>
                <c:formatCode>0.00</c:formatCode>
                <c:ptCount val="21"/>
                <c:pt idx="0">
                  <c:v>8.0997924448331926E-3</c:v>
                </c:pt>
                <c:pt idx="1">
                  <c:v>1.1681441244420377E-2</c:v>
                </c:pt>
                <c:pt idx="2">
                  <c:v>1.6276742376211573E-2</c:v>
                </c:pt>
                <c:pt idx="3">
                  <c:v>2.203017531917812E-2</c:v>
                </c:pt>
                <c:pt idx="4">
                  <c:v>2.9084690814226506E-2</c:v>
                </c:pt>
                <c:pt idx="5">
                  <c:v>3.7579535744960896E-2</c:v>
                </c:pt>
                <c:pt idx="6">
                  <c:v>4.7648266426634021E-2</c:v>
                </c:pt>
                <c:pt idx="7">
                  <c:v>5.9416968495259258E-2</c:v>
                </c:pt>
                <c:pt idx="8">
                  <c:v>7.3002692367097277E-2</c:v>
                </c:pt>
                <c:pt idx="9">
                  <c:v>8.8512105287009424E-2</c:v>
                </c:pt>
                <c:pt idx="10">
                  <c:v>0.10604035448524393</c:v>
                </c:pt>
                <c:pt idx="11">
                  <c:v>0.12567013097305393</c:v>
                </c:pt>
                <c:pt idx="12">
                  <c:v>0.147470919985387</c:v>
                </c:pt>
                <c:pt idx="13">
                  <c:v>0.17149842190820336</c:v>
                </c:pt>
                <c:pt idx="14">
                  <c:v>0.19779412654675405</c:v>
                </c:pt>
                <c:pt idx="15">
                  <c:v>0.22638502361329385</c:v>
                </c:pt>
                <c:pt idx="16">
                  <c:v>0.2572834331458827</c:v>
                </c:pt>
                <c:pt idx="17">
                  <c:v>0.29048694102871675</c:v>
                </c:pt>
                <c:pt idx="18">
                  <c:v>0.32597842669832255</c:v>
                </c:pt>
                <c:pt idx="19">
                  <c:v>0.3637261723379378</c:v>
                </c:pt>
                <c:pt idx="20">
                  <c:v>0.40368404525400281</c:v>
                </c:pt>
              </c:numCache>
            </c:numRef>
          </c:yVal>
        </c:ser>
        <c:ser>
          <c:idx val="4"/>
          <c:order val="6"/>
          <c:tx>
            <c:strRef>
              <c:f>BaseOM4!$S$14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BaseOM4!$S$18:$S$38</c:f>
              <c:numCache>
                <c:formatCode>0.00</c:formatCode>
                <c:ptCount val="21"/>
                <c:pt idx="0">
                  <c:v>0.24562947208372066</c:v>
                </c:pt>
                <c:pt idx="1">
                  <c:v>0.25362970007567998</c:v>
                </c:pt>
                <c:pt idx="2">
                  <c:v>0.26327831554726067</c:v>
                </c:pt>
                <c:pt idx="3">
                  <c:v>0.274833906985673</c:v>
                </c:pt>
                <c:pt idx="4">
                  <c:v>0.28859780840801197</c:v>
                </c:pt>
                <c:pt idx="5">
                  <c:v>0.30492572066813972</c:v>
                </c:pt>
                <c:pt idx="6">
                  <c:v>0.3242432001935045</c:v>
                </c:pt>
                <c:pt idx="7">
                  <c:v>0.3470663992339138</c:v>
                </c:pt>
                <c:pt idx="8">
                  <c:v>0.37402977722341901</c:v>
                </c:pt>
                <c:pt idx="9">
                  <c:v>0.40592442112803062</c:v>
                </c:pt>
                <c:pt idx="10">
                  <c:v>0.44375141178728328</c:v>
                </c:pt>
                <c:pt idx="11">
                  <c:v>0.48879801337238282</c:v>
                </c:pt>
                <c:pt idx="12">
                  <c:v>0.54274967038235067</c:v>
                </c:pt>
                <c:pt idx="13">
                  <c:v>0.607858195187016</c:v>
                </c:pt>
                <c:pt idx="14">
                  <c:v>0.68720512055982774</c:v>
                </c:pt>
                <c:pt idx="15">
                  <c:v>0.78512927903426977</c:v>
                </c:pt>
                <c:pt idx="16">
                  <c:v>0.90795822465546139</c:v>
                </c:pt>
                <c:pt idx="17">
                  <c:v>1.0653349665118097</c:v>
                </c:pt>
                <c:pt idx="18">
                  <c:v>1.2728288685373264</c:v>
                </c:pt>
                <c:pt idx="19">
                  <c:v>1.5576432356391348</c:v>
                </c:pt>
                <c:pt idx="20">
                  <c:v>1.9731481857696471</c:v>
                </c:pt>
              </c:numCache>
            </c:numRef>
          </c:yVal>
        </c:ser>
        <c:ser>
          <c:idx val="8"/>
          <c:order val="7"/>
          <c:tx>
            <c:strRef>
              <c:f>BaseOM4!$T$14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BaseOM4!$T$18:$T$38</c:f>
              <c:numCache>
                <c:formatCode>0.0</c:formatCode>
                <c:ptCount val="21"/>
                <c:pt idx="0">
                  <c:v>5.3831246758075961</c:v>
                </c:pt>
                <c:pt idx="1">
                  <c:v>5.4661077053639362</c:v>
                </c:pt>
                <c:pt idx="2">
                  <c:v>5.557930709101</c:v>
                </c:pt>
                <c:pt idx="3">
                  <c:v>5.6592205359604515</c:v>
                </c:pt>
                <c:pt idx="4">
                  <c:v>5.7706538599554857</c:v>
                </c:pt>
                <c:pt idx="5">
                  <c:v>5.8929708176511229</c:v>
                </c:pt>
                <c:pt idx="6">
                  <c:v>6.0269941440912316</c:v>
                </c:pt>
                <c:pt idx="7">
                  <c:v>6.1736552150621877</c:v>
                </c:pt>
                <c:pt idx="8">
                  <c:v>6.3340269445567419</c:v>
                </c:pt>
                <c:pt idx="9">
                  <c:v>6.5093704851287351</c:v>
                </c:pt>
                <c:pt idx="10">
                  <c:v>6.7011980563358646</c:v>
                </c:pt>
                <c:pt idx="11">
                  <c:v>6.9113608730032032</c:v>
                </c:pt>
                <c:pt idx="12">
                  <c:v>7.1421773677509135</c:v>
                </c:pt>
                <c:pt idx="13">
                  <c:v>7.3966192359762806</c:v>
                </c:pt>
                <c:pt idx="14">
                  <c:v>7.6786007991279428</c:v>
                </c:pt>
                <c:pt idx="15">
                  <c:v>7.9934389269317494</c:v>
                </c:pt>
                <c:pt idx="16">
                  <c:v>8.3486301407688046</c:v>
                </c:pt>
                <c:pt idx="17">
                  <c:v>8.755235549302764</c:v>
                </c:pt>
                <c:pt idx="18">
                  <c:v>9.2305773314588428</c:v>
                </c:pt>
                <c:pt idx="19">
                  <c:v>9.8040659820050191</c:v>
                </c:pt>
                <c:pt idx="20">
                  <c:v>10.531913641724117</c:v>
                </c:pt>
              </c:numCache>
            </c:numRef>
          </c:yVal>
        </c:ser>
        <c:ser>
          <c:idx val="7"/>
          <c:order val="8"/>
          <c:tx>
            <c:strRef>
              <c:f>BaseOM4!$AL$15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BaseOM4!$A$18:$A$38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BaseOM4!$AL$18:$AL$38</c:f>
              <c:numCache>
                <c:formatCode>General</c:formatCode>
                <c:ptCount val="21"/>
                <c:pt idx="0">
                  <c:v>6.6999999999999993</c:v>
                </c:pt>
                <c:pt idx="1">
                  <c:v>6.6999999999999993</c:v>
                </c:pt>
                <c:pt idx="2">
                  <c:v>6.6999999999999993</c:v>
                </c:pt>
                <c:pt idx="3">
                  <c:v>6.6999999999999993</c:v>
                </c:pt>
                <c:pt idx="4">
                  <c:v>6.6999999999999993</c:v>
                </c:pt>
                <c:pt idx="5">
                  <c:v>6.6999999999999993</c:v>
                </c:pt>
                <c:pt idx="6">
                  <c:v>6.6999999999999993</c:v>
                </c:pt>
                <c:pt idx="7">
                  <c:v>6.6999999999999993</c:v>
                </c:pt>
                <c:pt idx="8">
                  <c:v>6.6999999999999993</c:v>
                </c:pt>
                <c:pt idx="9">
                  <c:v>6.6999999999999993</c:v>
                </c:pt>
                <c:pt idx="10">
                  <c:v>6.6999999999999993</c:v>
                </c:pt>
                <c:pt idx="11">
                  <c:v>6.6999999999999993</c:v>
                </c:pt>
                <c:pt idx="12">
                  <c:v>6.6999999999999993</c:v>
                </c:pt>
                <c:pt idx="13">
                  <c:v>6.6999999999999993</c:v>
                </c:pt>
                <c:pt idx="14">
                  <c:v>6.6999999999999993</c:v>
                </c:pt>
                <c:pt idx="15">
                  <c:v>6.6999999999999993</c:v>
                </c:pt>
                <c:pt idx="16">
                  <c:v>6.6999999999999993</c:v>
                </c:pt>
                <c:pt idx="17">
                  <c:v>6.6999999999999993</c:v>
                </c:pt>
                <c:pt idx="18">
                  <c:v>6.6999999999999993</c:v>
                </c:pt>
                <c:pt idx="19">
                  <c:v>6.6999999999999993</c:v>
                </c:pt>
                <c:pt idx="20">
                  <c:v>6.6999999999999993</c:v>
                </c:pt>
              </c:numCache>
            </c:numRef>
          </c:yVal>
        </c:ser>
        <c:ser>
          <c:idx val="9"/>
          <c:order val="9"/>
          <c:tx>
            <c:strRef>
              <c:f>BaseOM4!$AN$16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BaseOM4!$AM$18:$AM$38</c:f>
              <c:numCache>
                <c:formatCode>General</c:formatCode>
                <c:ptCount val="2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</c:numCache>
            </c:numRef>
          </c:xVal>
          <c:yVal>
            <c:numRef>
              <c:f>BaseOM4!$AN$18:$AN$38</c:f>
              <c:numCache>
                <c:formatCode>General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</c:numCache>
            </c:numRef>
          </c:yVal>
        </c:ser>
        <c:axId val="112367488"/>
        <c:axId val="117452800"/>
      </c:scatterChart>
      <c:valAx>
        <c:axId val="112367488"/>
        <c:scaling>
          <c:orientation val="minMax"/>
          <c:max val="0.15000000000000002"/>
          <c:min val="0.0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429433943541263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52800"/>
        <c:crosses val="autoZero"/>
        <c:crossBetween val="midCat"/>
      </c:valAx>
      <c:valAx>
        <c:axId val="117452800"/>
        <c:scaling>
          <c:orientation val="minMax"/>
          <c:max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2.3815513496814412E-2"/>
              <c:y val="0.3856277201028613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67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3731616528365"/>
          <c:y val="0.31396239158816913"/>
          <c:w val="0.26435219981464358"/>
          <c:h val="0.491419395529306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22" r="0.750000000000004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556116811509446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82853453417607E-2"/>
          <c:y val="0.23205915899994919"/>
          <c:w val="0.8510466897011455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BaseOM4!$AE$40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BaseOM4!$AE$41:$AE$71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BaseOM4!$AD$40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BaseOM4!$AD$41:$AD$71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2"/>
          <c:order val="2"/>
          <c:tx>
            <c:strRef>
              <c:f>BaseOM4!$AD$40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3"/>
          <c:order val="3"/>
          <c:tx>
            <c:strRef>
              <c:f>BaseOM4!$AE$40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BaseOM4!$AF$40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BaseOM4!$AG$40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0.47258414951849803</c:v>
                </c:pt>
                <c:pt idx="7">
                  <c:v>0.41826790896463173</c:v>
                </c:pt>
                <c:pt idx="8">
                  <c:v>0.36546915737773378</c:v>
                </c:pt>
                <c:pt idx="9">
                  <c:v>0.31510592704632534</c:v>
                </c:pt>
                <c:pt idx="10">
                  <c:v>0.26796485374268331</c:v>
                </c:pt>
                <c:pt idx="11">
                  <c:v>0.22466551172079119</c:v>
                </c:pt>
                <c:pt idx="12">
                  <c:v>0.18563905273365067</c:v>
                </c:pt>
                <c:pt idx="13">
                  <c:v>0.15112218282822809</c:v>
                </c:pt>
                <c:pt idx="14">
                  <c:v>0.12116483352714202</c:v>
                </c:pt>
                <c:pt idx="15">
                  <c:v>9.5651410730678288E-2</c:v>
                </c:pt>
                <c:pt idx="16">
                  <c:v>7.4329295516305738E-2</c:v>
                </c:pt>
                <c:pt idx="17">
                  <c:v>5.6843399005962136E-2</c:v>
                </c:pt>
                <c:pt idx="18">
                  <c:v>4.2771871864854094E-2</c:v>
                </c:pt>
                <c:pt idx="19">
                  <c:v>3.1659907827301437E-2</c:v>
                </c:pt>
                <c:pt idx="20">
                  <c:v>2.3049254810659559E-2</c:v>
                </c:pt>
                <c:pt idx="21">
                  <c:v>1.6501727144493605E-2</c:v>
                </c:pt>
                <c:pt idx="22">
                  <c:v>1.1616165017473978E-2</c:v>
                </c:pt>
                <c:pt idx="23">
                  <c:v>8.0389275808632199E-3</c:v>
                </c:pt>
                <c:pt idx="24">
                  <c:v>5.4686698067094586E-3</c:v>
                </c:pt>
                <c:pt idx="25">
                  <c:v>3.656488350339604E-3</c:v>
                </c:pt>
                <c:pt idx="26">
                  <c:v>2.4027051933523946E-3</c:v>
                </c:pt>
                <c:pt idx="27">
                  <c:v>1.5514903473790032E-3</c:v>
                </c:pt>
                <c:pt idx="28">
                  <c:v>9.8440068225480459E-4</c:v>
                </c:pt>
                <c:pt idx="29">
                  <c:v>6.1366863824896534E-4</c:v>
                </c:pt>
                <c:pt idx="30">
                  <c:v>3.7583984185429742E-4</c:v>
                </c:pt>
              </c:numCache>
            </c:numRef>
          </c:yVal>
        </c:ser>
        <c:ser>
          <c:idx val="6"/>
          <c:order val="6"/>
          <c:tx>
            <c:strRef>
              <c:f>BaseOM4!$AH$40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BaseOM4!$AH$41:$AH$71</c:f>
              <c:numCache>
                <c:formatCode>0%</c:formatCode>
                <c:ptCount val="31"/>
                <c:pt idx="0">
                  <c:v>3.7583984185429742E-4</c:v>
                </c:pt>
                <c:pt idx="1">
                  <c:v>6.1366863824896534E-4</c:v>
                </c:pt>
                <c:pt idx="2">
                  <c:v>9.8440068225480459E-4</c:v>
                </c:pt>
                <c:pt idx="3">
                  <c:v>1.5514903473790032E-3</c:v>
                </c:pt>
                <c:pt idx="4">
                  <c:v>2.4027051933523946E-3</c:v>
                </c:pt>
                <c:pt idx="5">
                  <c:v>3.656488350339715E-3</c:v>
                </c:pt>
                <c:pt idx="6">
                  <c:v>5.4686698067094586E-3</c:v>
                </c:pt>
                <c:pt idx="7">
                  <c:v>8.0389275808632199E-3</c:v>
                </c:pt>
                <c:pt idx="8">
                  <c:v>1.1616165017473978E-2</c:v>
                </c:pt>
                <c:pt idx="9">
                  <c:v>1.6501727144493605E-2</c:v>
                </c:pt>
                <c:pt idx="10">
                  <c:v>2.3049254810659559E-2</c:v>
                </c:pt>
                <c:pt idx="11">
                  <c:v>3.1659907827301437E-2</c:v>
                </c:pt>
                <c:pt idx="12">
                  <c:v>4.2771871864854094E-2</c:v>
                </c:pt>
                <c:pt idx="13">
                  <c:v>5.6843399005962025E-2</c:v>
                </c:pt>
                <c:pt idx="14">
                  <c:v>7.4329295516305738E-2</c:v>
                </c:pt>
                <c:pt idx="15">
                  <c:v>9.5651410730678288E-2</c:v>
                </c:pt>
                <c:pt idx="16">
                  <c:v>0.12116483352714202</c:v>
                </c:pt>
                <c:pt idx="17">
                  <c:v>0.15112218282822787</c:v>
                </c:pt>
                <c:pt idx="18">
                  <c:v>0.18563905273365067</c:v>
                </c:pt>
                <c:pt idx="19">
                  <c:v>0.22466551172079119</c:v>
                </c:pt>
                <c:pt idx="20">
                  <c:v>0.26796485374268342</c:v>
                </c:pt>
                <c:pt idx="21">
                  <c:v>0.31510592704632545</c:v>
                </c:pt>
                <c:pt idx="22">
                  <c:v>0.365469157377734</c:v>
                </c:pt>
                <c:pt idx="23">
                  <c:v>0.41826790896463195</c:v>
                </c:pt>
                <c:pt idx="24">
                  <c:v>0.47258414951849836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BaseOM4!$AI$40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BaseOM4!$AI$41:$AI$71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BaseOM4!$AL$40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BaseOM4!$AF$41:$AF$71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BaseOM4!$AO$40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BaseOM4!$AN$41:$AN$47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BaseOM4!$AO$41:$AO$47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BaseOM4!$AM$40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BaseOM4!$AF$41:$AF$71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BaseOM4!$AL$40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BaseOM4!$AI$41:$AI$71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BaseOM4!$AM$40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BaseOM4!$AM$41:$AM$71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BaseOM4!$AI$41:$AI$71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BaseOM4!$AT$39:$AT$40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BaseOM4!$AL$55:$AL$69</c:f>
              <c:numCache>
                <c:formatCode>General</c:formatCode>
                <c:ptCount val="15"/>
                <c:pt idx="0">
                  <c:v>0.19900300093664303</c:v>
                </c:pt>
                <c:pt idx="1">
                  <c:v>0.24900300093664302</c:v>
                </c:pt>
                <c:pt idx="2">
                  <c:v>0.299003000936643</c:v>
                </c:pt>
                <c:pt idx="3">
                  <c:v>0.34900300093664305</c:v>
                </c:pt>
                <c:pt idx="4">
                  <c:v>0.39900300093664309</c:v>
                </c:pt>
                <c:pt idx="5">
                  <c:v>0.44900300093664314</c:v>
                </c:pt>
                <c:pt idx="6">
                  <c:v>0.49900300093664318</c:v>
                </c:pt>
                <c:pt idx="7">
                  <c:v>0.54900300093664323</c:v>
                </c:pt>
                <c:pt idx="8">
                  <c:v>0.59900300093664327</c:v>
                </c:pt>
                <c:pt idx="9">
                  <c:v>0.64900300093664332</c:v>
                </c:pt>
                <c:pt idx="10">
                  <c:v>0.69900300093664336</c:v>
                </c:pt>
                <c:pt idx="11">
                  <c:v>0.74900300093664329</c:v>
                </c:pt>
                <c:pt idx="12">
                  <c:v>0.79900300093664334</c:v>
                </c:pt>
                <c:pt idx="13">
                  <c:v>0.84900300093664338</c:v>
                </c:pt>
                <c:pt idx="14">
                  <c:v>0.89900300093664343</c:v>
                </c:pt>
              </c:numCache>
            </c:numRef>
          </c:xVal>
          <c:yVal>
            <c:numRef>
              <c:f>BaseOM4!$AT$55:$AT$69</c:f>
              <c:numCache>
                <c:formatCode>0%</c:formatCode>
                <c:ptCount val="15"/>
                <c:pt idx="0">
                  <c:v>0.73815839396656813</c:v>
                </c:pt>
                <c:pt idx="1">
                  <c:v>0.74151990441208859</c:v>
                </c:pt>
                <c:pt idx="2">
                  <c:v>0.73815839396656813</c:v>
                </c:pt>
                <c:pt idx="3">
                  <c:v>0.728155679986217</c:v>
                </c:pt>
                <c:pt idx="4">
                  <c:v>0.71175395012761222</c:v>
                </c:pt>
                <c:pt idx="5">
                  <c:v>0.68934880502030538</c:v>
                </c:pt>
                <c:pt idx="6">
                  <c:v>0.66147594167519719</c:v>
                </c:pt>
                <c:pt idx="7">
                  <c:v>0.62879371080313629</c:v>
                </c:pt>
                <c:pt idx="8">
                  <c:v>0.59206110529637779</c:v>
                </c:pt>
                <c:pt idx="9">
                  <c:v>0.55211208355041919</c:v>
                </c:pt>
                <c:pt idx="10">
                  <c:v>0.50982701020648458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BaseOM4!$AT$39:$AT$40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BaseOM4!$AM$43:$AM$57</c:f>
              <c:numCache>
                <c:formatCode>General</c:formatCode>
                <c:ptCount val="15"/>
                <c:pt idx="0">
                  <c:v>0.10099699906335691</c:v>
                </c:pt>
                <c:pt idx="1">
                  <c:v>0.1509969990633569</c:v>
                </c:pt>
                <c:pt idx="2">
                  <c:v>0.20099699906335691</c:v>
                </c:pt>
                <c:pt idx="3">
                  <c:v>0.25099699906335693</c:v>
                </c:pt>
                <c:pt idx="4">
                  <c:v>0.30099699906335692</c:v>
                </c:pt>
                <c:pt idx="5">
                  <c:v>0.35099699906335691</c:v>
                </c:pt>
                <c:pt idx="6">
                  <c:v>0.40099699906335695</c:v>
                </c:pt>
                <c:pt idx="7">
                  <c:v>0.45099699906335694</c:v>
                </c:pt>
                <c:pt idx="8">
                  <c:v>0.50099699906335693</c:v>
                </c:pt>
                <c:pt idx="9">
                  <c:v>0.55099699906335697</c:v>
                </c:pt>
                <c:pt idx="10">
                  <c:v>0.60099699906335691</c:v>
                </c:pt>
                <c:pt idx="11">
                  <c:v>0.65099699906335684</c:v>
                </c:pt>
                <c:pt idx="12">
                  <c:v>0.70099699906335688</c:v>
                </c:pt>
                <c:pt idx="13">
                  <c:v>0.75099699906335693</c:v>
                </c:pt>
                <c:pt idx="14">
                  <c:v>0.80099699906335686</c:v>
                </c:pt>
              </c:numCache>
            </c:numRef>
          </c:xVal>
          <c:yVal>
            <c:numRef>
              <c:f>BaseOM4!$AT$43:$AT$57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0.5098270102064848</c:v>
                </c:pt>
                <c:pt idx="5">
                  <c:v>0.55211208355041963</c:v>
                </c:pt>
                <c:pt idx="6">
                  <c:v>0.59206110529637801</c:v>
                </c:pt>
                <c:pt idx="7">
                  <c:v>0.62879371080313629</c:v>
                </c:pt>
                <c:pt idx="8">
                  <c:v>0.66147594167519719</c:v>
                </c:pt>
                <c:pt idx="9">
                  <c:v>0.68934880502030538</c:v>
                </c:pt>
                <c:pt idx="10">
                  <c:v>0.71175395012761222</c:v>
                </c:pt>
                <c:pt idx="11">
                  <c:v>0.72815567998621722</c:v>
                </c:pt>
                <c:pt idx="12">
                  <c:v>0.73815839396656813</c:v>
                </c:pt>
                <c:pt idx="13">
                  <c:v>0.74151990441208859</c:v>
                </c:pt>
                <c:pt idx="14">
                  <c:v>0.73815839396656813</c:v>
                </c:pt>
              </c:numCache>
            </c:numRef>
          </c:yVal>
        </c:ser>
        <c:ser>
          <c:idx val="15"/>
          <c:order val="15"/>
          <c:tx>
            <c:strRef>
              <c:f>BaseOM4!$AW$39:$AW$40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BaseOM4!$AL$55:$AL$69</c:f>
              <c:numCache>
                <c:formatCode>General</c:formatCode>
                <c:ptCount val="15"/>
                <c:pt idx="0">
                  <c:v>0.19900300093664303</c:v>
                </c:pt>
                <c:pt idx="1">
                  <c:v>0.24900300093664302</c:v>
                </c:pt>
                <c:pt idx="2">
                  <c:v>0.299003000936643</c:v>
                </c:pt>
                <c:pt idx="3">
                  <c:v>0.34900300093664305</c:v>
                </c:pt>
                <c:pt idx="4">
                  <c:v>0.39900300093664309</c:v>
                </c:pt>
                <c:pt idx="5">
                  <c:v>0.44900300093664314</c:v>
                </c:pt>
                <c:pt idx="6">
                  <c:v>0.49900300093664318</c:v>
                </c:pt>
                <c:pt idx="7">
                  <c:v>0.54900300093664323</c:v>
                </c:pt>
                <c:pt idx="8">
                  <c:v>0.59900300093664327</c:v>
                </c:pt>
                <c:pt idx="9">
                  <c:v>0.64900300093664332</c:v>
                </c:pt>
                <c:pt idx="10">
                  <c:v>0.69900300093664336</c:v>
                </c:pt>
                <c:pt idx="11">
                  <c:v>0.74900300093664329</c:v>
                </c:pt>
                <c:pt idx="12">
                  <c:v>0.79900300093664334</c:v>
                </c:pt>
                <c:pt idx="13">
                  <c:v>0.84900300093664338</c:v>
                </c:pt>
                <c:pt idx="14">
                  <c:v>0.89900300093664343</c:v>
                </c:pt>
              </c:numCache>
            </c:numRef>
          </c:xVal>
          <c:yVal>
            <c:numRef>
              <c:f>BaseOM4!$AW$55:$AW$69</c:f>
              <c:numCache>
                <c:formatCode>0%</c:formatCode>
                <c:ptCount val="15"/>
                <c:pt idx="0">
                  <c:v>0.26184160603343187</c:v>
                </c:pt>
                <c:pt idx="1">
                  <c:v>0.25848009558791141</c:v>
                </c:pt>
                <c:pt idx="2">
                  <c:v>0.26184160603343187</c:v>
                </c:pt>
                <c:pt idx="3">
                  <c:v>0.271844320013783</c:v>
                </c:pt>
                <c:pt idx="4">
                  <c:v>0.28824604987238778</c:v>
                </c:pt>
                <c:pt idx="5">
                  <c:v>0.31065119497969462</c:v>
                </c:pt>
                <c:pt idx="6">
                  <c:v>0.33852405832480281</c:v>
                </c:pt>
                <c:pt idx="7">
                  <c:v>0.37120628919686371</c:v>
                </c:pt>
                <c:pt idx="8">
                  <c:v>0.40793889470362221</c:v>
                </c:pt>
                <c:pt idx="9">
                  <c:v>0.44788791644958081</c:v>
                </c:pt>
                <c:pt idx="10">
                  <c:v>0.49017298979351542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BaseOM4!$AW$39:$AW$40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BaseOM4!$AM$43:$AM$57</c:f>
              <c:numCache>
                <c:formatCode>General</c:formatCode>
                <c:ptCount val="15"/>
                <c:pt idx="0">
                  <c:v>0.10099699906335691</c:v>
                </c:pt>
                <c:pt idx="1">
                  <c:v>0.1509969990633569</c:v>
                </c:pt>
                <c:pt idx="2">
                  <c:v>0.20099699906335691</c:v>
                </c:pt>
                <c:pt idx="3">
                  <c:v>0.25099699906335693</c:v>
                </c:pt>
                <c:pt idx="4">
                  <c:v>0.30099699906335692</c:v>
                </c:pt>
                <c:pt idx="5">
                  <c:v>0.35099699906335691</c:v>
                </c:pt>
                <c:pt idx="6">
                  <c:v>0.40099699906335695</c:v>
                </c:pt>
                <c:pt idx="7">
                  <c:v>0.45099699906335694</c:v>
                </c:pt>
                <c:pt idx="8">
                  <c:v>0.50099699906335693</c:v>
                </c:pt>
                <c:pt idx="9">
                  <c:v>0.55099699906335697</c:v>
                </c:pt>
                <c:pt idx="10">
                  <c:v>0.60099699906335691</c:v>
                </c:pt>
                <c:pt idx="11">
                  <c:v>0.65099699906335684</c:v>
                </c:pt>
                <c:pt idx="12">
                  <c:v>0.70099699906335688</c:v>
                </c:pt>
                <c:pt idx="13">
                  <c:v>0.75099699906335693</c:v>
                </c:pt>
                <c:pt idx="14">
                  <c:v>0.80099699906335686</c:v>
                </c:pt>
              </c:numCache>
            </c:numRef>
          </c:xVal>
          <c:yVal>
            <c:numRef>
              <c:f>BaseOM4!$AW$43:$AW$57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0.4901729897935152</c:v>
                </c:pt>
                <c:pt idx="5">
                  <c:v>0.44788791644958037</c:v>
                </c:pt>
                <c:pt idx="6">
                  <c:v>0.40793889470362199</c:v>
                </c:pt>
                <c:pt idx="7">
                  <c:v>0.37120628919686371</c:v>
                </c:pt>
                <c:pt idx="8">
                  <c:v>0.33852405832480281</c:v>
                </c:pt>
                <c:pt idx="9">
                  <c:v>0.31065119497969462</c:v>
                </c:pt>
                <c:pt idx="10">
                  <c:v>0.28824604987238778</c:v>
                </c:pt>
                <c:pt idx="11">
                  <c:v>0.27184432001378278</c:v>
                </c:pt>
                <c:pt idx="12">
                  <c:v>0.26184160603343187</c:v>
                </c:pt>
                <c:pt idx="13">
                  <c:v>0.25848009558791141</c:v>
                </c:pt>
                <c:pt idx="14">
                  <c:v>0.26184160603343187</c:v>
                </c:pt>
              </c:numCache>
            </c:numRef>
          </c:yVal>
        </c:ser>
        <c:ser>
          <c:idx val="17"/>
          <c:order val="17"/>
          <c:tx>
            <c:strRef>
              <c:f>BaseOM4!$AI$8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BaseOM4!$AJ$8:$AJ$9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BaseOM4!$AK$8:$AK$9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117933184"/>
        <c:axId val="117935488"/>
      </c:scatterChart>
      <c:valAx>
        <c:axId val="117933184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7031527588747996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35488"/>
        <c:crosses val="autoZero"/>
        <c:crossBetween val="midCat"/>
      </c:valAx>
      <c:valAx>
        <c:axId val="117935488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33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072201241089048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6981073566446"/>
          <c:y val="0.11944221419115032"/>
          <c:w val="0.55013836177640563"/>
          <c:h val="0.73371645860278512"/>
        </c:manualLayout>
      </c:layout>
      <c:scatterChart>
        <c:scatterStyle val="lineMarker"/>
        <c:ser>
          <c:idx val="1"/>
          <c:order val="0"/>
          <c:tx>
            <c:strRef>
              <c:f>'BaseOM4(c)'!$B$15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'BaseOM4(c)'!$B$18:$B$38</c:f>
              <c:numCache>
                <c:formatCode>0.00</c:formatCode>
                <c:ptCount val="21"/>
                <c:pt idx="0">
                  <c:v>0.18112975596197842</c:v>
                </c:pt>
                <c:pt idx="1">
                  <c:v>0.19924273155817623</c:v>
                </c:pt>
                <c:pt idx="2">
                  <c:v>0.21735570715437408</c:v>
                </c:pt>
                <c:pt idx="3">
                  <c:v>0.23546868275057192</c:v>
                </c:pt>
                <c:pt idx="4">
                  <c:v>0.25358165834676977</c:v>
                </c:pt>
                <c:pt idx="5">
                  <c:v>0.27169463394296767</c:v>
                </c:pt>
                <c:pt idx="6">
                  <c:v>0.28980760953916551</c:v>
                </c:pt>
                <c:pt idx="7">
                  <c:v>0.30792058513536336</c:v>
                </c:pt>
                <c:pt idx="8">
                  <c:v>0.3260335607315612</c:v>
                </c:pt>
                <c:pt idx="9">
                  <c:v>0.34414653632775905</c:v>
                </c:pt>
                <c:pt idx="10">
                  <c:v>0.36225951192395695</c:v>
                </c:pt>
                <c:pt idx="11">
                  <c:v>0.38037248752015479</c:v>
                </c:pt>
                <c:pt idx="12">
                  <c:v>0.39848546311635263</c:v>
                </c:pt>
                <c:pt idx="13">
                  <c:v>0.41659843871255048</c:v>
                </c:pt>
                <c:pt idx="14">
                  <c:v>0.43471141430874832</c:v>
                </c:pt>
                <c:pt idx="15">
                  <c:v>0.45282438990494622</c:v>
                </c:pt>
                <c:pt idx="16">
                  <c:v>0.47093736550114407</c:v>
                </c:pt>
                <c:pt idx="17">
                  <c:v>0.48905034109734191</c:v>
                </c:pt>
                <c:pt idx="18">
                  <c:v>0.50716331669353976</c:v>
                </c:pt>
                <c:pt idx="19">
                  <c:v>0.5252762922897376</c:v>
                </c:pt>
                <c:pt idx="20">
                  <c:v>0.54338926788593545</c:v>
                </c:pt>
              </c:numCache>
            </c:numRef>
          </c:yVal>
        </c:ser>
        <c:ser>
          <c:idx val="0"/>
          <c:order val="1"/>
          <c:tx>
            <c:strRef>
              <c:f>'BaseOM4(c)'!$J$14:$J$15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'BaseOM4(c)'!$J$18:$J$38</c:f>
              <c:numCache>
                <c:formatCode>0.00</c:formatCode>
                <c:ptCount val="21"/>
                <c:pt idx="0">
                  <c:v>2.4355168498933892</c:v>
                </c:pt>
                <c:pt idx="1">
                  <c:v>2.4858558105062936</c:v>
                </c:pt>
                <c:pt idx="2">
                  <c:v>2.5410504272182632</c:v>
                </c:pt>
                <c:pt idx="3">
                  <c:v>2.6011184021205098</c:v>
                </c:pt>
                <c:pt idx="4">
                  <c:v>2.6660790051752645</c:v>
                </c:pt>
                <c:pt idx="5">
                  <c:v>2.7359567563356202</c:v>
                </c:pt>
                <c:pt idx="6">
                  <c:v>2.810777300984288</c:v>
                </c:pt>
                <c:pt idx="7">
                  <c:v>2.8905700990703327</c:v>
                </c:pt>
                <c:pt idx="8">
                  <c:v>2.9753721403815847</c:v>
                </c:pt>
                <c:pt idx="9">
                  <c:v>3.0652225618395921</c:v>
                </c:pt>
                <c:pt idx="10">
                  <c:v>3.1601707620450958</c:v>
                </c:pt>
                <c:pt idx="11">
                  <c:v>3.2602713801098862</c:v>
                </c:pt>
                <c:pt idx="12">
                  <c:v>3.3655876893362584</c:v>
                </c:pt>
                <c:pt idx="13">
                  <c:v>3.4761970297474276</c:v>
                </c:pt>
                <c:pt idx="14">
                  <c:v>3.5921840949685926</c:v>
                </c:pt>
                <c:pt idx="15">
                  <c:v>3.7136524022751556</c:v>
                </c:pt>
                <c:pt idx="16">
                  <c:v>3.8407160372462918</c:v>
                </c:pt>
                <c:pt idx="17">
                  <c:v>3.9735112292636972</c:v>
                </c:pt>
                <c:pt idx="18">
                  <c:v>4.1121947577800739</c:v>
                </c:pt>
                <c:pt idx="19">
                  <c:v>4.256942470847104</c:v>
                </c:pt>
                <c:pt idx="20">
                  <c:v>4.4079553022376601</c:v>
                </c:pt>
              </c:numCache>
            </c:numRef>
          </c:yVal>
        </c:ser>
        <c:ser>
          <c:idx val="6"/>
          <c:order val="2"/>
          <c:tx>
            <c:strRef>
              <c:f>'BaseOM4(c)'!$L$14:$L$15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'BaseOM4(c)'!$L$18:$L$38</c:f>
              <c:numCache>
                <c:formatCode>0.00</c:formatCode>
                <c:ptCount val="21"/>
                <c:pt idx="0">
                  <c:v>0.23541870980641599</c:v>
                </c:pt>
                <c:pt idx="1">
                  <c:v>0.23567379871931271</c:v>
                </c:pt>
                <c:pt idx="2">
                  <c:v>0.23595705195181571</c:v>
                </c:pt>
                <c:pt idx="3">
                  <c:v>0.23627079874768908</c:v>
                </c:pt>
                <c:pt idx="4">
                  <c:v>0.2366191337010477</c:v>
                </c:pt>
                <c:pt idx="5">
                  <c:v>0.23700457267409281</c:v>
                </c:pt>
                <c:pt idx="6">
                  <c:v>0.23743251806758892</c:v>
                </c:pt>
                <c:pt idx="7">
                  <c:v>0.23791030460376916</c:v>
                </c:pt>
                <c:pt idx="8">
                  <c:v>0.23844283308679604</c:v>
                </c:pt>
                <c:pt idx="9">
                  <c:v>0.2390395300715622</c:v>
                </c:pt>
                <c:pt idx="10">
                  <c:v>0.23970817448279735</c:v>
                </c:pt>
                <c:pt idx="11">
                  <c:v>0.24045952334942733</c:v>
                </c:pt>
                <c:pt idx="12">
                  <c:v>0.24130591260532031</c:v>
                </c:pt>
                <c:pt idx="13">
                  <c:v>0.2422583940613654</c:v>
                </c:pt>
                <c:pt idx="14">
                  <c:v>0.24333326646769304</c:v>
                </c:pt>
                <c:pt idx="15">
                  <c:v>0.24454323217343132</c:v>
                </c:pt>
                <c:pt idx="16">
                  <c:v>0.24590916270547059</c:v>
                </c:pt>
                <c:pt idx="17">
                  <c:v>0.24744858565371253</c:v>
                </c:pt>
                <c:pt idx="18">
                  <c:v>0.24918091471498727</c:v>
                </c:pt>
                <c:pt idx="19">
                  <c:v>0.25113394435906677</c:v>
                </c:pt>
                <c:pt idx="20">
                  <c:v>0.25333766459724849</c:v>
                </c:pt>
              </c:numCache>
            </c:numRef>
          </c:yVal>
        </c:ser>
        <c:ser>
          <c:idx val="3"/>
          <c:order val="3"/>
          <c:tx>
            <c:strRef>
              <c:f>'BaseOM4(c)'!$R$15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'BaseOM4(c)'!$R$18:$R$38</c:f>
              <c:numCache>
                <c:formatCode>0.00</c:formatCode>
                <c:ptCount val="21"/>
                <c:pt idx="0">
                  <c:v>0.30723525683201397</c:v>
                </c:pt>
                <c:pt idx="1">
                  <c:v>0.30721950579581375</c:v>
                </c:pt>
                <c:pt idx="2">
                  <c:v>0.307605796307719</c:v>
                </c:pt>
                <c:pt idx="3">
                  <c:v>0.30846312171042661</c:v>
                </c:pt>
                <c:pt idx="4">
                  <c:v>0.30985820605788639</c:v>
                </c:pt>
                <c:pt idx="5">
                  <c:v>0.31185636222013863</c:v>
                </c:pt>
                <c:pt idx="6">
                  <c:v>0.31452264652947104</c:v>
                </c:pt>
                <c:pt idx="7">
                  <c:v>0.31792345960072566</c:v>
                </c:pt>
                <c:pt idx="8">
                  <c:v>0.32212796530104804</c:v>
                </c:pt>
                <c:pt idx="9">
                  <c:v>0.32721002603415417</c:v>
                </c:pt>
                <c:pt idx="10">
                  <c:v>0.33325039004674345</c:v>
                </c:pt>
                <c:pt idx="11">
                  <c:v>0.34033872313878477</c:v>
                </c:pt>
                <c:pt idx="12">
                  <c:v>0.34857630664262429</c:v>
                </c:pt>
                <c:pt idx="13">
                  <c:v>0.35807922870795561</c:v>
                </c:pt>
                <c:pt idx="14">
                  <c:v>0.36898160593317902</c:v>
                </c:pt>
                <c:pt idx="15">
                  <c:v>0.38143995253710927</c:v>
                </c:pt>
                <c:pt idx="16">
                  <c:v>0.39563864619931932</c:v>
                </c:pt>
                <c:pt idx="17">
                  <c:v>0.41179594513348772</c:v>
                </c:pt>
                <c:pt idx="18">
                  <c:v>0.43017227795727925</c:v>
                </c:pt>
                <c:pt idx="19">
                  <c:v>0.45108107170739015</c:v>
                </c:pt>
                <c:pt idx="20">
                  <c:v>0.47490143339444557</c:v>
                </c:pt>
              </c:numCache>
            </c:numRef>
          </c:yVal>
        </c:ser>
        <c:ser>
          <c:idx val="5"/>
          <c:order val="4"/>
          <c:tx>
            <c:strRef>
              <c:f>'BaseOM4(c)'!$N$14:$N$15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'BaseOM4(c)'!$Q$15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'BaseOM4(c)'!$Q$18:$Q$38</c:f>
              <c:numCache>
                <c:formatCode>0.00</c:formatCode>
                <c:ptCount val="21"/>
                <c:pt idx="0">
                  <c:v>8.0997924448331926E-3</c:v>
                </c:pt>
                <c:pt idx="1">
                  <c:v>1.1681441244420377E-2</c:v>
                </c:pt>
                <c:pt idx="2">
                  <c:v>1.6276742376211573E-2</c:v>
                </c:pt>
                <c:pt idx="3">
                  <c:v>2.203017531917812E-2</c:v>
                </c:pt>
                <c:pt idx="4">
                  <c:v>2.9084690814226506E-2</c:v>
                </c:pt>
                <c:pt idx="5">
                  <c:v>3.7579535744960896E-2</c:v>
                </c:pt>
                <c:pt idx="6">
                  <c:v>4.7648266426634021E-2</c:v>
                </c:pt>
                <c:pt idx="7">
                  <c:v>5.9416968495259258E-2</c:v>
                </c:pt>
                <c:pt idx="8">
                  <c:v>7.3002692367097277E-2</c:v>
                </c:pt>
                <c:pt idx="9">
                  <c:v>8.8512105287009424E-2</c:v>
                </c:pt>
                <c:pt idx="10">
                  <c:v>0.10604035448524393</c:v>
                </c:pt>
                <c:pt idx="11">
                  <c:v>0.12567013097305393</c:v>
                </c:pt>
                <c:pt idx="12">
                  <c:v>0.147470919985387</c:v>
                </c:pt>
                <c:pt idx="13">
                  <c:v>0.17149842190820336</c:v>
                </c:pt>
                <c:pt idx="14">
                  <c:v>0.19779412654675405</c:v>
                </c:pt>
                <c:pt idx="15">
                  <c:v>0.22638502361329385</c:v>
                </c:pt>
                <c:pt idx="16">
                  <c:v>0.2572834331458827</c:v>
                </c:pt>
                <c:pt idx="17">
                  <c:v>0.29048694102871675</c:v>
                </c:pt>
                <c:pt idx="18">
                  <c:v>0.32597842669832255</c:v>
                </c:pt>
                <c:pt idx="19">
                  <c:v>0.3637261723379378</c:v>
                </c:pt>
                <c:pt idx="20">
                  <c:v>0.40368404525400281</c:v>
                </c:pt>
              </c:numCache>
            </c:numRef>
          </c:yVal>
        </c:ser>
        <c:ser>
          <c:idx val="4"/>
          <c:order val="6"/>
          <c:tx>
            <c:strRef>
              <c:f>'BaseOM4(c)'!$S$14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'BaseOM4(c)'!$S$18:$S$38</c:f>
              <c:numCache>
                <c:formatCode>0.00</c:formatCode>
                <c:ptCount val="21"/>
                <c:pt idx="0">
                  <c:v>8.8609989643510023E-2</c:v>
                </c:pt>
                <c:pt idx="1">
                  <c:v>9.1781501679411515E-2</c:v>
                </c:pt>
                <c:pt idx="2">
                  <c:v>9.5579160790739026E-2</c:v>
                </c:pt>
                <c:pt idx="3">
                  <c:v>0.10008990466899631</c:v>
                </c:pt>
                <c:pt idx="4">
                  <c:v>0.10541096983178311</c:v>
                </c:pt>
                <c:pt idx="5">
                  <c:v>0.11165198214453925</c:v>
                </c:pt>
                <c:pt idx="6">
                  <c:v>0.11893761673119529</c:v>
                </c:pt>
                <c:pt idx="7">
                  <c:v>0.12741105019215171</c:v>
                </c:pt>
                <c:pt idx="8">
                  <c:v>0.13723808783464508</c:v>
                </c:pt>
                <c:pt idx="9">
                  <c:v>0.14861253098312455</c:v>
                </c:pt>
                <c:pt idx="10">
                  <c:v>0.16176299818336498</c:v>
                </c:pt>
                <c:pt idx="11">
                  <c:v>0.17696138344762968</c:v>
                </c:pt>
                <c:pt idx="12">
                  <c:v>0.19453399185238351</c:v>
                </c:pt>
                <c:pt idx="13">
                  <c:v>0.21487614477452965</c:v>
                </c:pt>
                <c:pt idx="14">
                  <c:v>0.23847112832337264</c:v>
                </c:pt>
                <c:pt idx="15">
                  <c:v>0.26591598433020391</c:v>
                </c:pt>
                <c:pt idx="16">
                  <c:v>0.29795688394657738</c:v>
                </c:pt>
                <c:pt idx="17">
                  <c:v>0.33553769107592235</c:v>
                </c:pt>
                <c:pt idx="18">
                  <c:v>0.37986956088419865</c:v>
                </c:pt>
                <c:pt idx="19">
                  <c:v>0.43253258769331571</c:v>
                </c:pt>
                <c:pt idx="20">
                  <c:v>0.49562639811927223</c:v>
                </c:pt>
              </c:numCache>
            </c:numRef>
          </c:yVal>
        </c:ser>
        <c:ser>
          <c:idx val="8"/>
          <c:order val="7"/>
          <c:tx>
            <c:strRef>
              <c:f>'BaseOM4(c)'!$T$14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'BaseOM4(c)'!$T$18:$T$38</c:f>
              <c:numCache>
                <c:formatCode>0.0</c:formatCode>
                <c:ptCount val="21"/>
                <c:pt idx="0">
                  <c:v>3.3851103545821406</c:v>
                </c:pt>
                <c:pt idx="1">
                  <c:v>3.4605547895034281</c:v>
                </c:pt>
                <c:pt idx="2">
                  <c:v>3.5429248857991231</c:v>
                </c:pt>
                <c:pt idx="3">
                  <c:v>3.6325410853173725</c:v>
                </c:pt>
                <c:pt idx="4">
                  <c:v>3.7297336639269778</c:v>
                </c:pt>
                <c:pt idx="5">
                  <c:v>3.8348438430623188</c:v>
                </c:pt>
                <c:pt idx="6">
                  <c:v>3.9482259582783428</c:v>
                </c:pt>
                <c:pt idx="7">
                  <c:v>4.0702524670976015</c:v>
                </c:pt>
                <c:pt idx="8">
                  <c:v>4.2013172797027325</c:v>
                </c:pt>
                <c:pt idx="9">
                  <c:v>4.3418432905432018</c:v>
                </c:pt>
                <c:pt idx="10">
                  <c:v>4.4922921911672029</c:v>
                </c:pt>
                <c:pt idx="11">
                  <c:v>4.6531736285389362</c:v>
                </c:pt>
                <c:pt idx="12">
                  <c:v>4.8250602835383258</c:v>
                </c:pt>
                <c:pt idx="13">
                  <c:v>5.008607657912032</c:v>
                </c:pt>
                <c:pt idx="14">
                  <c:v>5.2045756365483404</c:v>
                </c:pt>
                <c:pt idx="15">
                  <c:v>5.4138609848341401</c:v>
                </c:pt>
                <c:pt idx="16">
                  <c:v>5.6375415287446868</c:v>
                </c:pt>
                <c:pt idx="17">
                  <c:v>5.8769307332528786</c:v>
                </c:pt>
                <c:pt idx="18">
                  <c:v>6.1336592547284026</c:v>
                </c:pt>
                <c:pt idx="19">
                  <c:v>6.4097925392345516</c:v>
                </c:pt>
                <c:pt idx="20">
                  <c:v>6.7079941114885644</c:v>
                </c:pt>
              </c:numCache>
            </c:numRef>
          </c:yVal>
        </c:ser>
        <c:ser>
          <c:idx val="7"/>
          <c:order val="8"/>
          <c:tx>
            <c:strRef>
              <c:f>'BaseOM4(c)'!$AL$15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'BaseOM4(c)'!$A$18:$A$38</c:f>
              <c:numCache>
                <c:formatCode>0.00#</c:formatCode>
                <c:ptCount val="2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</c:numCache>
            </c:numRef>
          </c:xVal>
          <c:yVal>
            <c:numRef>
              <c:f>'BaseOM4(c)'!$AL$18:$AL$38</c:f>
              <c:numCache>
                <c:formatCode>General</c:formatCode>
                <c:ptCount val="21"/>
                <c:pt idx="0">
                  <c:v>6.6999999999999993</c:v>
                </c:pt>
                <c:pt idx="1">
                  <c:v>6.6999999999999993</c:v>
                </c:pt>
                <c:pt idx="2">
                  <c:v>6.6999999999999993</c:v>
                </c:pt>
                <c:pt idx="3">
                  <c:v>6.6999999999999993</c:v>
                </c:pt>
                <c:pt idx="4">
                  <c:v>6.6999999999999993</c:v>
                </c:pt>
                <c:pt idx="5">
                  <c:v>6.6999999999999993</c:v>
                </c:pt>
                <c:pt idx="6">
                  <c:v>6.6999999999999993</c:v>
                </c:pt>
                <c:pt idx="7">
                  <c:v>6.6999999999999993</c:v>
                </c:pt>
                <c:pt idx="8">
                  <c:v>6.6999999999999993</c:v>
                </c:pt>
                <c:pt idx="9">
                  <c:v>6.6999999999999993</c:v>
                </c:pt>
                <c:pt idx="10">
                  <c:v>6.6999999999999993</c:v>
                </c:pt>
                <c:pt idx="11">
                  <c:v>6.6999999999999993</c:v>
                </c:pt>
                <c:pt idx="12">
                  <c:v>6.6999999999999993</c:v>
                </c:pt>
                <c:pt idx="13">
                  <c:v>6.6999999999999993</c:v>
                </c:pt>
                <c:pt idx="14">
                  <c:v>6.6999999999999993</c:v>
                </c:pt>
                <c:pt idx="15">
                  <c:v>6.6999999999999993</c:v>
                </c:pt>
                <c:pt idx="16">
                  <c:v>6.6999999999999993</c:v>
                </c:pt>
                <c:pt idx="17">
                  <c:v>6.6999999999999993</c:v>
                </c:pt>
                <c:pt idx="18">
                  <c:v>6.6999999999999993</c:v>
                </c:pt>
                <c:pt idx="19">
                  <c:v>6.6999999999999993</c:v>
                </c:pt>
                <c:pt idx="20">
                  <c:v>6.6999999999999993</c:v>
                </c:pt>
              </c:numCache>
            </c:numRef>
          </c:yVal>
        </c:ser>
        <c:ser>
          <c:idx val="9"/>
          <c:order val="9"/>
          <c:tx>
            <c:strRef>
              <c:f>'BaseOM4(c)'!$AN$16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'BaseOM4(c)'!$AM$18:$AM$38</c:f>
              <c:numCache>
                <c:formatCode>General</c:formatCode>
                <c:ptCount val="2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</c:numCache>
            </c:numRef>
          </c:xVal>
          <c:yVal>
            <c:numRef>
              <c:f>'BaseOM4(c)'!$AN$18:$AN$38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</c:numCache>
            </c:numRef>
          </c:yVal>
        </c:ser>
        <c:axId val="120498816"/>
        <c:axId val="120509184"/>
      </c:scatterChart>
      <c:valAx>
        <c:axId val="120498816"/>
        <c:scaling>
          <c:orientation val="minMax"/>
          <c:max val="0.15000000000000002"/>
          <c:min val="0.0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429433943541263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09184"/>
        <c:crosses val="autoZero"/>
        <c:crossBetween val="midCat"/>
      </c:valAx>
      <c:valAx>
        <c:axId val="120509184"/>
        <c:scaling>
          <c:orientation val="minMax"/>
          <c:max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2.3815513496814412E-2"/>
              <c:y val="0.3856277201028613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98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3731616528365"/>
          <c:y val="0.31396239158816913"/>
          <c:w val="0.26435219981464358"/>
          <c:h val="0.491419395529306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22" r="0.75000000000000422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68338086177849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00472287844525E-2"/>
          <c:y val="0.23205915899994919"/>
          <c:w val="0.84842766887580479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'BaseOM4(c)'!$AE$40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'BaseOM4(c)'!$AL$41:$AL$71</c:f>
              <c:numCache>
                <c:formatCode>General</c:formatCode>
                <c:ptCount val="31"/>
                <c:pt idx="0">
                  <c:v>-0.34850000000000003</c:v>
                </c:pt>
                <c:pt idx="1">
                  <c:v>-0.29849999999999999</c:v>
                </c:pt>
                <c:pt idx="2">
                  <c:v>-0.24850000000000003</c:v>
                </c:pt>
                <c:pt idx="3">
                  <c:v>-0.19850000000000001</c:v>
                </c:pt>
                <c:pt idx="4">
                  <c:v>-0.14850000000000002</c:v>
                </c:pt>
                <c:pt idx="5">
                  <c:v>-9.8500000000000004E-2</c:v>
                </c:pt>
                <c:pt idx="6">
                  <c:v>-4.8500000000000001E-2</c:v>
                </c:pt>
                <c:pt idx="7">
                  <c:v>1.5000000000000013E-3</c:v>
                </c:pt>
                <c:pt idx="8">
                  <c:v>5.1500000000000018E-2</c:v>
                </c:pt>
                <c:pt idx="9">
                  <c:v>0.10150000000000001</c:v>
                </c:pt>
                <c:pt idx="10">
                  <c:v>0.1515</c:v>
                </c:pt>
                <c:pt idx="11">
                  <c:v>0.20149999999999998</c:v>
                </c:pt>
                <c:pt idx="12">
                  <c:v>0.25149999999999995</c:v>
                </c:pt>
                <c:pt idx="13">
                  <c:v>0.30149999999999999</c:v>
                </c:pt>
                <c:pt idx="14">
                  <c:v>0.35149999999999992</c:v>
                </c:pt>
                <c:pt idx="15">
                  <c:v>0.40149999999999997</c:v>
                </c:pt>
                <c:pt idx="16">
                  <c:v>0.4514999999999999</c:v>
                </c:pt>
                <c:pt idx="17">
                  <c:v>0.50149999999999995</c:v>
                </c:pt>
                <c:pt idx="18">
                  <c:v>0.55149999999999999</c:v>
                </c:pt>
                <c:pt idx="19">
                  <c:v>0.60150000000000003</c:v>
                </c:pt>
                <c:pt idx="20">
                  <c:v>0.65150000000000008</c:v>
                </c:pt>
                <c:pt idx="21">
                  <c:v>0.70150000000000012</c:v>
                </c:pt>
                <c:pt idx="22">
                  <c:v>0.75150000000000017</c:v>
                </c:pt>
                <c:pt idx="23">
                  <c:v>0.80150000000000021</c:v>
                </c:pt>
                <c:pt idx="24">
                  <c:v>0.85150000000000026</c:v>
                </c:pt>
                <c:pt idx="25">
                  <c:v>0.90150000000000019</c:v>
                </c:pt>
                <c:pt idx="26">
                  <c:v>0.95150000000000023</c:v>
                </c:pt>
                <c:pt idx="27">
                  <c:v>1.0015000000000003</c:v>
                </c:pt>
                <c:pt idx="28">
                  <c:v>1.0515000000000003</c:v>
                </c:pt>
                <c:pt idx="29">
                  <c:v>1.1015000000000004</c:v>
                </c:pt>
                <c:pt idx="30">
                  <c:v>1.1515000000000004</c:v>
                </c:pt>
              </c:numCache>
            </c:numRef>
          </c:xVal>
          <c:yVal>
            <c:numRef>
              <c:f>'BaseOM4(c)'!$AE$41:$AE$71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'BaseOM4(c)'!$AD$40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'BaseOM4(c)'!$AM$41:$AM$71</c:f>
              <c:numCache>
                <c:formatCode>General</c:formatCode>
                <c:ptCount val="31"/>
                <c:pt idx="0">
                  <c:v>-0.1515</c:v>
                </c:pt>
                <c:pt idx="1">
                  <c:v>-0.10150000000000001</c:v>
                </c:pt>
                <c:pt idx="2">
                  <c:v>-5.1500000000000018E-2</c:v>
                </c:pt>
                <c:pt idx="3">
                  <c:v>-1.5000000000000152E-3</c:v>
                </c:pt>
                <c:pt idx="4">
                  <c:v>4.8499999999999988E-2</c:v>
                </c:pt>
                <c:pt idx="5">
                  <c:v>9.8500000000000004E-2</c:v>
                </c:pt>
                <c:pt idx="6">
                  <c:v>0.14850000000000002</c:v>
                </c:pt>
                <c:pt idx="7">
                  <c:v>0.19850000000000001</c:v>
                </c:pt>
                <c:pt idx="8">
                  <c:v>0.24850000000000003</c:v>
                </c:pt>
                <c:pt idx="9">
                  <c:v>0.29849999999999999</c:v>
                </c:pt>
                <c:pt idx="10">
                  <c:v>0.34850000000000003</c:v>
                </c:pt>
                <c:pt idx="11">
                  <c:v>0.39849999999999997</c:v>
                </c:pt>
                <c:pt idx="12">
                  <c:v>0.44850000000000001</c:v>
                </c:pt>
                <c:pt idx="13">
                  <c:v>0.49849999999999994</c:v>
                </c:pt>
                <c:pt idx="14">
                  <c:v>0.54849999999999999</c:v>
                </c:pt>
                <c:pt idx="15">
                  <c:v>0.59849999999999992</c:v>
                </c:pt>
                <c:pt idx="16">
                  <c:v>0.64849999999999997</c:v>
                </c:pt>
                <c:pt idx="17">
                  <c:v>0.69850000000000001</c:v>
                </c:pt>
                <c:pt idx="18">
                  <c:v>0.74850000000000005</c:v>
                </c:pt>
                <c:pt idx="19">
                  <c:v>0.7985000000000001</c:v>
                </c:pt>
                <c:pt idx="20">
                  <c:v>0.84850000000000014</c:v>
                </c:pt>
                <c:pt idx="21">
                  <c:v>0.89850000000000019</c:v>
                </c:pt>
                <c:pt idx="22">
                  <c:v>0.94850000000000023</c:v>
                </c:pt>
                <c:pt idx="23">
                  <c:v>0.99850000000000028</c:v>
                </c:pt>
                <c:pt idx="24">
                  <c:v>1.0485000000000002</c:v>
                </c:pt>
                <c:pt idx="25">
                  <c:v>1.0985000000000003</c:v>
                </c:pt>
                <c:pt idx="26">
                  <c:v>1.1485000000000003</c:v>
                </c:pt>
                <c:pt idx="27">
                  <c:v>1.1985000000000003</c:v>
                </c:pt>
                <c:pt idx="28">
                  <c:v>1.2485000000000004</c:v>
                </c:pt>
                <c:pt idx="29">
                  <c:v>1.2985000000000004</c:v>
                </c:pt>
                <c:pt idx="30">
                  <c:v>1.3485000000000005</c:v>
                </c:pt>
              </c:numCache>
            </c:numRef>
          </c:xVal>
          <c:yVal>
            <c:numRef>
              <c:f>'BaseOM4(c)'!$AD$41:$AD$71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2"/>
          <c:order val="2"/>
          <c:tx>
            <c:strRef>
              <c:f>'BaseOM4(c)'!$AD$40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3"/>
          <c:order val="3"/>
          <c:tx>
            <c:strRef>
              <c:f>'BaseOM4(c)'!$AE$40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'BaseOM4(c)'!$AF$40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'BaseOM4(c)'!$AG$40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0.47258414951849803</c:v>
                </c:pt>
                <c:pt idx="7">
                  <c:v>0.41826790896463173</c:v>
                </c:pt>
                <c:pt idx="8">
                  <c:v>0.36546915737773378</c:v>
                </c:pt>
                <c:pt idx="9">
                  <c:v>0.31510592704632534</c:v>
                </c:pt>
                <c:pt idx="10">
                  <c:v>0.26796485374268331</c:v>
                </c:pt>
                <c:pt idx="11">
                  <c:v>0.22466551172079119</c:v>
                </c:pt>
                <c:pt idx="12">
                  <c:v>0.18563905273365067</c:v>
                </c:pt>
                <c:pt idx="13">
                  <c:v>0.15112218282822809</c:v>
                </c:pt>
                <c:pt idx="14">
                  <c:v>0.12116483352714202</c:v>
                </c:pt>
                <c:pt idx="15">
                  <c:v>9.5651410730678288E-2</c:v>
                </c:pt>
                <c:pt idx="16">
                  <c:v>7.4329295516305738E-2</c:v>
                </c:pt>
                <c:pt idx="17">
                  <c:v>5.6843399005962136E-2</c:v>
                </c:pt>
                <c:pt idx="18">
                  <c:v>4.2771871864854094E-2</c:v>
                </c:pt>
                <c:pt idx="19">
                  <c:v>3.1659907827301437E-2</c:v>
                </c:pt>
                <c:pt idx="20">
                  <c:v>2.3049254810659559E-2</c:v>
                </c:pt>
                <c:pt idx="21">
                  <c:v>1.6501727144493605E-2</c:v>
                </c:pt>
                <c:pt idx="22">
                  <c:v>1.1616165017473978E-2</c:v>
                </c:pt>
                <c:pt idx="23">
                  <c:v>8.0389275808632199E-3</c:v>
                </c:pt>
                <c:pt idx="24">
                  <c:v>5.4686698067094586E-3</c:v>
                </c:pt>
                <c:pt idx="25">
                  <c:v>3.656488350339604E-3</c:v>
                </c:pt>
                <c:pt idx="26">
                  <c:v>2.4027051933523946E-3</c:v>
                </c:pt>
                <c:pt idx="27">
                  <c:v>1.5514903473790032E-3</c:v>
                </c:pt>
                <c:pt idx="28">
                  <c:v>9.8440068225480459E-4</c:v>
                </c:pt>
                <c:pt idx="29">
                  <c:v>6.1366863824896534E-4</c:v>
                </c:pt>
                <c:pt idx="30">
                  <c:v>3.7583984185429742E-4</c:v>
                </c:pt>
              </c:numCache>
            </c:numRef>
          </c:yVal>
        </c:ser>
        <c:ser>
          <c:idx val="6"/>
          <c:order val="6"/>
          <c:tx>
            <c:strRef>
              <c:f>'BaseOM4(c)'!$AH$40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'BaseOM4(c)'!$AH$41:$AH$71</c:f>
              <c:numCache>
                <c:formatCode>0%</c:formatCode>
                <c:ptCount val="31"/>
                <c:pt idx="0">
                  <c:v>3.7583984185429742E-4</c:v>
                </c:pt>
                <c:pt idx="1">
                  <c:v>6.1366863824896534E-4</c:v>
                </c:pt>
                <c:pt idx="2">
                  <c:v>9.8440068225480459E-4</c:v>
                </c:pt>
                <c:pt idx="3">
                  <c:v>1.5514903473790032E-3</c:v>
                </c:pt>
                <c:pt idx="4">
                  <c:v>2.4027051933523946E-3</c:v>
                </c:pt>
                <c:pt idx="5">
                  <c:v>3.656488350339715E-3</c:v>
                </c:pt>
                <c:pt idx="6">
                  <c:v>5.4686698067094586E-3</c:v>
                </c:pt>
                <c:pt idx="7">
                  <c:v>8.0389275808632199E-3</c:v>
                </c:pt>
                <c:pt idx="8">
                  <c:v>1.1616165017473978E-2</c:v>
                </c:pt>
                <c:pt idx="9">
                  <c:v>1.6501727144493605E-2</c:v>
                </c:pt>
                <c:pt idx="10">
                  <c:v>2.3049254810659559E-2</c:v>
                </c:pt>
                <c:pt idx="11">
                  <c:v>3.1659907827301437E-2</c:v>
                </c:pt>
                <c:pt idx="12">
                  <c:v>4.2771871864854094E-2</c:v>
                </c:pt>
                <c:pt idx="13">
                  <c:v>5.6843399005962025E-2</c:v>
                </c:pt>
                <c:pt idx="14">
                  <c:v>7.4329295516305738E-2</c:v>
                </c:pt>
                <c:pt idx="15">
                  <c:v>9.5651410730678288E-2</c:v>
                </c:pt>
                <c:pt idx="16">
                  <c:v>0.12116483352714202</c:v>
                </c:pt>
                <c:pt idx="17">
                  <c:v>0.15112218282822787</c:v>
                </c:pt>
                <c:pt idx="18">
                  <c:v>0.18563905273365067</c:v>
                </c:pt>
                <c:pt idx="19">
                  <c:v>0.22466551172079119</c:v>
                </c:pt>
                <c:pt idx="20">
                  <c:v>0.26796485374268342</c:v>
                </c:pt>
                <c:pt idx="21">
                  <c:v>0.31510592704632545</c:v>
                </c:pt>
                <c:pt idx="22">
                  <c:v>0.365469157377734</c:v>
                </c:pt>
                <c:pt idx="23">
                  <c:v>0.41826790896463195</c:v>
                </c:pt>
                <c:pt idx="24">
                  <c:v>0.47258414951849836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'BaseOM4(c)'!$AI$40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'BaseOM4(c)'!$AI$41:$AI$71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'BaseOM4(c)'!$AL$40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'BaseOM4(c)'!$AL$41:$AL$71</c:f>
              <c:numCache>
                <c:formatCode>General</c:formatCode>
                <c:ptCount val="31"/>
                <c:pt idx="0">
                  <c:v>-0.34850000000000003</c:v>
                </c:pt>
                <c:pt idx="1">
                  <c:v>-0.29849999999999999</c:v>
                </c:pt>
                <c:pt idx="2">
                  <c:v>-0.24850000000000003</c:v>
                </c:pt>
                <c:pt idx="3">
                  <c:v>-0.19850000000000001</c:v>
                </c:pt>
                <c:pt idx="4">
                  <c:v>-0.14850000000000002</c:v>
                </c:pt>
                <c:pt idx="5">
                  <c:v>-9.8500000000000004E-2</c:v>
                </c:pt>
                <c:pt idx="6">
                  <c:v>-4.8500000000000001E-2</c:v>
                </c:pt>
                <c:pt idx="7">
                  <c:v>1.5000000000000013E-3</c:v>
                </c:pt>
                <c:pt idx="8">
                  <c:v>5.1500000000000018E-2</c:v>
                </c:pt>
                <c:pt idx="9">
                  <c:v>0.10150000000000001</c:v>
                </c:pt>
                <c:pt idx="10">
                  <c:v>0.1515</c:v>
                </c:pt>
                <c:pt idx="11">
                  <c:v>0.20149999999999998</c:v>
                </c:pt>
                <c:pt idx="12">
                  <c:v>0.25149999999999995</c:v>
                </c:pt>
                <c:pt idx="13">
                  <c:v>0.30149999999999999</c:v>
                </c:pt>
                <c:pt idx="14">
                  <c:v>0.35149999999999992</c:v>
                </c:pt>
                <c:pt idx="15">
                  <c:v>0.40149999999999997</c:v>
                </c:pt>
                <c:pt idx="16">
                  <c:v>0.4514999999999999</c:v>
                </c:pt>
                <c:pt idx="17">
                  <c:v>0.50149999999999995</c:v>
                </c:pt>
                <c:pt idx="18">
                  <c:v>0.55149999999999999</c:v>
                </c:pt>
                <c:pt idx="19">
                  <c:v>0.60150000000000003</c:v>
                </c:pt>
                <c:pt idx="20">
                  <c:v>0.65150000000000008</c:v>
                </c:pt>
                <c:pt idx="21">
                  <c:v>0.70150000000000012</c:v>
                </c:pt>
                <c:pt idx="22">
                  <c:v>0.75150000000000017</c:v>
                </c:pt>
                <c:pt idx="23">
                  <c:v>0.80150000000000021</c:v>
                </c:pt>
                <c:pt idx="24">
                  <c:v>0.85150000000000026</c:v>
                </c:pt>
                <c:pt idx="25">
                  <c:v>0.90150000000000019</c:v>
                </c:pt>
                <c:pt idx="26">
                  <c:v>0.95150000000000023</c:v>
                </c:pt>
                <c:pt idx="27">
                  <c:v>1.0015000000000003</c:v>
                </c:pt>
                <c:pt idx="28">
                  <c:v>1.0515000000000003</c:v>
                </c:pt>
                <c:pt idx="29">
                  <c:v>1.1015000000000004</c:v>
                </c:pt>
                <c:pt idx="30">
                  <c:v>1.1515000000000004</c:v>
                </c:pt>
              </c:numCache>
            </c:numRef>
          </c:xVal>
          <c:yVal>
            <c:numRef>
              <c:f>'BaseOM4(c)'!$AF$41:$AF$71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'BaseOM4(c)'!$AO$40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'BaseOM4(c)'!$AN$41:$AN$47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'BaseOM4(c)'!$AO$41:$AO$47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'BaseOM4(c)'!$AM$40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'BaseOM4(c)'!$AM$41:$AM$71</c:f>
              <c:numCache>
                <c:formatCode>General</c:formatCode>
                <c:ptCount val="31"/>
                <c:pt idx="0">
                  <c:v>-0.1515</c:v>
                </c:pt>
                <c:pt idx="1">
                  <c:v>-0.10150000000000001</c:v>
                </c:pt>
                <c:pt idx="2">
                  <c:v>-5.1500000000000018E-2</c:v>
                </c:pt>
                <c:pt idx="3">
                  <c:v>-1.5000000000000152E-3</c:v>
                </c:pt>
                <c:pt idx="4">
                  <c:v>4.8499999999999988E-2</c:v>
                </c:pt>
                <c:pt idx="5">
                  <c:v>9.8500000000000004E-2</c:v>
                </c:pt>
                <c:pt idx="6">
                  <c:v>0.14850000000000002</c:v>
                </c:pt>
                <c:pt idx="7">
                  <c:v>0.19850000000000001</c:v>
                </c:pt>
                <c:pt idx="8">
                  <c:v>0.24850000000000003</c:v>
                </c:pt>
                <c:pt idx="9">
                  <c:v>0.29849999999999999</c:v>
                </c:pt>
                <c:pt idx="10">
                  <c:v>0.34850000000000003</c:v>
                </c:pt>
                <c:pt idx="11">
                  <c:v>0.39849999999999997</c:v>
                </c:pt>
                <c:pt idx="12">
                  <c:v>0.44850000000000001</c:v>
                </c:pt>
                <c:pt idx="13">
                  <c:v>0.49849999999999994</c:v>
                </c:pt>
                <c:pt idx="14">
                  <c:v>0.54849999999999999</c:v>
                </c:pt>
                <c:pt idx="15">
                  <c:v>0.59849999999999992</c:v>
                </c:pt>
                <c:pt idx="16">
                  <c:v>0.64849999999999997</c:v>
                </c:pt>
                <c:pt idx="17">
                  <c:v>0.69850000000000001</c:v>
                </c:pt>
                <c:pt idx="18">
                  <c:v>0.74850000000000005</c:v>
                </c:pt>
                <c:pt idx="19">
                  <c:v>0.7985000000000001</c:v>
                </c:pt>
                <c:pt idx="20">
                  <c:v>0.84850000000000014</c:v>
                </c:pt>
                <c:pt idx="21">
                  <c:v>0.89850000000000019</c:v>
                </c:pt>
                <c:pt idx="22">
                  <c:v>0.94850000000000023</c:v>
                </c:pt>
                <c:pt idx="23">
                  <c:v>0.99850000000000028</c:v>
                </c:pt>
                <c:pt idx="24">
                  <c:v>1.0485000000000002</c:v>
                </c:pt>
                <c:pt idx="25">
                  <c:v>1.0985000000000003</c:v>
                </c:pt>
                <c:pt idx="26">
                  <c:v>1.1485000000000003</c:v>
                </c:pt>
                <c:pt idx="27">
                  <c:v>1.1985000000000003</c:v>
                </c:pt>
                <c:pt idx="28">
                  <c:v>1.2485000000000004</c:v>
                </c:pt>
                <c:pt idx="29">
                  <c:v>1.2985000000000004</c:v>
                </c:pt>
                <c:pt idx="30">
                  <c:v>1.3485000000000005</c:v>
                </c:pt>
              </c:numCache>
            </c:numRef>
          </c:xVal>
          <c:yVal>
            <c:numRef>
              <c:f>'BaseOM4(c)'!$AF$41:$AF$71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'BaseOM4(c)'!$AL$40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'BaseOM4(c)'!$AL$41:$AL$71</c:f>
              <c:numCache>
                <c:formatCode>General</c:formatCode>
                <c:ptCount val="31"/>
                <c:pt idx="0">
                  <c:v>-0.34850000000000003</c:v>
                </c:pt>
                <c:pt idx="1">
                  <c:v>-0.29849999999999999</c:v>
                </c:pt>
                <c:pt idx="2">
                  <c:v>-0.24850000000000003</c:v>
                </c:pt>
                <c:pt idx="3">
                  <c:v>-0.19850000000000001</c:v>
                </c:pt>
                <c:pt idx="4">
                  <c:v>-0.14850000000000002</c:v>
                </c:pt>
                <c:pt idx="5">
                  <c:v>-9.8500000000000004E-2</c:v>
                </c:pt>
                <c:pt idx="6">
                  <c:v>-4.8500000000000001E-2</c:v>
                </c:pt>
                <c:pt idx="7">
                  <c:v>1.5000000000000013E-3</c:v>
                </c:pt>
                <c:pt idx="8">
                  <c:v>5.1500000000000018E-2</c:v>
                </c:pt>
                <c:pt idx="9">
                  <c:v>0.10150000000000001</c:v>
                </c:pt>
                <c:pt idx="10">
                  <c:v>0.1515</c:v>
                </c:pt>
                <c:pt idx="11">
                  <c:v>0.20149999999999998</c:v>
                </c:pt>
                <c:pt idx="12">
                  <c:v>0.25149999999999995</c:v>
                </c:pt>
                <c:pt idx="13">
                  <c:v>0.30149999999999999</c:v>
                </c:pt>
                <c:pt idx="14">
                  <c:v>0.35149999999999992</c:v>
                </c:pt>
                <c:pt idx="15">
                  <c:v>0.40149999999999997</c:v>
                </c:pt>
                <c:pt idx="16">
                  <c:v>0.4514999999999999</c:v>
                </c:pt>
                <c:pt idx="17">
                  <c:v>0.50149999999999995</c:v>
                </c:pt>
                <c:pt idx="18">
                  <c:v>0.55149999999999999</c:v>
                </c:pt>
                <c:pt idx="19">
                  <c:v>0.60150000000000003</c:v>
                </c:pt>
                <c:pt idx="20">
                  <c:v>0.65150000000000008</c:v>
                </c:pt>
                <c:pt idx="21">
                  <c:v>0.70150000000000012</c:v>
                </c:pt>
                <c:pt idx="22">
                  <c:v>0.75150000000000017</c:v>
                </c:pt>
                <c:pt idx="23">
                  <c:v>0.80150000000000021</c:v>
                </c:pt>
                <c:pt idx="24">
                  <c:v>0.85150000000000026</c:v>
                </c:pt>
                <c:pt idx="25">
                  <c:v>0.90150000000000019</c:v>
                </c:pt>
                <c:pt idx="26">
                  <c:v>0.95150000000000023</c:v>
                </c:pt>
                <c:pt idx="27">
                  <c:v>1.0015000000000003</c:v>
                </c:pt>
                <c:pt idx="28">
                  <c:v>1.0515000000000003</c:v>
                </c:pt>
                <c:pt idx="29">
                  <c:v>1.1015000000000004</c:v>
                </c:pt>
                <c:pt idx="30">
                  <c:v>1.1515000000000004</c:v>
                </c:pt>
              </c:numCache>
            </c:numRef>
          </c:xVal>
          <c:yVal>
            <c:numRef>
              <c:f>'BaseOM4(c)'!$AI$41:$AI$71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'BaseOM4(c)'!$AM$40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'BaseOM4(c)'!$AM$41:$AM$71</c:f>
              <c:numCache>
                <c:formatCode>General</c:formatCode>
                <c:ptCount val="31"/>
                <c:pt idx="0">
                  <c:v>-0.1515</c:v>
                </c:pt>
                <c:pt idx="1">
                  <c:v>-0.10150000000000001</c:v>
                </c:pt>
                <c:pt idx="2">
                  <c:v>-5.1500000000000018E-2</c:v>
                </c:pt>
                <c:pt idx="3">
                  <c:v>-1.5000000000000152E-3</c:v>
                </c:pt>
                <c:pt idx="4">
                  <c:v>4.8499999999999988E-2</c:v>
                </c:pt>
                <c:pt idx="5">
                  <c:v>9.8500000000000004E-2</c:v>
                </c:pt>
                <c:pt idx="6">
                  <c:v>0.14850000000000002</c:v>
                </c:pt>
                <c:pt idx="7">
                  <c:v>0.19850000000000001</c:v>
                </c:pt>
                <c:pt idx="8">
                  <c:v>0.24850000000000003</c:v>
                </c:pt>
                <c:pt idx="9">
                  <c:v>0.29849999999999999</c:v>
                </c:pt>
                <c:pt idx="10">
                  <c:v>0.34850000000000003</c:v>
                </c:pt>
                <c:pt idx="11">
                  <c:v>0.39849999999999997</c:v>
                </c:pt>
                <c:pt idx="12">
                  <c:v>0.44850000000000001</c:v>
                </c:pt>
                <c:pt idx="13">
                  <c:v>0.49849999999999994</c:v>
                </c:pt>
                <c:pt idx="14">
                  <c:v>0.54849999999999999</c:v>
                </c:pt>
                <c:pt idx="15">
                  <c:v>0.59849999999999992</c:v>
                </c:pt>
                <c:pt idx="16">
                  <c:v>0.64849999999999997</c:v>
                </c:pt>
                <c:pt idx="17">
                  <c:v>0.69850000000000001</c:v>
                </c:pt>
                <c:pt idx="18">
                  <c:v>0.74850000000000005</c:v>
                </c:pt>
                <c:pt idx="19">
                  <c:v>0.7985000000000001</c:v>
                </c:pt>
                <c:pt idx="20">
                  <c:v>0.84850000000000014</c:v>
                </c:pt>
                <c:pt idx="21">
                  <c:v>0.89850000000000019</c:v>
                </c:pt>
                <c:pt idx="22">
                  <c:v>0.94850000000000023</c:v>
                </c:pt>
                <c:pt idx="23">
                  <c:v>0.99850000000000028</c:v>
                </c:pt>
                <c:pt idx="24">
                  <c:v>1.0485000000000002</c:v>
                </c:pt>
                <c:pt idx="25">
                  <c:v>1.0985000000000003</c:v>
                </c:pt>
                <c:pt idx="26">
                  <c:v>1.1485000000000003</c:v>
                </c:pt>
                <c:pt idx="27">
                  <c:v>1.1985000000000003</c:v>
                </c:pt>
                <c:pt idx="28">
                  <c:v>1.2485000000000004</c:v>
                </c:pt>
                <c:pt idx="29">
                  <c:v>1.2985000000000004</c:v>
                </c:pt>
                <c:pt idx="30">
                  <c:v>1.3485000000000005</c:v>
                </c:pt>
              </c:numCache>
            </c:numRef>
          </c:xVal>
          <c:yVal>
            <c:numRef>
              <c:f>'BaseOM4(c)'!$AI$41:$AI$71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'BaseOM4(c)'!$AT$39:$AT$40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'BaseOM4(c)'!$AL$55:$AL$69</c:f>
              <c:numCache>
                <c:formatCode>General</c:formatCode>
                <c:ptCount val="15"/>
                <c:pt idx="0">
                  <c:v>0.35149999999999992</c:v>
                </c:pt>
                <c:pt idx="1">
                  <c:v>0.40149999999999997</c:v>
                </c:pt>
                <c:pt idx="2">
                  <c:v>0.4514999999999999</c:v>
                </c:pt>
                <c:pt idx="3">
                  <c:v>0.50149999999999995</c:v>
                </c:pt>
                <c:pt idx="4">
                  <c:v>0.55149999999999999</c:v>
                </c:pt>
                <c:pt idx="5">
                  <c:v>0.60150000000000003</c:v>
                </c:pt>
                <c:pt idx="6">
                  <c:v>0.65150000000000008</c:v>
                </c:pt>
                <c:pt idx="7">
                  <c:v>0.70150000000000012</c:v>
                </c:pt>
                <c:pt idx="8">
                  <c:v>0.75150000000000017</c:v>
                </c:pt>
                <c:pt idx="9">
                  <c:v>0.80150000000000021</c:v>
                </c:pt>
                <c:pt idx="10">
                  <c:v>0.85150000000000026</c:v>
                </c:pt>
                <c:pt idx="11">
                  <c:v>0.90150000000000019</c:v>
                </c:pt>
                <c:pt idx="12">
                  <c:v>0.95150000000000023</c:v>
                </c:pt>
                <c:pt idx="13">
                  <c:v>1.0015000000000003</c:v>
                </c:pt>
                <c:pt idx="14">
                  <c:v>1.0515000000000003</c:v>
                </c:pt>
              </c:numCache>
            </c:numRef>
          </c:xVal>
          <c:yVal>
            <c:numRef>
              <c:f>'BaseOM4(c)'!$AT$55:$AT$69</c:f>
              <c:numCache>
                <c:formatCode>0%</c:formatCode>
                <c:ptCount val="15"/>
                <c:pt idx="0">
                  <c:v>0.73815839396656813</c:v>
                </c:pt>
                <c:pt idx="1">
                  <c:v>0.74151990441208859</c:v>
                </c:pt>
                <c:pt idx="2">
                  <c:v>0.73815839396656813</c:v>
                </c:pt>
                <c:pt idx="3">
                  <c:v>0.728155679986217</c:v>
                </c:pt>
                <c:pt idx="4">
                  <c:v>0.71175395012761222</c:v>
                </c:pt>
                <c:pt idx="5">
                  <c:v>0.68934880502030538</c:v>
                </c:pt>
                <c:pt idx="6">
                  <c:v>0.66147594167519719</c:v>
                </c:pt>
                <c:pt idx="7">
                  <c:v>0.62879371080313629</c:v>
                </c:pt>
                <c:pt idx="8">
                  <c:v>0.59206110529637779</c:v>
                </c:pt>
                <c:pt idx="9">
                  <c:v>0.55211208355041919</c:v>
                </c:pt>
                <c:pt idx="10">
                  <c:v>0.50982701020648458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'BaseOM4(c)'!$AT$39:$AT$40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'BaseOM4(c)'!$AM$43:$AM$57</c:f>
              <c:numCache>
                <c:formatCode>General</c:formatCode>
                <c:ptCount val="15"/>
                <c:pt idx="0">
                  <c:v>-5.1500000000000018E-2</c:v>
                </c:pt>
                <c:pt idx="1">
                  <c:v>-1.5000000000000152E-3</c:v>
                </c:pt>
                <c:pt idx="2">
                  <c:v>4.8499999999999988E-2</c:v>
                </c:pt>
                <c:pt idx="3">
                  <c:v>9.8500000000000004E-2</c:v>
                </c:pt>
                <c:pt idx="4">
                  <c:v>0.14850000000000002</c:v>
                </c:pt>
                <c:pt idx="5">
                  <c:v>0.19850000000000001</c:v>
                </c:pt>
                <c:pt idx="6">
                  <c:v>0.24850000000000003</c:v>
                </c:pt>
                <c:pt idx="7">
                  <c:v>0.29849999999999999</c:v>
                </c:pt>
                <c:pt idx="8">
                  <c:v>0.34850000000000003</c:v>
                </c:pt>
                <c:pt idx="9">
                  <c:v>0.39849999999999997</c:v>
                </c:pt>
                <c:pt idx="10">
                  <c:v>0.44850000000000001</c:v>
                </c:pt>
                <c:pt idx="11">
                  <c:v>0.49849999999999994</c:v>
                </c:pt>
                <c:pt idx="12">
                  <c:v>0.54849999999999999</c:v>
                </c:pt>
                <c:pt idx="13">
                  <c:v>0.59849999999999992</c:v>
                </c:pt>
                <c:pt idx="14">
                  <c:v>0.64849999999999997</c:v>
                </c:pt>
              </c:numCache>
            </c:numRef>
          </c:xVal>
          <c:yVal>
            <c:numRef>
              <c:f>'BaseOM4(c)'!$AT$43:$AT$57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0.5098270102064848</c:v>
                </c:pt>
                <c:pt idx="5">
                  <c:v>0.55211208355041963</c:v>
                </c:pt>
                <c:pt idx="6">
                  <c:v>0.59206110529637801</c:v>
                </c:pt>
                <c:pt idx="7">
                  <c:v>0.62879371080313629</c:v>
                </c:pt>
                <c:pt idx="8">
                  <c:v>0.66147594167519719</c:v>
                </c:pt>
                <c:pt idx="9">
                  <c:v>0.68934880502030538</c:v>
                </c:pt>
                <c:pt idx="10">
                  <c:v>0.71175395012761222</c:v>
                </c:pt>
                <c:pt idx="11">
                  <c:v>0.72815567998621722</c:v>
                </c:pt>
                <c:pt idx="12">
                  <c:v>0.73815839396656813</c:v>
                </c:pt>
                <c:pt idx="13">
                  <c:v>0.74151990441208859</c:v>
                </c:pt>
                <c:pt idx="14">
                  <c:v>0.73815839396656813</c:v>
                </c:pt>
              </c:numCache>
            </c:numRef>
          </c:yVal>
        </c:ser>
        <c:ser>
          <c:idx val="15"/>
          <c:order val="15"/>
          <c:tx>
            <c:strRef>
              <c:f>'BaseOM4(c)'!$AW$39:$AW$40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'BaseOM4(c)'!$AL$55:$AL$69</c:f>
              <c:numCache>
                <c:formatCode>General</c:formatCode>
                <c:ptCount val="15"/>
                <c:pt idx="0">
                  <c:v>0.35149999999999992</c:v>
                </c:pt>
                <c:pt idx="1">
                  <c:v>0.40149999999999997</c:v>
                </c:pt>
                <c:pt idx="2">
                  <c:v>0.4514999999999999</c:v>
                </c:pt>
                <c:pt idx="3">
                  <c:v>0.50149999999999995</c:v>
                </c:pt>
                <c:pt idx="4">
                  <c:v>0.55149999999999999</c:v>
                </c:pt>
                <c:pt idx="5">
                  <c:v>0.60150000000000003</c:v>
                </c:pt>
                <c:pt idx="6">
                  <c:v>0.65150000000000008</c:v>
                </c:pt>
                <c:pt idx="7">
                  <c:v>0.70150000000000012</c:v>
                </c:pt>
                <c:pt idx="8">
                  <c:v>0.75150000000000017</c:v>
                </c:pt>
                <c:pt idx="9">
                  <c:v>0.80150000000000021</c:v>
                </c:pt>
                <c:pt idx="10">
                  <c:v>0.85150000000000026</c:v>
                </c:pt>
                <c:pt idx="11">
                  <c:v>0.90150000000000019</c:v>
                </c:pt>
                <c:pt idx="12">
                  <c:v>0.95150000000000023</c:v>
                </c:pt>
                <c:pt idx="13">
                  <c:v>1.0015000000000003</c:v>
                </c:pt>
                <c:pt idx="14">
                  <c:v>1.0515000000000003</c:v>
                </c:pt>
              </c:numCache>
            </c:numRef>
          </c:xVal>
          <c:yVal>
            <c:numRef>
              <c:f>'BaseOM4(c)'!$AW$55:$AW$69</c:f>
              <c:numCache>
                <c:formatCode>0%</c:formatCode>
                <c:ptCount val="15"/>
                <c:pt idx="0">
                  <c:v>0.26184160603343187</c:v>
                </c:pt>
                <c:pt idx="1">
                  <c:v>0.25848009558791141</c:v>
                </c:pt>
                <c:pt idx="2">
                  <c:v>0.26184160603343187</c:v>
                </c:pt>
                <c:pt idx="3">
                  <c:v>0.271844320013783</c:v>
                </c:pt>
                <c:pt idx="4">
                  <c:v>0.28824604987238778</c:v>
                </c:pt>
                <c:pt idx="5">
                  <c:v>0.31065119497969462</c:v>
                </c:pt>
                <c:pt idx="6">
                  <c:v>0.33852405832480281</c:v>
                </c:pt>
                <c:pt idx="7">
                  <c:v>0.37120628919686371</c:v>
                </c:pt>
                <c:pt idx="8">
                  <c:v>0.40793889470362221</c:v>
                </c:pt>
                <c:pt idx="9">
                  <c:v>0.44788791644958081</c:v>
                </c:pt>
                <c:pt idx="10">
                  <c:v>0.49017298979351542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'BaseOM4(c)'!$AW$39:$AW$40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'BaseOM4(c)'!$AM$43:$AM$57</c:f>
              <c:numCache>
                <c:formatCode>General</c:formatCode>
                <c:ptCount val="15"/>
                <c:pt idx="0">
                  <c:v>-5.1500000000000018E-2</c:v>
                </c:pt>
                <c:pt idx="1">
                  <c:v>-1.5000000000000152E-3</c:v>
                </c:pt>
                <c:pt idx="2">
                  <c:v>4.8499999999999988E-2</c:v>
                </c:pt>
                <c:pt idx="3">
                  <c:v>9.8500000000000004E-2</c:v>
                </c:pt>
                <c:pt idx="4">
                  <c:v>0.14850000000000002</c:v>
                </c:pt>
                <c:pt idx="5">
                  <c:v>0.19850000000000001</c:v>
                </c:pt>
                <c:pt idx="6">
                  <c:v>0.24850000000000003</c:v>
                </c:pt>
                <c:pt idx="7">
                  <c:v>0.29849999999999999</c:v>
                </c:pt>
                <c:pt idx="8">
                  <c:v>0.34850000000000003</c:v>
                </c:pt>
                <c:pt idx="9">
                  <c:v>0.39849999999999997</c:v>
                </c:pt>
                <c:pt idx="10">
                  <c:v>0.44850000000000001</c:v>
                </c:pt>
                <c:pt idx="11">
                  <c:v>0.49849999999999994</c:v>
                </c:pt>
                <c:pt idx="12">
                  <c:v>0.54849999999999999</c:v>
                </c:pt>
                <c:pt idx="13">
                  <c:v>0.59849999999999992</c:v>
                </c:pt>
                <c:pt idx="14">
                  <c:v>0.64849999999999997</c:v>
                </c:pt>
              </c:numCache>
            </c:numRef>
          </c:xVal>
          <c:yVal>
            <c:numRef>
              <c:f>'BaseOM4(c)'!$AW$43:$AW$57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0.4901729897935152</c:v>
                </c:pt>
                <c:pt idx="5">
                  <c:v>0.44788791644958037</c:v>
                </c:pt>
                <c:pt idx="6">
                  <c:v>0.40793889470362199</c:v>
                </c:pt>
                <c:pt idx="7">
                  <c:v>0.37120628919686371</c:v>
                </c:pt>
                <c:pt idx="8">
                  <c:v>0.33852405832480281</c:v>
                </c:pt>
                <c:pt idx="9">
                  <c:v>0.31065119497969462</c:v>
                </c:pt>
                <c:pt idx="10">
                  <c:v>0.28824604987238778</c:v>
                </c:pt>
                <c:pt idx="11">
                  <c:v>0.27184432001378278</c:v>
                </c:pt>
                <c:pt idx="12">
                  <c:v>0.26184160603343187</c:v>
                </c:pt>
                <c:pt idx="13">
                  <c:v>0.25848009558791141</c:v>
                </c:pt>
                <c:pt idx="14">
                  <c:v>0.26184160603343187</c:v>
                </c:pt>
              </c:numCache>
            </c:numRef>
          </c:yVal>
        </c:ser>
        <c:ser>
          <c:idx val="17"/>
          <c:order val="17"/>
          <c:tx>
            <c:strRef>
              <c:f>'BaseOM4(c)'!$AI$8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'BaseOM4(c)'!$AJ$8:$AJ$9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'BaseOM4(c)'!$AK$8:$AK$9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120928128"/>
        <c:axId val="120947072"/>
      </c:scatterChart>
      <c:valAx>
        <c:axId val="120928128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6976699786747994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947072"/>
        <c:crosses val="autoZero"/>
        <c:crossBetween val="midCat"/>
      </c:valAx>
      <c:valAx>
        <c:axId val="120947072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928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072201241089048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6981073566446"/>
          <c:y val="0.11944221419115032"/>
          <c:w val="0.55013836177640529"/>
          <c:h val="0.73371645860278534"/>
        </c:manualLayout>
      </c:layout>
      <c:scatterChart>
        <c:scatterStyle val="lineMarker"/>
        <c:ser>
          <c:idx val="1"/>
          <c:order val="0"/>
          <c:tx>
            <c:strRef>
              <c:f>BaseOM3!$B$15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BaseOM3!$B$18:$B$38</c:f>
              <c:numCache>
                <c:formatCode>0.00</c:formatCode>
                <c:ptCount val="21"/>
                <c:pt idx="0">
                  <c:v>7.2451902384791364E-2</c:v>
                </c:pt>
                <c:pt idx="1">
                  <c:v>9.0564877980989208E-2</c:v>
                </c:pt>
                <c:pt idx="2">
                  <c:v>0.10867785357718705</c:v>
                </c:pt>
                <c:pt idx="3">
                  <c:v>0.12679082917338488</c:v>
                </c:pt>
                <c:pt idx="4">
                  <c:v>0.14490380476958273</c:v>
                </c:pt>
                <c:pt idx="5">
                  <c:v>0.16301678036578054</c:v>
                </c:pt>
                <c:pt idx="6">
                  <c:v>0.18112975596197839</c:v>
                </c:pt>
                <c:pt idx="7">
                  <c:v>0.19924273155817621</c:v>
                </c:pt>
                <c:pt idx="8">
                  <c:v>0.21735570715437405</c:v>
                </c:pt>
                <c:pt idx="9">
                  <c:v>0.23546868275057187</c:v>
                </c:pt>
                <c:pt idx="10">
                  <c:v>0.25358165834676971</c:v>
                </c:pt>
                <c:pt idx="11">
                  <c:v>0.27169463394296761</c:v>
                </c:pt>
                <c:pt idx="12">
                  <c:v>0.28980760953916546</c:v>
                </c:pt>
                <c:pt idx="13">
                  <c:v>0.3079205851353633</c:v>
                </c:pt>
                <c:pt idx="14">
                  <c:v>0.32603356073156115</c:v>
                </c:pt>
                <c:pt idx="15">
                  <c:v>0.34414653632775899</c:v>
                </c:pt>
                <c:pt idx="16">
                  <c:v>0.36225951192395689</c:v>
                </c:pt>
                <c:pt idx="17">
                  <c:v>0.38037248752015473</c:v>
                </c:pt>
                <c:pt idx="18">
                  <c:v>0.39848546311635258</c:v>
                </c:pt>
                <c:pt idx="19">
                  <c:v>0.41659843871255042</c:v>
                </c:pt>
                <c:pt idx="20">
                  <c:v>0.43471141430874832</c:v>
                </c:pt>
              </c:numCache>
            </c:numRef>
          </c:yVal>
        </c:ser>
        <c:ser>
          <c:idx val="0"/>
          <c:order val="1"/>
          <c:tx>
            <c:strRef>
              <c:f>BaseOM3!$J$14:$J$15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BaseOM3!$J$18:$J$38</c:f>
              <c:numCache>
                <c:formatCode>0.00</c:formatCode>
                <c:ptCount val="21"/>
                <c:pt idx="0">
                  <c:v>2.2785661407318427</c:v>
                </c:pt>
                <c:pt idx="1">
                  <c:v>2.3247701356304953</c:v>
                </c:pt>
                <c:pt idx="2">
                  <c:v>2.3813030054566524</c:v>
                </c:pt>
                <c:pt idx="3">
                  <c:v>2.4482005283044654</c:v>
                </c:pt>
                <c:pt idx="4">
                  <c:v>2.5255078866415426</c:v>
                </c:pt>
                <c:pt idx="5">
                  <c:v>2.6132762005382211</c:v>
                </c:pt>
                <c:pt idx="6">
                  <c:v>2.7115700107207492</c:v>
                </c:pt>
                <c:pt idx="7">
                  <c:v>2.8204648369239353</c:v>
                </c:pt>
                <c:pt idx="8">
                  <c:v>2.9400567889268632</c:v>
                </c:pt>
                <c:pt idx="9">
                  <c:v>3.0704617216737597</c:v>
                </c:pt>
                <c:pt idx="10">
                  <c:v>3.211827885076211</c:v>
                </c:pt>
                <c:pt idx="11">
                  <c:v>3.364336389710076</c:v>
                </c:pt>
                <c:pt idx="12">
                  <c:v>3.5282167053523645</c:v>
                </c:pt>
                <c:pt idx="13">
                  <c:v>3.7037544683165642</c:v>
                </c:pt>
                <c:pt idx="14">
                  <c:v>3.8912997059184602</c:v>
                </c:pt>
                <c:pt idx="15">
                  <c:v>4.0912889204730121</c:v>
                </c:pt>
                <c:pt idx="16">
                  <c:v>4.3042574055400671</c:v>
                </c:pt>
                <c:pt idx="17">
                  <c:v>4.5308545521625474</c:v>
                </c:pt>
                <c:pt idx="18">
                  <c:v>4.7718964150561796</c:v>
                </c:pt>
                <c:pt idx="19">
                  <c:v>5.0283590248805732</c:v>
                </c:pt>
                <c:pt idx="20">
                  <c:v>5.3014444678231936</c:v>
                </c:pt>
              </c:numCache>
            </c:numRef>
          </c:yVal>
        </c:ser>
        <c:ser>
          <c:idx val="6"/>
          <c:order val="2"/>
          <c:tx>
            <c:strRef>
              <c:f>BaseOM3!$L$14:$L$15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BaseOM3!$L$18:$L$38</c:f>
              <c:numCache>
                <c:formatCode>0.00</c:formatCode>
                <c:ptCount val="21"/>
                <c:pt idx="0">
                  <c:v>1.7174785754290136</c:v>
                </c:pt>
                <c:pt idx="1">
                  <c:v>1.7194309494715139</c:v>
                </c:pt>
                <c:pt idx="2">
                  <c:v>1.7218628615380065</c:v>
                </c:pt>
                <c:pt idx="3">
                  <c:v>1.724816359998981</c:v>
                </c:pt>
                <c:pt idx="4">
                  <c:v>1.7283502504637278</c:v>
                </c:pt>
                <c:pt idx="5">
                  <c:v>1.7325489609703291</c:v>
                </c:pt>
                <c:pt idx="6">
                  <c:v>1.7375212258813879</c:v>
                </c:pt>
                <c:pt idx="7">
                  <c:v>1.7434091229572837</c:v>
                </c:pt>
                <c:pt idx="8">
                  <c:v>1.7503870262836947</c:v>
                </c:pt>
                <c:pt idx="9">
                  <c:v>1.758670581617551</c:v>
                </c:pt>
                <c:pt idx="10">
                  <c:v>1.7685149914053095</c:v>
                </c:pt>
                <c:pt idx="11">
                  <c:v>1.7802278310583115</c:v>
                </c:pt>
                <c:pt idx="12">
                  <c:v>1.794168214612796</c:v>
                </c:pt>
                <c:pt idx="13">
                  <c:v>1.8107585748626471</c:v>
                </c:pt>
                <c:pt idx="14">
                  <c:v>1.8305015390504402</c:v>
                </c:pt>
                <c:pt idx="15">
                  <c:v>1.85398745135201</c:v>
                </c:pt>
                <c:pt idx="16">
                  <c:v>1.8819223018868447</c:v>
                </c:pt>
                <c:pt idx="17">
                  <c:v>1.9151660178075316</c:v>
                </c:pt>
                <c:pt idx="18">
                  <c:v>1.954746424513556</c:v>
                </c:pt>
                <c:pt idx="19">
                  <c:v>2.0019628323592871</c:v>
                </c:pt>
                <c:pt idx="20">
                  <c:v>2.0584449878523046</c:v>
                </c:pt>
              </c:numCache>
            </c:numRef>
          </c:yVal>
        </c:ser>
        <c:ser>
          <c:idx val="3"/>
          <c:order val="3"/>
          <c:tx>
            <c:strRef>
              <c:f>BaseOM3!$R$15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BaseOM3!$R$18:$R$38</c:f>
              <c:numCache>
                <c:formatCode>0.00</c:formatCode>
                <c:ptCount val="21"/>
                <c:pt idx="0">
                  <c:v>0.66364463771143578</c:v>
                </c:pt>
                <c:pt idx="1">
                  <c:v>0.66128057738184298</c:v>
                </c:pt>
                <c:pt idx="2">
                  <c:v>0.65970095071145396</c:v>
                </c:pt>
                <c:pt idx="3">
                  <c:v>0.6594867237745371</c:v>
                </c:pt>
                <c:pt idx="4">
                  <c:v>0.66121092876508036</c:v>
                </c:pt>
                <c:pt idx="5">
                  <c:v>0.66543449537742716</c:v>
                </c:pt>
                <c:pt idx="6">
                  <c:v>0.67271671116007614</c:v>
                </c:pt>
                <c:pt idx="7">
                  <c:v>0.68363750977099524</c:v>
                </c:pt>
                <c:pt idx="8">
                  <c:v>0.69883029255116014</c:v>
                </c:pt>
                <c:pt idx="9">
                  <c:v>0.71902428968910848</c:v>
                </c:pt>
                <c:pt idx="10">
                  <c:v>0.74509985893007069</c:v>
                </c:pt>
                <c:pt idx="11">
                  <c:v>0.77816188311735746</c:v>
                </c:pt>
                <c:pt idx="12">
                  <c:v>0.81964051244792169</c:v>
                </c:pt>
                <c:pt idx="13">
                  <c:v>0.87143740495761968</c:v>
                </c:pt>
                <c:pt idx="14">
                  <c:v>0.93614722836148678</c:v>
                </c:pt>
                <c:pt idx="15">
                  <c:v>1.0174072941545811</c:v>
                </c:pt>
                <c:pt idx="16">
                  <c:v>1.1204808628157001</c:v>
                </c:pt>
                <c:pt idx="17">
                  <c:v>1.2532872300339748</c:v>
                </c:pt>
                <c:pt idx="18">
                  <c:v>1.428350532104292</c:v>
                </c:pt>
                <c:pt idx="19">
                  <c:v>1.6668613539273864</c:v>
                </c:pt>
                <c:pt idx="20">
                  <c:v>2.0082852213096816</c:v>
                </c:pt>
              </c:numCache>
            </c:numRef>
          </c:yVal>
        </c:ser>
        <c:ser>
          <c:idx val="5"/>
          <c:order val="4"/>
          <c:tx>
            <c:strRef>
              <c:f>BaseOM3!$N$14:$N$15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BaseOM3!$Q$15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BaseOM3!$Q$18:$Q$38</c:f>
              <c:numCache>
                <c:formatCode>0.00</c:formatCode>
                <c:ptCount val="21"/>
                <c:pt idx="0">
                  <c:v>2.2066774660236356E-4</c:v>
                </c:pt>
                <c:pt idx="1">
                  <c:v>5.3507666598837198E-4</c:v>
                </c:pt>
                <c:pt idx="2">
                  <c:v>1.1003794519248641E-3</c:v>
                </c:pt>
                <c:pt idx="3">
                  <c:v>2.0188707874975449E-3</c:v>
                </c:pt>
                <c:pt idx="4">
                  <c:v>3.4060223281080328E-3</c:v>
                </c:pt>
                <c:pt idx="5">
                  <c:v>5.3881229311764905E-3</c:v>
                </c:pt>
                <c:pt idx="6">
                  <c:v>8.0997924448331926E-3</c:v>
                </c:pt>
                <c:pt idx="7">
                  <c:v>1.1681441244420377E-2</c:v>
                </c:pt>
                <c:pt idx="8">
                  <c:v>1.6276742376211573E-2</c:v>
                </c:pt>
                <c:pt idx="9">
                  <c:v>2.203017531917812E-2</c:v>
                </c:pt>
                <c:pt idx="10">
                  <c:v>2.9084690814226506E-2</c:v>
                </c:pt>
                <c:pt idx="11">
                  <c:v>3.7579535744960896E-2</c:v>
                </c:pt>
                <c:pt idx="12">
                  <c:v>4.7648266426634021E-2</c:v>
                </c:pt>
                <c:pt idx="13">
                  <c:v>5.9416968495259258E-2</c:v>
                </c:pt>
                <c:pt idx="14">
                  <c:v>7.3002692367097277E-2</c:v>
                </c:pt>
                <c:pt idx="15">
                  <c:v>8.8512105287009424E-2</c:v>
                </c:pt>
                <c:pt idx="16">
                  <c:v>0.10604035448524393</c:v>
                </c:pt>
                <c:pt idx="17">
                  <c:v>0.12567013097305393</c:v>
                </c:pt>
                <c:pt idx="18">
                  <c:v>0.147470919985387</c:v>
                </c:pt>
                <c:pt idx="19">
                  <c:v>0.17149842190820336</c:v>
                </c:pt>
                <c:pt idx="20">
                  <c:v>0.19779412654675405</c:v>
                </c:pt>
              </c:numCache>
            </c:numRef>
          </c:yVal>
        </c:ser>
        <c:ser>
          <c:idx val="4"/>
          <c:order val="6"/>
          <c:tx>
            <c:strRef>
              <c:f>BaseOM3!$S$14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BaseOM3!$S$18:$S$38</c:f>
              <c:numCache>
                <c:formatCode>0.00</c:formatCode>
                <c:ptCount val="21"/>
                <c:pt idx="0">
                  <c:v>0.22512493031710257</c:v>
                </c:pt>
                <c:pt idx="1">
                  <c:v>0.22955464621652466</c:v>
                </c:pt>
                <c:pt idx="2">
                  <c:v>0.23549034082015208</c:v>
                </c:pt>
                <c:pt idx="3">
                  <c:v>0.24323262754141772</c:v>
                </c:pt>
                <c:pt idx="4">
                  <c:v>0.25314269707779291</c:v>
                </c:pt>
                <c:pt idx="5">
                  <c:v>0.26565979008954366</c:v>
                </c:pt>
                <c:pt idx="6">
                  <c:v>0.28132905642700379</c:v>
                </c:pt>
                <c:pt idx="7">
                  <c:v>0.30084307798783061</c:v>
                </c:pt>
                <c:pt idx="8">
                  <c:v>0.32510333215763099</c:v>
                </c:pt>
                <c:pt idx="9">
                  <c:v>0.35531166635888567</c:v>
                </c:pt>
                <c:pt idx="10">
                  <c:v>0.39311129143959633</c:v>
                </c:pt>
                <c:pt idx="11">
                  <c:v>0.44081177465516597</c:v>
                </c:pt>
                <c:pt idx="12">
                  <c:v>0.50176356754470131</c:v>
                </c:pt>
                <c:pt idx="13">
                  <c:v>0.58101648910773807</c:v>
                </c:pt>
                <c:pt idx="14">
                  <c:v>0.68655429075140362</c:v>
                </c:pt>
                <c:pt idx="15">
                  <c:v>0.83180634964623201</c:v>
                </c:pt>
                <c:pt idx="16">
                  <c:v>1.0413579770301307</c:v>
                </c:pt>
                <c:pt idx="17">
                  <c:v>1.3661492803157784</c:v>
                </c:pt>
                <c:pt idx="18">
                  <c:v>1.9354614820979672</c:v>
                </c:pt>
                <c:pt idx="19">
                  <c:v>3.2510946711955562</c:v>
                </c:pt>
                <c:pt idx="20">
                  <c:v>0</c:v>
                </c:pt>
              </c:numCache>
            </c:numRef>
          </c:yVal>
        </c:ser>
        <c:ser>
          <c:idx val="8"/>
          <c:order val="7"/>
          <c:tx>
            <c:strRef>
              <c:f>BaseOM3!$T$14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BaseOM3!$T$18:$T$38</c:f>
              <c:numCache>
                <c:formatCode>0.0</c:formatCode>
                <c:ptCount val="21"/>
                <c:pt idx="0">
                  <c:v>5.0865868543207879</c:v>
                </c:pt>
                <c:pt idx="1">
                  <c:v>5.155236263347355</c:v>
                </c:pt>
                <c:pt idx="2">
                  <c:v>5.2372353915553767</c:v>
                </c:pt>
                <c:pt idx="3">
                  <c:v>5.3336459395802844</c:v>
                </c:pt>
                <c:pt idx="4">
                  <c:v>5.4456215900458353</c:v>
                </c:pt>
                <c:pt idx="5">
                  <c:v>5.5744243502724782</c:v>
                </c:pt>
                <c:pt idx="6">
                  <c:v>5.7214665525960289</c:v>
                </c:pt>
                <c:pt idx="7">
                  <c:v>5.8883787204426419</c:v>
                </c:pt>
                <c:pt idx="8">
                  <c:v>6.0771098894499342</c:v>
                </c:pt>
                <c:pt idx="9">
                  <c:v>6.2900671174090546</c:v>
                </c:pt>
                <c:pt idx="10">
                  <c:v>6.5303203760121837</c:v>
                </c:pt>
                <c:pt idx="11">
                  <c:v>6.8019120482288402</c:v>
                </c:pt>
                <c:pt idx="12">
                  <c:v>7.1103448759235839</c:v>
                </c:pt>
                <c:pt idx="13">
                  <c:v>7.4634044908751926</c:v>
                </c:pt>
                <c:pt idx="14">
                  <c:v>7.8726390171804503</c:v>
                </c:pt>
                <c:pt idx="15">
                  <c:v>8.3562486572406023</c:v>
                </c:pt>
                <c:pt idx="16">
                  <c:v>8.9454184136819421</c:v>
                </c:pt>
                <c:pt idx="17">
                  <c:v>9.7005996988130399</c:v>
                </c:pt>
                <c:pt idx="18">
                  <c:v>10.765511236873733</c:v>
                </c:pt>
                <c:pt idx="19">
                  <c:v>12.665474742983555</c:v>
                </c:pt>
                <c:pt idx="20">
                  <c:v>0</c:v>
                </c:pt>
              </c:numCache>
            </c:numRef>
          </c:yVal>
        </c:ser>
        <c:ser>
          <c:idx val="7"/>
          <c:order val="8"/>
          <c:tx>
            <c:strRef>
              <c:f>BaseOM3!$AL$15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BaseOM3!$A$18:$A$38</c:f>
              <c:numCache>
                <c:formatCode>0.00#</c:formatCode>
                <c:ptCount val="21"/>
                <c:pt idx="0">
                  <c:v>0.02</c:v>
                </c:pt>
                <c:pt idx="1">
                  <c:v>2.5000000000000001E-2</c:v>
                </c:pt>
                <c:pt idx="2">
                  <c:v>3.0000000000000002E-2</c:v>
                </c:pt>
                <c:pt idx="3">
                  <c:v>3.5000000000000003E-2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4.9999999999999996E-2</c:v>
                </c:pt>
                <c:pt idx="7">
                  <c:v>5.4999999999999993E-2</c:v>
                </c:pt>
                <c:pt idx="8">
                  <c:v>5.9999999999999991E-2</c:v>
                </c:pt>
                <c:pt idx="9">
                  <c:v>6.4999999999999988E-2</c:v>
                </c:pt>
                <c:pt idx="10">
                  <c:v>6.9999999999999993E-2</c:v>
                </c:pt>
                <c:pt idx="11">
                  <c:v>7.4999999999999997E-2</c:v>
                </c:pt>
                <c:pt idx="12">
                  <c:v>0.08</c:v>
                </c:pt>
                <c:pt idx="13">
                  <c:v>8.5000000000000006E-2</c:v>
                </c:pt>
                <c:pt idx="14">
                  <c:v>9.0000000000000011E-2</c:v>
                </c:pt>
                <c:pt idx="15">
                  <c:v>9.5000000000000015E-2</c:v>
                </c:pt>
                <c:pt idx="16">
                  <c:v>0.10000000000000002</c:v>
                </c:pt>
                <c:pt idx="17">
                  <c:v>0.10500000000000002</c:v>
                </c:pt>
                <c:pt idx="18">
                  <c:v>0.11000000000000003</c:v>
                </c:pt>
                <c:pt idx="19">
                  <c:v>0.11500000000000003</c:v>
                </c:pt>
                <c:pt idx="20">
                  <c:v>0.12000000000000004</c:v>
                </c:pt>
              </c:numCache>
            </c:numRef>
          </c:xVal>
          <c:yVal>
            <c:numRef>
              <c:f>BaseOM3!$AL$18:$AL$38</c:f>
              <c:numCache>
                <c:formatCode>General</c:formatCode>
                <c:ptCount val="21"/>
                <c:pt idx="0">
                  <c:v>6.6999999999999993</c:v>
                </c:pt>
                <c:pt idx="1">
                  <c:v>6.6999999999999993</c:v>
                </c:pt>
                <c:pt idx="2">
                  <c:v>6.6999999999999993</c:v>
                </c:pt>
                <c:pt idx="3">
                  <c:v>6.6999999999999993</c:v>
                </c:pt>
                <c:pt idx="4">
                  <c:v>6.6999999999999993</c:v>
                </c:pt>
                <c:pt idx="5">
                  <c:v>6.6999999999999993</c:v>
                </c:pt>
                <c:pt idx="6">
                  <c:v>6.6999999999999993</c:v>
                </c:pt>
                <c:pt idx="7">
                  <c:v>6.6999999999999993</c:v>
                </c:pt>
                <c:pt idx="8">
                  <c:v>6.6999999999999993</c:v>
                </c:pt>
                <c:pt idx="9">
                  <c:v>6.6999999999999993</c:v>
                </c:pt>
                <c:pt idx="10">
                  <c:v>6.6999999999999993</c:v>
                </c:pt>
                <c:pt idx="11">
                  <c:v>6.6999999999999993</c:v>
                </c:pt>
                <c:pt idx="12">
                  <c:v>6.6999999999999993</c:v>
                </c:pt>
                <c:pt idx="13">
                  <c:v>6.6999999999999993</c:v>
                </c:pt>
                <c:pt idx="14">
                  <c:v>6.6999999999999993</c:v>
                </c:pt>
                <c:pt idx="15">
                  <c:v>6.6999999999999993</c:v>
                </c:pt>
                <c:pt idx="16">
                  <c:v>6.6999999999999993</c:v>
                </c:pt>
                <c:pt idx="17">
                  <c:v>6.6999999999999993</c:v>
                </c:pt>
                <c:pt idx="18">
                  <c:v>6.6999999999999993</c:v>
                </c:pt>
                <c:pt idx="19">
                  <c:v>6.6999999999999993</c:v>
                </c:pt>
                <c:pt idx="20">
                  <c:v>6.6999999999999993</c:v>
                </c:pt>
              </c:numCache>
            </c:numRef>
          </c:yVal>
        </c:ser>
        <c:ser>
          <c:idx val="9"/>
          <c:order val="9"/>
          <c:tx>
            <c:strRef>
              <c:f>BaseOM3!$AN$16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BaseOM3!$AM$18:$AM$38</c:f>
              <c:numCache>
                <c:formatCode>General</c:formatCode>
                <c:ptCount val="21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</c:numCache>
            </c:numRef>
          </c:xVal>
          <c:yVal>
            <c:numRef>
              <c:f>BaseOM3!$AN$18:$AN$38</c:f>
              <c:numCache>
                <c:formatCode>General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</c:numCache>
            </c:numRef>
          </c:yVal>
        </c:ser>
        <c:axId val="138751360"/>
        <c:axId val="138765824"/>
      </c:scatterChart>
      <c:valAx>
        <c:axId val="138751360"/>
        <c:scaling>
          <c:orientation val="minMax"/>
          <c:max val="0.12000000000000001"/>
          <c:min val="2.0000000000000004E-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429433943541263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5824"/>
        <c:crosses val="autoZero"/>
        <c:crossBetween val="midCat"/>
      </c:valAx>
      <c:valAx>
        <c:axId val="138765824"/>
        <c:scaling>
          <c:orientation val="minMax"/>
          <c:max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2.3815513496814412E-2"/>
              <c:y val="0.3856277201028616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513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3731616528365"/>
          <c:y val="0.31396239158816935"/>
          <c:w val="0.26435219981464386"/>
          <c:h val="0.491419395529307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44" r="0.750000000000004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68338086177854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00472287844552E-2"/>
          <c:y val="0.23205915899994919"/>
          <c:w val="0.84842766887580479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BaseOM3!$AE$40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BaseOM3!$AE$41:$AE$71</c:f>
              <c:numCache>
                <c:formatCode>0%</c:formatCode>
                <c:ptCount val="31"/>
                <c:pt idx="0">
                  <c:v>0.999623838360157</c:v>
                </c:pt>
                <c:pt idx="1">
                  <c:v>0.99938584531415253</c:v>
                </c:pt>
                <c:pt idx="2">
                  <c:v>0.99901488024850105</c:v>
                </c:pt>
                <c:pt idx="3">
                  <c:v>0.99844746784495975</c:v>
                </c:pt>
                <c:pt idx="4">
                  <c:v>0.99759581689845911</c:v>
                </c:pt>
                <c:pt idx="5">
                  <c:v>0.99634145927687523</c:v>
                </c:pt>
                <c:pt idx="6">
                  <c:v>0.99452854082997399</c:v>
                </c:pt>
                <c:pt idx="7">
                  <c:v>0.99195736333531048</c:v>
                </c:pt>
                <c:pt idx="8">
                  <c:v>0.98837901115771554</c:v>
                </c:pt>
                <c:pt idx="9">
                  <c:v>0.98349213944902425</c:v>
                </c:pt>
                <c:pt idx="10">
                  <c:v>0.97694312467720557</c:v>
                </c:pt>
                <c:pt idx="11">
                  <c:v>0.96833084562312743</c:v>
                </c:pt>
                <c:pt idx="12">
                  <c:v>0.95721717926067684</c:v>
                </c:pt>
                <c:pt idx="13">
                  <c:v>0.94314396078530116</c:v>
                </c:pt>
                <c:pt idx="14">
                  <c:v>0.92565649342136802</c:v>
                </c:pt>
                <c:pt idx="15">
                  <c:v>0.90433305376838513</c:v>
                </c:pt>
                <c:pt idx="16">
                  <c:v>0.87881868603355917</c:v>
                </c:pt>
                <c:pt idx="17">
                  <c:v>0.84886089937986609</c:v>
                </c:pt>
                <c:pt idx="18">
                  <c:v>0.81434420913041294</c:v>
                </c:pt>
                <c:pt idx="19">
                  <c:v>0.77531862274078733</c:v>
                </c:pt>
                <c:pt idx="20">
                  <c:v>0.73202087748141076</c:v>
                </c:pt>
                <c:pt idx="21">
                  <c:v>0.68488210257583126</c:v>
                </c:pt>
                <c:pt idx="22">
                  <c:v>0.63452179302964029</c:v>
                </c:pt>
                <c:pt idx="23">
                  <c:v>0.58172645189250316</c:v>
                </c:pt>
                <c:pt idx="24">
                  <c:v>0.52741393486642629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BaseOM3!$AD$40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BaseOM3!$AD$41:$AD$71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0.52741393486642663</c:v>
                </c:pt>
                <c:pt idx="7">
                  <c:v>0.58172645189250338</c:v>
                </c:pt>
                <c:pt idx="8">
                  <c:v>0.63452179302964062</c:v>
                </c:pt>
                <c:pt idx="9">
                  <c:v>0.68488210257583149</c:v>
                </c:pt>
                <c:pt idx="10">
                  <c:v>0.73202087748141098</c:v>
                </c:pt>
                <c:pt idx="11">
                  <c:v>0.77531862274078733</c:v>
                </c:pt>
                <c:pt idx="12">
                  <c:v>0.81434420913041294</c:v>
                </c:pt>
                <c:pt idx="13">
                  <c:v>0.84886089937986609</c:v>
                </c:pt>
                <c:pt idx="14">
                  <c:v>0.87881868603355917</c:v>
                </c:pt>
                <c:pt idx="15">
                  <c:v>0.90433305376838524</c:v>
                </c:pt>
                <c:pt idx="16">
                  <c:v>0.92565649342136802</c:v>
                </c:pt>
                <c:pt idx="17">
                  <c:v>0.94314396078530116</c:v>
                </c:pt>
                <c:pt idx="18">
                  <c:v>0.95721717926067684</c:v>
                </c:pt>
                <c:pt idx="19">
                  <c:v>0.96833084562312743</c:v>
                </c:pt>
                <c:pt idx="20">
                  <c:v>0.97694312467720557</c:v>
                </c:pt>
                <c:pt idx="21">
                  <c:v>0.98349213944902425</c:v>
                </c:pt>
                <c:pt idx="22">
                  <c:v>0.98837901115771554</c:v>
                </c:pt>
                <c:pt idx="23">
                  <c:v>0.99195736333531048</c:v>
                </c:pt>
                <c:pt idx="24">
                  <c:v>0.99452854082997399</c:v>
                </c:pt>
                <c:pt idx="25">
                  <c:v>0.99634145927687523</c:v>
                </c:pt>
                <c:pt idx="26">
                  <c:v>0.99759581689845911</c:v>
                </c:pt>
                <c:pt idx="27">
                  <c:v>0.99844746784495975</c:v>
                </c:pt>
                <c:pt idx="28">
                  <c:v>0.99901488024850105</c:v>
                </c:pt>
                <c:pt idx="29">
                  <c:v>0.99938584531415253</c:v>
                </c:pt>
                <c:pt idx="30">
                  <c:v>0.999623838360157</c:v>
                </c:pt>
              </c:numCache>
            </c:numRef>
          </c:yVal>
        </c:ser>
        <c:ser>
          <c:idx val="2"/>
          <c:order val="2"/>
          <c:tx>
            <c:strRef>
              <c:f>BaseOM3!$AD$40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0.52741393486642663</c:v>
                </c:pt>
                <c:pt idx="7">
                  <c:v>0.58172645189250338</c:v>
                </c:pt>
                <c:pt idx="8">
                  <c:v>0.63452179302964062</c:v>
                </c:pt>
                <c:pt idx="9">
                  <c:v>0.68488210257583149</c:v>
                </c:pt>
                <c:pt idx="10">
                  <c:v>0.73202087748141098</c:v>
                </c:pt>
                <c:pt idx="11">
                  <c:v>0.77531862274078733</c:v>
                </c:pt>
                <c:pt idx="12">
                  <c:v>0.81434420913041294</c:v>
                </c:pt>
                <c:pt idx="13">
                  <c:v>0.84886089937986609</c:v>
                </c:pt>
                <c:pt idx="14">
                  <c:v>0.87881868603355917</c:v>
                </c:pt>
                <c:pt idx="15">
                  <c:v>0.90433305376838524</c:v>
                </c:pt>
                <c:pt idx="16">
                  <c:v>0.92565649342136802</c:v>
                </c:pt>
                <c:pt idx="17">
                  <c:v>0.94314396078530116</c:v>
                </c:pt>
                <c:pt idx="18">
                  <c:v>0.95721717926067684</c:v>
                </c:pt>
                <c:pt idx="19">
                  <c:v>0.96833084562312743</c:v>
                </c:pt>
                <c:pt idx="20">
                  <c:v>0.97694312467720557</c:v>
                </c:pt>
                <c:pt idx="21">
                  <c:v>0.98349213944902425</c:v>
                </c:pt>
                <c:pt idx="22">
                  <c:v>0.98837901115771554</c:v>
                </c:pt>
                <c:pt idx="23">
                  <c:v>0.99195736333531048</c:v>
                </c:pt>
                <c:pt idx="24">
                  <c:v>0.99452854082997399</c:v>
                </c:pt>
                <c:pt idx="25">
                  <c:v>0.99634145927687523</c:v>
                </c:pt>
                <c:pt idx="26">
                  <c:v>0.99759581689845911</c:v>
                </c:pt>
                <c:pt idx="27">
                  <c:v>0.99844746784495975</c:v>
                </c:pt>
                <c:pt idx="28">
                  <c:v>0.99901488024850105</c:v>
                </c:pt>
                <c:pt idx="29">
                  <c:v>0.99938584531415253</c:v>
                </c:pt>
                <c:pt idx="30">
                  <c:v>0.999623838360157</c:v>
                </c:pt>
              </c:numCache>
            </c:numRef>
          </c:yVal>
        </c:ser>
        <c:ser>
          <c:idx val="3"/>
          <c:order val="3"/>
          <c:tx>
            <c:strRef>
              <c:f>BaseOM3!$AE$40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BaseOM3!$AE$41:$AE$71</c:f>
              <c:numCache>
                <c:formatCode>0%</c:formatCode>
                <c:ptCount val="31"/>
                <c:pt idx="0">
                  <c:v>0.999623838360157</c:v>
                </c:pt>
                <c:pt idx="1">
                  <c:v>0.99938584531415253</c:v>
                </c:pt>
                <c:pt idx="2">
                  <c:v>0.99901488024850105</c:v>
                </c:pt>
                <c:pt idx="3">
                  <c:v>0.99844746784495975</c:v>
                </c:pt>
                <c:pt idx="4">
                  <c:v>0.99759581689845911</c:v>
                </c:pt>
                <c:pt idx="5">
                  <c:v>0.99634145927687523</c:v>
                </c:pt>
                <c:pt idx="6">
                  <c:v>0.99452854082997399</c:v>
                </c:pt>
                <c:pt idx="7">
                  <c:v>0.99195736333531048</c:v>
                </c:pt>
                <c:pt idx="8">
                  <c:v>0.98837901115771554</c:v>
                </c:pt>
                <c:pt idx="9">
                  <c:v>0.98349213944902425</c:v>
                </c:pt>
                <c:pt idx="10">
                  <c:v>0.97694312467720557</c:v>
                </c:pt>
                <c:pt idx="11">
                  <c:v>0.96833084562312743</c:v>
                </c:pt>
                <c:pt idx="12">
                  <c:v>0.95721717926067684</c:v>
                </c:pt>
                <c:pt idx="13">
                  <c:v>0.94314396078530116</c:v>
                </c:pt>
                <c:pt idx="14">
                  <c:v>0.92565649342136802</c:v>
                </c:pt>
                <c:pt idx="15">
                  <c:v>0.90433305376838513</c:v>
                </c:pt>
                <c:pt idx="16">
                  <c:v>0.87881868603355917</c:v>
                </c:pt>
                <c:pt idx="17">
                  <c:v>0.84886089937986609</c:v>
                </c:pt>
                <c:pt idx="18">
                  <c:v>0.81434420913041294</c:v>
                </c:pt>
                <c:pt idx="19">
                  <c:v>0.77531862274078733</c:v>
                </c:pt>
                <c:pt idx="20">
                  <c:v>0.73202087748141076</c:v>
                </c:pt>
                <c:pt idx="21">
                  <c:v>0.68488210257583126</c:v>
                </c:pt>
                <c:pt idx="22">
                  <c:v>0.63452179302964029</c:v>
                </c:pt>
                <c:pt idx="23">
                  <c:v>0.58172645189250316</c:v>
                </c:pt>
                <c:pt idx="24">
                  <c:v>0.52741393486642629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BaseOM3!$AF$40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0.52194247569640062</c:v>
                </c:pt>
                <c:pt idx="7">
                  <c:v>0.57368381522781386</c:v>
                </c:pt>
                <c:pt idx="8">
                  <c:v>0.62290080418735627</c:v>
                </c:pt>
                <c:pt idx="9">
                  <c:v>0.66837424202485574</c:v>
                </c:pt>
                <c:pt idx="10">
                  <c:v>0.70896400215861655</c:v>
                </c:pt>
                <c:pt idx="11">
                  <c:v>0.74364946836391477</c:v>
                </c:pt>
                <c:pt idx="12">
                  <c:v>0.77156138839108968</c:v>
                </c:pt>
                <c:pt idx="13">
                  <c:v>0.79200486016516725</c:v>
                </c:pt>
                <c:pt idx="14">
                  <c:v>0.80447517945492719</c:v>
                </c:pt>
                <c:pt idx="15">
                  <c:v>0.80866610753677026</c:v>
                </c:pt>
                <c:pt idx="16">
                  <c:v>0.80447517945492719</c:v>
                </c:pt>
                <c:pt idx="17">
                  <c:v>0.79200486016516725</c:v>
                </c:pt>
                <c:pt idx="18">
                  <c:v>0.77156138839108968</c:v>
                </c:pt>
                <c:pt idx="19">
                  <c:v>0.74364946836391477</c:v>
                </c:pt>
                <c:pt idx="20">
                  <c:v>0.70896400215861632</c:v>
                </c:pt>
                <c:pt idx="21">
                  <c:v>0.66837424202485551</c:v>
                </c:pt>
                <c:pt idx="22">
                  <c:v>0.62290080418735583</c:v>
                </c:pt>
                <c:pt idx="23">
                  <c:v>0.57368381522781364</c:v>
                </c:pt>
                <c:pt idx="24">
                  <c:v>0.52194247569640018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BaseOM3!$AG$40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0.47258606513357337</c:v>
                </c:pt>
                <c:pt idx="7">
                  <c:v>0.41827354810749662</c:v>
                </c:pt>
                <c:pt idx="8">
                  <c:v>0.36547820697035938</c:v>
                </c:pt>
                <c:pt idx="9">
                  <c:v>0.31511789742416851</c:v>
                </c:pt>
                <c:pt idx="10">
                  <c:v>0.26797912251858902</c:v>
                </c:pt>
                <c:pt idx="11">
                  <c:v>0.22468137725921267</c:v>
                </c:pt>
                <c:pt idx="12">
                  <c:v>0.18565579086958706</c:v>
                </c:pt>
                <c:pt idx="13">
                  <c:v>0.15113910062013391</c:v>
                </c:pt>
                <c:pt idx="14">
                  <c:v>0.12118131396644083</c:v>
                </c:pt>
                <c:pt idx="15">
                  <c:v>9.5666946231614758E-2</c:v>
                </c:pt>
                <c:pt idx="16">
                  <c:v>7.4343506578631979E-2</c:v>
                </c:pt>
                <c:pt idx="17">
                  <c:v>5.6856039214698839E-2</c:v>
                </c:pt>
                <c:pt idx="18">
                  <c:v>4.2782820739323157E-2</c:v>
                </c:pt>
                <c:pt idx="19">
                  <c:v>3.1669154376872566E-2</c:v>
                </c:pt>
                <c:pt idx="20">
                  <c:v>2.3056875322794435E-2</c:v>
                </c:pt>
                <c:pt idx="21">
                  <c:v>1.650786055097575E-2</c:v>
                </c:pt>
                <c:pt idx="22">
                  <c:v>1.1620988842284463E-2</c:v>
                </c:pt>
                <c:pt idx="23">
                  <c:v>8.0426366646895175E-3</c:v>
                </c:pt>
                <c:pt idx="24">
                  <c:v>5.4714591700260051E-3</c:v>
                </c:pt>
                <c:pt idx="25">
                  <c:v>3.6585407231247702E-3</c:v>
                </c:pt>
                <c:pt idx="26">
                  <c:v>2.404183101540891E-3</c:v>
                </c:pt>
                <c:pt idx="27">
                  <c:v>1.5525321550402538E-3</c:v>
                </c:pt>
                <c:pt idx="28">
                  <c:v>9.8511975149895292E-4</c:v>
                </c:pt>
                <c:pt idx="29">
                  <c:v>6.141546858474678E-4</c:v>
                </c:pt>
                <c:pt idx="30">
                  <c:v>3.7616163984299789E-4</c:v>
                </c:pt>
              </c:numCache>
            </c:numRef>
          </c:yVal>
        </c:ser>
        <c:ser>
          <c:idx val="6"/>
          <c:order val="6"/>
          <c:tx>
            <c:strRef>
              <c:f>BaseOM3!$AH$40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BaseOM3!$AH$41:$AH$71</c:f>
              <c:numCache>
                <c:formatCode>0%</c:formatCode>
                <c:ptCount val="31"/>
                <c:pt idx="0">
                  <c:v>3.7616163984299789E-4</c:v>
                </c:pt>
                <c:pt idx="1">
                  <c:v>6.141546858474678E-4</c:v>
                </c:pt>
                <c:pt idx="2">
                  <c:v>9.8511975149895292E-4</c:v>
                </c:pt>
                <c:pt idx="3">
                  <c:v>1.5525321550402538E-3</c:v>
                </c:pt>
                <c:pt idx="4">
                  <c:v>2.404183101540891E-3</c:v>
                </c:pt>
                <c:pt idx="5">
                  <c:v>3.6585407231247702E-3</c:v>
                </c:pt>
                <c:pt idx="6">
                  <c:v>5.4714591700260051E-3</c:v>
                </c:pt>
                <c:pt idx="7">
                  <c:v>8.0426366646895175E-3</c:v>
                </c:pt>
                <c:pt idx="8">
                  <c:v>1.1620988842284463E-2</c:v>
                </c:pt>
                <c:pt idx="9">
                  <c:v>1.650786055097575E-2</c:v>
                </c:pt>
                <c:pt idx="10">
                  <c:v>2.3056875322794435E-2</c:v>
                </c:pt>
                <c:pt idx="11">
                  <c:v>3.1669154376872566E-2</c:v>
                </c:pt>
                <c:pt idx="12">
                  <c:v>4.2782820739323157E-2</c:v>
                </c:pt>
                <c:pt idx="13">
                  <c:v>5.6856039214698839E-2</c:v>
                </c:pt>
                <c:pt idx="14">
                  <c:v>7.4343506578631979E-2</c:v>
                </c:pt>
                <c:pt idx="15">
                  <c:v>9.5666946231614869E-2</c:v>
                </c:pt>
                <c:pt idx="16">
                  <c:v>0.12118131396644083</c:v>
                </c:pt>
                <c:pt idx="17">
                  <c:v>0.15113910062013391</c:v>
                </c:pt>
                <c:pt idx="18">
                  <c:v>0.18565579086958706</c:v>
                </c:pt>
                <c:pt idx="19">
                  <c:v>0.22468137725921267</c:v>
                </c:pt>
                <c:pt idx="20">
                  <c:v>0.26797912251858924</c:v>
                </c:pt>
                <c:pt idx="21">
                  <c:v>0.31511789742416874</c:v>
                </c:pt>
                <c:pt idx="22">
                  <c:v>0.36547820697035971</c:v>
                </c:pt>
                <c:pt idx="23">
                  <c:v>0.41827354810749684</c:v>
                </c:pt>
                <c:pt idx="24">
                  <c:v>0.47258606513357371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BaseOM3!$AI$40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BaseOM3!$AI$41:$AI$71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0.47805752430359938</c:v>
                </c:pt>
                <c:pt idx="7">
                  <c:v>0.42631618477218614</c:v>
                </c:pt>
                <c:pt idx="8">
                  <c:v>0.37709919581264373</c:v>
                </c:pt>
                <c:pt idx="9">
                  <c:v>0.33162575797514426</c:v>
                </c:pt>
                <c:pt idx="10">
                  <c:v>0.29103599784138345</c:v>
                </c:pt>
                <c:pt idx="11">
                  <c:v>0.25635053163608523</c:v>
                </c:pt>
                <c:pt idx="12">
                  <c:v>0.22843861160891032</c:v>
                </c:pt>
                <c:pt idx="13">
                  <c:v>0.20799513983483275</c:v>
                </c:pt>
                <c:pt idx="14">
                  <c:v>0.19552482054507281</c:v>
                </c:pt>
                <c:pt idx="15">
                  <c:v>0.19133389246322974</c:v>
                </c:pt>
                <c:pt idx="16">
                  <c:v>0.19552482054507281</c:v>
                </c:pt>
                <c:pt idx="17">
                  <c:v>0.20799513983483275</c:v>
                </c:pt>
                <c:pt idx="18">
                  <c:v>0.22843861160891032</c:v>
                </c:pt>
                <c:pt idx="19">
                  <c:v>0.25635053163608523</c:v>
                </c:pt>
                <c:pt idx="20">
                  <c:v>0.29103599784138368</c:v>
                </c:pt>
                <c:pt idx="21">
                  <c:v>0.33162575797514449</c:v>
                </c:pt>
                <c:pt idx="22">
                  <c:v>0.37709919581264417</c:v>
                </c:pt>
                <c:pt idx="23">
                  <c:v>0.42631618477218636</c:v>
                </c:pt>
                <c:pt idx="24">
                  <c:v>0.47805752430359982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BaseOM3!$AL$40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BaseOM3!$AF$41:$AF$71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0.52194247569640062</c:v>
                </c:pt>
                <c:pt idx="7">
                  <c:v>0.57368381522781386</c:v>
                </c:pt>
                <c:pt idx="8">
                  <c:v>0.62290080418735627</c:v>
                </c:pt>
                <c:pt idx="9">
                  <c:v>0.66837424202485574</c:v>
                </c:pt>
                <c:pt idx="10">
                  <c:v>0.70896400215861655</c:v>
                </c:pt>
                <c:pt idx="11">
                  <c:v>0.74364946836391477</c:v>
                </c:pt>
                <c:pt idx="12">
                  <c:v>0.77156138839108968</c:v>
                </c:pt>
                <c:pt idx="13">
                  <c:v>0.79200486016516725</c:v>
                </c:pt>
                <c:pt idx="14">
                  <c:v>0.80447517945492719</c:v>
                </c:pt>
                <c:pt idx="15">
                  <c:v>0.80866610753677026</c:v>
                </c:pt>
                <c:pt idx="16">
                  <c:v>0.80447517945492719</c:v>
                </c:pt>
                <c:pt idx="17">
                  <c:v>0.79200486016516725</c:v>
                </c:pt>
                <c:pt idx="18">
                  <c:v>0.77156138839108968</c:v>
                </c:pt>
                <c:pt idx="19">
                  <c:v>0.74364946836391477</c:v>
                </c:pt>
                <c:pt idx="20">
                  <c:v>0.70896400215861632</c:v>
                </c:pt>
                <c:pt idx="21">
                  <c:v>0.66837424202485551</c:v>
                </c:pt>
                <c:pt idx="22">
                  <c:v>0.62290080418735583</c:v>
                </c:pt>
                <c:pt idx="23">
                  <c:v>0.57368381522781364</c:v>
                </c:pt>
                <c:pt idx="24">
                  <c:v>0.52194247569640018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BaseOM3!$AO$40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BaseOM3!$AN$41:$AN$47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BaseOM3!$AO$41:$AO$47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BaseOM3!$AM$40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BaseOM3!$AF$41:$AF$71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0.52194247569640062</c:v>
                </c:pt>
                <c:pt idx="7">
                  <c:v>0.57368381522781386</c:v>
                </c:pt>
                <c:pt idx="8">
                  <c:v>0.62290080418735627</c:v>
                </c:pt>
                <c:pt idx="9">
                  <c:v>0.66837424202485574</c:v>
                </c:pt>
                <c:pt idx="10">
                  <c:v>0.70896400215861655</c:v>
                </c:pt>
                <c:pt idx="11">
                  <c:v>0.74364946836391477</c:v>
                </c:pt>
                <c:pt idx="12">
                  <c:v>0.77156138839108968</c:v>
                </c:pt>
                <c:pt idx="13">
                  <c:v>0.79200486016516725</c:v>
                </c:pt>
                <c:pt idx="14">
                  <c:v>0.80447517945492719</c:v>
                </c:pt>
                <c:pt idx="15">
                  <c:v>0.80866610753677026</c:v>
                </c:pt>
                <c:pt idx="16">
                  <c:v>0.80447517945492719</c:v>
                </c:pt>
                <c:pt idx="17">
                  <c:v>0.79200486016516725</c:v>
                </c:pt>
                <c:pt idx="18">
                  <c:v>0.77156138839108968</c:v>
                </c:pt>
                <c:pt idx="19">
                  <c:v>0.74364946836391477</c:v>
                </c:pt>
                <c:pt idx="20">
                  <c:v>0.70896400215861632</c:v>
                </c:pt>
                <c:pt idx="21">
                  <c:v>0.66837424202485551</c:v>
                </c:pt>
                <c:pt idx="22">
                  <c:v>0.62290080418735583</c:v>
                </c:pt>
                <c:pt idx="23">
                  <c:v>0.57368381522781364</c:v>
                </c:pt>
                <c:pt idx="24">
                  <c:v>0.52194247569640018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BaseOM3!$AL$40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BaseOM3!$AL$41:$AL$71</c:f>
              <c:numCache>
                <c:formatCode>General</c:formatCode>
                <c:ptCount val="31"/>
                <c:pt idx="0">
                  <c:v>-0.50099699906335693</c:v>
                </c:pt>
                <c:pt idx="1">
                  <c:v>-0.45099699906335694</c:v>
                </c:pt>
                <c:pt idx="2">
                  <c:v>-0.40099699906335695</c:v>
                </c:pt>
                <c:pt idx="3">
                  <c:v>-0.35099699906335696</c:v>
                </c:pt>
                <c:pt idx="4">
                  <c:v>-0.30099699906335697</c:v>
                </c:pt>
                <c:pt idx="5">
                  <c:v>-0.25099699906335693</c:v>
                </c:pt>
                <c:pt idx="6">
                  <c:v>-0.20099699906335694</c:v>
                </c:pt>
                <c:pt idx="7">
                  <c:v>-0.15099699906335692</c:v>
                </c:pt>
                <c:pt idx="8">
                  <c:v>-0.10099699906335691</c:v>
                </c:pt>
                <c:pt idx="9">
                  <c:v>-5.0996999063356918E-2</c:v>
                </c:pt>
                <c:pt idx="10">
                  <c:v>-9.9699906335692923E-4</c:v>
                </c:pt>
                <c:pt idx="11">
                  <c:v>4.900300093664306E-2</c:v>
                </c:pt>
                <c:pt idx="12">
                  <c:v>9.9003000936643049E-2</c:v>
                </c:pt>
                <c:pt idx="13">
                  <c:v>0.14900300093664304</c:v>
                </c:pt>
                <c:pt idx="14">
                  <c:v>0.19900300093664303</c:v>
                </c:pt>
                <c:pt idx="15">
                  <c:v>0.24900300093664302</c:v>
                </c:pt>
                <c:pt idx="16">
                  <c:v>0.299003000936643</c:v>
                </c:pt>
                <c:pt idx="17">
                  <c:v>0.34900300093664305</c:v>
                </c:pt>
                <c:pt idx="18">
                  <c:v>0.39900300093664309</c:v>
                </c:pt>
                <c:pt idx="19">
                  <c:v>0.44900300093664314</c:v>
                </c:pt>
                <c:pt idx="20">
                  <c:v>0.49900300093664318</c:v>
                </c:pt>
                <c:pt idx="21">
                  <c:v>0.54900300093664323</c:v>
                </c:pt>
                <c:pt idx="22">
                  <c:v>0.59900300093664327</c:v>
                </c:pt>
                <c:pt idx="23">
                  <c:v>0.64900300093664332</c:v>
                </c:pt>
                <c:pt idx="24">
                  <c:v>0.69900300093664336</c:v>
                </c:pt>
                <c:pt idx="25">
                  <c:v>0.74900300093664329</c:v>
                </c:pt>
                <c:pt idx="26">
                  <c:v>0.79900300093664334</c:v>
                </c:pt>
                <c:pt idx="27">
                  <c:v>0.84900300093664338</c:v>
                </c:pt>
                <c:pt idx="28">
                  <c:v>0.89900300093664343</c:v>
                </c:pt>
                <c:pt idx="29">
                  <c:v>0.94900300093664347</c:v>
                </c:pt>
                <c:pt idx="30">
                  <c:v>0.99900300093664351</c:v>
                </c:pt>
              </c:numCache>
            </c:numRef>
          </c:xVal>
          <c:yVal>
            <c:numRef>
              <c:f>BaseOM3!$AI$41:$AI$71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0.47805752430359938</c:v>
                </c:pt>
                <c:pt idx="7">
                  <c:v>0.42631618477218614</c:v>
                </c:pt>
                <c:pt idx="8">
                  <c:v>0.37709919581264373</c:v>
                </c:pt>
                <c:pt idx="9">
                  <c:v>0.33162575797514426</c:v>
                </c:pt>
                <c:pt idx="10">
                  <c:v>0.29103599784138345</c:v>
                </c:pt>
                <c:pt idx="11">
                  <c:v>0.25635053163608523</c:v>
                </c:pt>
                <c:pt idx="12">
                  <c:v>0.22843861160891032</c:v>
                </c:pt>
                <c:pt idx="13">
                  <c:v>0.20799513983483275</c:v>
                </c:pt>
                <c:pt idx="14">
                  <c:v>0.19552482054507281</c:v>
                </c:pt>
                <c:pt idx="15">
                  <c:v>0.19133389246322974</c:v>
                </c:pt>
                <c:pt idx="16">
                  <c:v>0.19552482054507281</c:v>
                </c:pt>
                <c:pt idx="17">
                  <c:v>0.20799513983483275</c:v>
                </c:pt>
                <c:pt idx="18">
                  <c:v>0.22843861160891032</c:v>
                </c:pt>
                <c:pt idx="19">
                  <c:v>0.25635053163608523</c:v>
                </c:pt>
                <c:pt idx="20">
                  <c:v>0.29103599784138368</c:v>
                </c:pt>
                <c:pt idx="21">
                  <c:v>0.33162575797514449</c:v>
                </c:pt>
                <c:pt idx="22">
                  <c:v>0.37709919581264417</c:v>
                </c:pt>
                <c:pt idx="23">
                  <c:v>0.42631618477218636</c:v>
                </c:pt>
                <c:pt idx="24">
                  <c:v>0.47805752430359982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BaseOM3!$AM$40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BaseOM3!$AM$41:$AM$71</c:f>
              <c:numCache>
                <c:formatCode>General</c:formatCode>
                <c:ptCount val="31"/>
                <c:pt idx="0">
                  <c:v>9.9699906335692923E-4</c:v>
                </c:pt>
                <c:pt idx="1">
                  <c:v>5.0996999063356918E-2</c:v>
                </c:pt>
                <c:pt idx="2">
                  <c:v>0.10099699906335691</c:v>
                </c:pt>
                <c:pt idx="3">
                  <c:v>0.1509969990633569</c:v>
                </c:pt>
                <c:pt idx="4">
                  <c:v>0.20099699906335691</c:v>
                </c:pt>
                <c:pt idx="5">
                  <c:v>0.25099699906335693</c:v>
                </c:pt>
                <c:pt idx="6">
                  <c:v>0.30099699906335692</c:v>
                </c:pt>
                <c:pt idx="7">
                  <c:v>0.35099699906335691</c:v>
                </c:pt>
                <c:pt idx="8">
                  <c:v>0.40099699906335695</c:v>
                </c:pt>
                <c:pt idx="9">
                  <c:v>0.45099699906335694</c:v>
                </c:pt>
                <c:pt idx="10">
                  <c:v>0.50099699906335693</c:v>
                </c:pt>
                <c:pt idx="11">
                  <c:v>0.55099699906335697</c:v>
                </c:pt>
                <c:pt idx="12">
                  <c:v>0.60099699906335691</c:v>
                </c:pt>
                <c:pt idx="13">
                  <c:v>0.65099699906335684</c:v>
                </c:pt>
                <c:pt idx="14">
                  <c:v>0.70099699906335688</c:v>
                </c:pt>
                <c:pt idx="15">
                  <c:v>0.75099699906335693</c:v>
                </c:pt>
                <c:pt idx="16">
                  <c:v>0.80099699906335686</c:v>
                </c:pt>
                <c:pt idx="17">
                  <c:v>0.85099699906335691</c:v>
                </c:pt>
                <c:pt idx="18">
                  <c:v>0.90099699906335695</c:v>
                </c:pt>
                <c:pt idx="19">
                  <c:v>0.950996999063357</c:v>
                </c:pt>
                <c:pt idx="20">
                  <c:v>1.0009969990633572</c:v>
                </c:pt>
                <c:pt idx="21">
                  <c:v>1.050996999063357</c:v>
                </c:pt>
                <c:pt idx="22">
                  <c:v>1.1009969990633572</c:v>
                </c:pt>
                <c:pt idx="23">
                  <c:v>1.1509969990633571</c:v>
                </c:pt>
                <c:pt idx="24">
                  <c:v>1.2009969990633573</c:v>
                </c:pt>
                <c:pt idx="25">
                  <c:v>1.2509969990633572</c:v>
                </c:pt>
                <c:pt idx="26">
                  <c:v>1.3009969990633572</c:v>
                </c:pt>
                <c:pt idx="27">
                  <c:v>1.3509969990633572</c:v>
                </c:pt>
                <c:pt idx="28">
                  <c:v>1.4009969990633573</c:v>
                </c:pt>
                <c:pt idx="29">
                  <c:v>1.4509969990633573</c:v>
                </c:pt>
                <c:pt idx="30">
                  <c:v>1.5009969990633574</c:v>
                </c:pt>
              </c:numCache>
            </c:numRef>
          </c:xVal>
          <c:yVal>
            <c:numRef>
              <c:f>BaseOM3!$AI$41:$AI$71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0.47805752430359938</c:v>
                </c:pt>
                <c:pt idx="7">
                  <c:v>0.42631618477218614</c:v>
                </c:pt>
                <c:pt idx="8">
                  <c:v>0.37709919581264373</c:v>
                </c:pt>
                <c:pt idx="9">
                  <c:v>0.33162575797514426</c:v>
                </c:pt>
                <c:pt idx="10">
                  <c:v>0.29103599784138345</c:v>
                </c:pt>
                <c:pt idx="11">
                  <c:v>0.25635053163608523</c:v>
                </c:pt>
                <c:pt idx="12">
                  <c:v>0.22843861160891032</c:v>
                </c:pt>
                <c:pt idx="13">
                  <c:v>0.20799513983483275</c:v>
                </c:pt>
                <c:pt idx="14">
                  <c:v>0.19552482054507281</c:v>
                </c:pt>
                <c:pt idx="15">
                  <c:v>0.19133389246322974</c:v>
                </c:pt>
                <c:pt idx="16">
                  <c:v>0.19552482054507281</c:v>
                </c:pt>
                <c:pt idx="17">
                  <c:v>0.20799513983483275</c:v>
                </c:pt>
                <c:pt idx="18">
                  <c:v>0.22843861160891032</c:v>
                </c:pt>
                <c:pt idx="19">
                  <c:v>0.25635053163608523</c:v>
                </c:pt>
                <c:pt idx="20">
                  <c:v>0.29103599784138368</c:v>
                </c:pt>
                <c:pt idx="21">
                  <c:v>0.33162575797514449</c:v>
                </c:pt>
                <c:pt idx="22">
                  <c:v>0.37709919581264417</c:v>
                </c:pt>
                <c:pt idx="23">
                  <c:v>0.42631618477218636</c:v>
                </c:pt>
                <c:pt idx="24">
                  <c:v>0.47805752430359982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BaseOM3!$AT$39:$AT$40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BaseOM3!$AL$55:$AL$69</c:f>
              <c:numCache>
                <c:formatCode>General</c:formatCode>
                <c:ptCount val="15"/>
                <c:pt idx="0">
                  <c:v>0.19900300093664303</c:v>
                </c:pt>
                <c:pt idx="1">
                  <c:v>0.24900300093664302</c:v>
                </c:pt>
                <c:pt idx="2">
                  <c:v>0.299003000936643</c:v>
                </c:pt>
                <c:pt idx="3">
                  <c:v>0.34900300093664305</c:v>
                </c:pt>
                <c:pt idx="4">
                  <c:v>0.39900300093664309</c:v>
                </c:pt>
                <c:pt idx="5">
                  <c:v>0.44900300093664314</c:v>
                </c:pt>
                <c:pt idx="6">
                  <c:v>0.49900300093664318</c:v>
                </c:pt>
                <c:pt idx="7">
                  <c:v>0.54900300093664323</c:v>
                </c:pt>
                <c:pt idx="8">
                  <c:v>0.59900300093664327</c:v>
                </c:pt>
                <c:pt idx="9">
                  <c:v>0.64900300093664332</c:v>
                </c:pt>
                <c:pt idx="10">
                  <c:v>0.69900300093664336</c:v>
                </c:pt>
                <c:pt idx="11">
                  <c:v>0.74900300093664329</c:v>
                </c:pt>
                <c:pt idx="12">
                  <c:v>0.79900300093664334</c:v>
                </c:pt>
                <c:pt idx="13">
                  <c:v>0.84900300093664338</c:v>
                </c:pt>
                <c:pt idx="14">
                  <c:v>0.89900300093664343</c:v>
                </c:pt>
              </c:numCache>
            </c:numRef>
          </c:xVal>
          <c:yVal>
            <c:numRef>
              <c:f>BaseOM3!$AT$55:$AT$69</c:f>
              <c:numCache>
                <c:formatCode>0%</c:formatCode>
                <c:ptCount val="15"/>
                <c:pt idx="0">
                  <c:v>0.73533731798165913</c:v>
                </c:pt>
                <c:pt idx="1">
                  <c:v>0.73866416525877376</c:v>
                </c:pt>
                <c:pt idx="2">
                  <c:v>0.73533731798165913</c:v>
                </c:pt>
                <c:pt idx="3">
                  <c:v>0.72543750248823136</c:v>
                </c:pt>
                <c:pt idx="4">
                  <c:v>0.7092035827608254</c:v>
                </c:pt>
                <c:pt idx="5">
                  <c:v>0.68702573352009333</c:v>
                </c:pt>
                <c:pt idx="6">
                  <c:v>0.65943218740122633</c:v>
                </c:pt>
                <c:pt idx="7">
                  <c:v>0.62707194860737125</c:v>
                </c:pt>
                <c:pt idx="8">
                  <c:v>0.59069312402838237</c:v>
                </c:pt>
                <c:pt idx="9">
                  <c:v>0.55111756717915594</c:v>
                </c:pt>
                <c:pt idx="10">
                  <c:v>0.50921283272420803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BaseOM3!$AT$39:$AT$40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BaseOM3!$AM$43:$AM$57</c:f>
              <c:numCache>
                <c:formatCode>General</c:formatCode>
                <c:ptCount val="15"/>
                <c:pt idx="0">
                  <c:v>0.10099699906335691</c:v>
                </c:pt>
                <c:pt idx="1">
                  <c:v>0.1509969990633569</c:v>
                </c:pt>
                <c:pt idx="2">
                  <c:v>0.20099699906335691</c:v>
                </c:pt>
                <c:pt idx="3">
                  <c:v>0.25099699906335693</c:v>
                </c:pt>
                <c:pt idx="4">
                  <c:v>0.30099699906335692</c:v>
                </c:pt>
                <c:pt idx="5">
                  <c:v>0.35099699906335691</c:v>
                </c:pt>
                <c:pt idx="6">
                  <c:v>0.40099699906335695</c:v>
                </c:pt>
                <c:pt idx="7">
                  <c:v>0.45099699906335694</c:v>
                </c:pt>
                <c:pt idx="8">
                  <c:v>0.50099699906335693</c:v>
                </c:pt>
                <c:pt idx="9">
                  <c:v>0.55099699906335697</c:v>
                </c:pt>
                <c:pt idx="10">
                  <c:v>0.60099699906335691</c:v>
                </c:pt>
                <c:pt idx="11">
                  <c:v>0.65099699906335684</c:v>
                </c:pt>
                <c:pt idx="12">
                  <c:v>0.70099699906335688</c:v>
                </c:pt>
                <c:pt idx="13">
                  <c:v>0.75099699906335693</c:v>
                </c:pt>
                <c:pt idx="14">
                  <c:v>0.80099699906335686</c:v>
                </c:pt>
              </c:numCache>
            </c:numRef>
          </c:xVal>
          <c:yVal>
            <c:numRef>
              <c:f>BaseOM3!$AT$43:$AT$57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0.50921283272420848</c:v>
                </c:pt>
                <c:pt idx="5">
                  <c:v>0.55111756717915616</c:v>
                </c:pt>
                <c:pt idx="6">
                  <c:v>0.59069312402838259</c:v>
                </c:pt>
                <c:pt idx="7">
                  <c:v>0.62707194860737125</c:v>
                </c:pt>
                <c:pt idx="8">
                  <c:v>0.65943218740122633</c:v>
                </c:pt>
                <c:pt idx="9">
                  <c:v>0.68702573352009355</c:v>
                </c:pt>
                <c:pt idx="10">
                  <c:v>0.7092035827608254</c:v>
                </c:pt>
                <c:pt idx="11">
                  <c:v>0.72543750248823136</c:v>
                </c:pt>
                <c:pt idx="12">
                  <c:v>0.73533731798165913</c:v>
                </c:pt>
                <c:pt idx="13">
                  <c:v>0.73866416525877376</c:v>
                </c:pt>
                <c:pt idx="14">
                  <c:v>0.73533731798165913</c:v>
                </c:pt>
              </c:numCache>
            </c:numRef>
          </c:yVal>
        </c:ser>
        <c:ser>
          <c:idx val="15"/>
          <c:order val="15"/>
          <c:tx>
            <c:strRef>
              <c:f>BaseOM3!$AW$39:$AW$40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BaseOM3!$AL$55:$AL$69</c:f>
              <c:numCache>
                <c:formatCode>General</c:formatCode>
                <c:ptCount val="15"/>
                <c:pt idx="0">
                  <c:v>0.19900300093664303</c:v>
                </c:pt>
                <c:pt idx="1">
                  <c:v>0.24900300093664302</c:v>
                </c:pt>
                <c:pt idx="2">
                  <c:v>0.299003000936643</c:v>
                </c:pt>
                <c:pt idx="3">
                  <c:v>0.34900300093664305</c:v>
                </c:pt>
                <c:pt idx="4">
                  <c:v>0.39900300093664309</c:v>
                </c:pt>
                <c:pt idx="5">
                  <c:v>0.44900300093664314</c:v>
                </c:pt>
                <c:pt idx="6">
                  <c:v>0.49900300093664318</c:v>
                </c:pt>
                <c:pt idx="7">
                  <c:v>0.54900300093664323</c:v>
                </c:pt>
                <c:pt idx="8">
                  <c:v>0.59900300093664327</c:v>
                </c:pt>
                <c:pt idx="9">
                  <c:v>0.64900300093664332</c:v>
                </c:pt>
                <c:pt idx="10">
                  <c:v>0.69900300093664336</c:v>
                </c:pt>
                <c:pt idx="11">
                  <c:v>0.74900300093664329</c:v>
                </c:pt>
                <c:pt idx="12">
                  <c:v>0.79900300093664334</c:v>
                </c:pt>
                <c:pt idx="13">
                  <c:v>0.84900300093664338</c:v>
                </c:pt>
                <c:pt idx="14">
                  <c:v>0.89900300093664343</c:v>
                </c:pt>
              </c:numCache>
            </c:numRef>
          </c:xVal>
          <c:yVal>
            <c:numRef>
              <c:f>BaseOM3!$AW$55:$AW$69</c:f>
              <c:numCache>
                <c:formatCode>0%</c:formatCode>
                <c:ptCount val="15"/>
                <c:pt idx="0">
                  <c:v>0.26466268201834087</c:v>
                </c:pt>
                <c:pt idx="1">
                  <c:v>0.26133583474122624</c:v>
                </c:pt>
                <c:pt idx="2">
                  <c:v>0.26466268201834087</c:v>
                </c:pt>
                <c:pt idx="3">
                  <c:v>0.27456249751176864</c:v>
                </c:pt>
                <c:pt idx="4">
                  <c:v>0.2907964172391746</c:v>
                </c:pt>
                <c:pt idx="5">
                  <c:v>0.31297426647990667</c:v>
                </c:pt>
                <c:pt idx="6">
                  <c:v>0.34056781259877367</c:v>
                </c:pt>
                <c:pt idx="7">
                  <c:v>0.37292805139262875</c:v>
                </c:pt>
                <c:pt idx="8">
                  <c:v>0.40930687597161763</c:v>
                </c:pt>
                <c:pt idx="9">
                  <c:v>0.44888243282084406</c:v>
                </c:pt>
                <c:pt idx="10">
                  <c:v>0.49078716727579197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BaseOM3!$AW$39:$AW$40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BaseOM3!$AM$43:$AM$57</c:f>
              <c:numCache>
                <c:formatCode>General</c:formatCode>
                <c:ptCount val="15"/>
                <c:pt idx="0">
                  <c:v>0.10099699906335691</c:v>
                </c:pt>
                <c:pt idx="1">
                  <c:v>0.1509969990633569</c:v>
                </c:pt>
                <c:pt idx="2">
                  <c:v>0.20099699906335691</c:v>
                </c:pt>
                <c:pt idx="3">
                  <c:v>0.25099699906335693</c:v>
                </c:pt>
                <c:pt idx="4">
                  <c:v>0.30099699906335692</c:v>
                </c:pt>
                <c:pt idx="5">
                  <c:v>0.35099699906335691</c:v>
                </c:pt>
                <c:pt idx="6">
                  <c:v>0.40099699906335695</c:v>
                </c:pt>
                <c:pt idx="7">
                  <c:v>0.45099699906335694</c:v>
                </c:pt>
                <c:pt idx="8">
                  <c:v>0.50099699906335693</c:v>
                </c:pt>
                <c:pt idx="9">
                  <c:v>0.55099699906335697</c:v>
                </c:pt>
                <c:pt idx="10">
                  <c:v>0.60099699906335691</c:v>
                </c:pt>
                <c:pt idx="11">
                  <c:v>0.65099699906335684</c:v>
                </c:pt>
                <c:pt idx="12">
                  <c:v>0.70099699906335688</c:v>
                </c:pt>
                <c:pt idx="13">
                  <c:v>0.75099699906335693</c:v>
                </c:pt>
                <c:pt idx="14">
                  <c:v>0.80099699906335686</c:v>
                </c:pt>
              </c:numCache>
            </c:numRef>
          </c:xVal>
          <c:yVal>
            <c:numRef>
              <c:f>BaseOM3!$AW$43:$AW$57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0.49078716727579152</c:v>
                </c:pt>
                <c:pt idx="5">
                  <c:v>0.44888243282084384</c:v>
                </c:pt>
                <c:pt idx="6">
                  <c:v>0.40930687597161741</c:v>
                </c:pt>
                <c:pt idx="7">
                  <c:v>0.37292805139262875</c:v>
                </c:pt>
                <c:pt idx="8">
                  <c:v>0.34056781259877367</c:v>
                </c:pt>
                <c:pt idx="9">
                  <c:v>0.31297426647990645</c:v>
                </c:pt>
                <c:pt idx="10">
                  <c:v>0.2907964172391746</c:v>
                </c:pt>
                <c:pt idx="11">
                  <c:v>0.27456249751176864</c:v>
                </c:pt>
                <c:pt idx="12">
                  <c:v>0.26466268201834087</c:v>
                </c:pt>
                <c:pt idx="13">
                  <c:v>0.26133583474122624</c:v>
                </c:pt>
                <c:pt idx="14">
                  <c:v>0.26466268201834087</c:v>
                </c:pt>
              </c:numCache>
            </c:numRef>
          </c:yVal>
        </c:ser>
        <c:ser>
          <c:idx val="17"/>
          <c:order val="17"/>
          <c:tx>
            <c:strRef>
              <c:f>BaseOM3!$AI$8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BaseOM3!$AJ$8:$AJ$9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BaseOM3!$AK$8:$AK$9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139901184"/>
        <c:axId val="139911936"/>
      </c:scatterChart>
      <c:valAx>
        <c:axId val="139901184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6976699786748016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11936"/>
        <c:crosses val="autoZero"/>
        <c:crossBetween val="midCat"/>
      </c:valAx>
      <c:valAx>
        <c:axId val="139911936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01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44" r="0.750000000000004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552354663675613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255142303408655E-2"/>
          <c:y val="0.11602957949997458"/>
          <c:w val="0.68012418435195932"/>
          <c:h val="0.7371290932939617"/>
        </c:manualLayout>
      </c:layout>
      <c:scatterChart>
        <c:scatterStyle val="lineMarker"/>
        <c:ser>
          <c:idx val="1"/>
          <c:order val="0"/>
          <c:tx>
            <c:strRef>
              <c:f>'850S2000'!$B$15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'850S2000'!$B$18:$B$38</c:f>
              <c:numCache>
                <c:formatCode>0.00</c:formatCode>
                <c:ptCount val="21"/>
                <c:pt idx="0">
                  <c:v>0.72451902384791367</c:v>
                </c:pt>
                <c:pt idx="1">
                  <c:v>0.76074497504030936</c:v>
                </c:pt>
                <c:pt idx="2">
                  <c:v>0.79697092623270505</c:v>
                </c:pt>
                <c:pt idx="3">
                  <c:v>0.83319687742510073</c:v>
                </c:pt>
                <c:pt idx="4">
                  <c:v>0.86942282861749653</c:v>
                </c:pt>
                <c:pt idx="5">
                  <c:v>0.90564877980989222</c:v>
                </c:pt>
                <c:pt idx="6">
                  <c:v>0.94187473100228791</c:v>
                </c:pt>
                <c:pt idx="7">
                  <c:v>0.9781006821946836</c:v>
                </c:pt>
                <c:pt idx="8">
                  <c:v>1.0143266333870793</c:v>
                </c:pt>
                <c:pt idx="9">
                  <c:v>1.050552584579475</c:v>
                </c:pt>
                <c:pt idx="10">
                  <c:v>1.0867785357718707</c:v>
                </c:pt>
                <c:pt idx="11">
                  <c:v>1.1230044869642666</c:v>
                </c:pt>
                <c:pt idx="12">
                  <c:v>1.1592304381566623</c:v>
                </c:pt>
                <c:pt idx="13">
                  <c:v>1.195456389349058</c:v>
                </c:pt>
                <c:pt idx="14">
                  <c:v>1.2316823405414536</c:v>
                </c:pt>
                <c:pt idx="15">
                  <c:v>1.2679082917338493</c:v>
                </c:pt>
                <c:pt idx="16">
                  <c:v>1.304134242926245</c:v>
                </c:pt>
                <c:pt idx="17">
                  <c:v>1.3403601941186407</c:v>
                </c:pt>
                <c:pt idx="18">
                  <c:v>1.3765861453110364</c:v>
                </c:pt>
                <c:pt idx="19">
                  <c:v>1.4128120965034321</c:v>
                </c:pt>
                <c:pt idx="20">
                  <c:v>1.4490380476958278</c:v>
                </c:pt>
              </c:numCache>
            </c:numRef>
          </c:yVal>
        </c:ser>
        <c:ser>
          <c:idx val="0"/>
          <c:order val="1"/>
          <c:tx>
            <c:strRef>
              <c:f>'850S2000'!$J$14:$J$15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'850S2000'!$J$18:$J$38</c:f>
              <c:numCache>
                <c:formatCode>0.00</c:formatCode>
                <c:ptCount val="21"/>
                <c:pt idx="0">
                  <c:v>1.7294607032866618</c:v>
                </c:pt>
                <c:pt idx="1">
                  <c:v>1.8335945614639253</c:v>
                </c:pt>
                <c:pt idx="2">
                  <c:v>1.9431634230722774</c:v>
                </c:pt>
                <c:pt idx="3">
                  <c:v>2.0581724099027316</c:v>
                </c:pt>
                <c:pt idx="4">
                  <c:v>2.1786336536309516</c:v>
                </c:pt>
                <c:pt idx="5">
                  <c:v>2.3045646419443644</c:v>
                </c:pt>
                <c:pt idx="6">
                  <c:v>2.4359947313236394</c:v>
                </c:pt>
                <c:pt idx="7">
                  <c:v>2.572966058103912</c:v>
                </c:pt>
                <c:pt idx="8">
                  <c:v>2.7155340549435287</c:v>
                </c:pt>
                <c:pt idx="9">
                  <c:v>2.8637743464299685</c:v>
                </c:pt>
                <c:pt idx="10">
                  <c:v>3.0177836780833998</c:v>
                </c:pt>
                <c:pt idx="11">
                  <c:v>3.1776800788848241</c:v>
                </c:pt>
                <c:pt idx="12">
                  <c:v>3.3436115258282495</c:v>
                </c:pt>
                <c:pt idx="13">
                  <c:v>3.5157559257310207</c:v>
                </c:pt>
                <c:pt idx="14">
                  <c:v>3.6943273146548226</c:v>
                </c:pt>
                <c:pt idx="15">
                  <c:v>3.8795754777881091</c:v>
                </c:pt>
                <c:pt idx="16">
                  <c:v>4.0717987027288078</c:v>
                </c:pt>
                <c:pt idx="17">
                  <c:v>4.2713450828787938</c:v>
                </c:pt>
                <c:pt idx="18">
                  <c:v>4.4786145110137756</c:v>
                </c:pt>
                <c:pt idx="19">
                  <c:v>4.6940938390753484</c:v>
                </c:pt>
                <c:pt idx="20">
                  <c:v>4.9183285008501212</c:v>
                </c:pt>
              </c:numCache>
            </c:numRef>
          </c:yVal>
        </c:ser>
        <c:ser>
          <c:idx val="6"/>
          <c:order val="2"/>
          <c:tx>
            <c:strRef>
              <c:f>'850S2000'!$L$14:$L$15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'850S2000'!$L$18:$L$38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3"/>
          <c:order val="3"/>
          <c:tx>
            <c:strRef>
              <c:f>'850S2000'!$R$15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'850S2000'!$R$18:$R$38</c:f>
              <c:numCache>
                <c:formatCode>0.00</c:formatCode>
                <c:ptCount val="21"/>
                <c:pt idx="0">
                  <c:v>0.12688766229343779</c:v>
                </c:pt>
                <c:pt idx="1">
                  <c:v>0.12916237293696894</c:v>
                </c:pt>
                <c:pt idx="2">
                  <c:v>0.13187424903968775</c:v>
                </c:pt>
                <c:pt idx="3">
                  <c:v>0.13505485139262391</c:v>
                </c:pt>
                <c:pt idx="4">
                  <c:v>0.13874055414165834</c:v>
                </c:pt>
                <c:pt idx="5">
                  <c:v>0.1429733050534612</c:v>
                </c:pt>
                <c:pt idx="6">
                  <c:v>0.14780204943517442</c:v>
                </c:pt>
                <c:pt idx="7">
                  <c:v>0.15328399029610348</c:v>
                </c:pt>
                <c:pt idx="8">
                  <c:v>0.15948605152560391</c:v>
                </c:pt>
                <c:pt idx="9">
                  <c:v>0.16648713984551</c:v>
                </c:pt>
                <c:pt idx="10">
                  <c:v>0.17438042689599562</c:v>
                </c:pt>
                <c:pt idx="11">
                  <c:v>0.18327609162383018</c:v>
                </c:pt>
                <c:pt idx="12">
                  <c:v>0.19330550679441938</c:v>
                </c:pt>
                <c:pt idx="13">
                  <c:v>0.20462569495119914</c:v>
                </c:pt>
                <c:pt idx="14">
                  <c:v>0.21742561076060202</c:v>
                </c:pt>
                <c:pt idx="15">
                  <c:v>0.23193349001984484</c:v>
                </c:pt>
                <c:pt idx="16">
                  <c:v>0.24842789604249402</c:v>
                </c:pt>
                <c:pt idx="17">
                  <c:v>0.26725085507163865</c:v>
                </c:pt>
                <c:pt idx="18">
                  <c:v>0.28882532930754901</c:v>
                </c:pt>
                <c:pt idx="19">
                  <c:v>0.31368378797931701</c:v>
                </c:pt>
                <c:pt idx="20">
                  <c:v>0.34249739850005212</c:v>
                </c:pt>
              </c:numCache>
            </c:numRef>
          </c:yVal>
        </c:ser>
        <c:ser>
          <c:idx val="5"/>
          <c:order val="4"/>
          <c:tx>
            <c:strRef>
              <c:f>'850S2000'!$N$14:$N$15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'850S2000'!$Q$15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'850S2000'!$Q$18:$Q$38</c:f>
              <c:numCache>
                <c:formatCode>0.00</c:formatCode>
                <c:ptCount val="21"/>
                <c:pt idx="0">
                  <c:v>1.4189989598590472E-2</c:v>
                </c:pt>
                <c:pt idx="1">
                  <c:v>1.7162719115674366E-2</c:v>
                </c:pt>
                <c:pt idx="2">
                  <c:v>2.0567073242907234E-2</c:v>
                </c:pt>
                <c:pt idx="3">
                  <c:v>2.4439706715681034E-2</c:v>
                </c:pt>
                <c:pt idx="4">
                  <c:v>2.8818182651728981E-2</c:v>
                </c:pt>
                <c:pt idx="5">
                  <c:v>3.3740919330850223E-2</c:v>
                </c:pt>
                <c:pt idx="6">
                  <c:v>3.9247144084974178E-2</c:v>
                </c:pt>
                <c:pt idx="7">
                  <c:v>4.537685491900452E-2</c:v>
                </c:pt>
                <c:pt idx="8">
                  <c:v>5.2170790451369665E-2</c:v>
                </c:pt>
                <c:pt idx="9">
                  <c:v>5.9670408738314362E-2</c:v>
                </c:pt>
                <c:pt idx="10">
                  <c:v>6.791787552929307E-2</c:v>
                </c:pt>
                <c:pt idx="11">
                  <c:v>7.6956062493541241E-2</c:v>
                </c:pt>
                <c:pt idx="12">
                  <c:v>8.6828555961575238E-2</c:v>
                </c:pt>
                <c:pt idx="13">
                  <c:v>9.7579676741298776E-2</c:v>
                </c:pt>
                <c:pt idx="14">
                  <c:v>0.10925451159806822</c:v>
                </c:pt>
                <c:pt idx="15">
                  <c:v>0.12189895703313483</c:v>
                </c:pt>
                <c:pt idx="16">
                  <c:v>0.13555977605697922</c:v>
                </c:pt>
                <c:pt idx="17">
                  <c:v>0.15028466873530871</c:v>
                </c:pt>
                <c:pt idx="18">
                  <c:v>0.16612235738819064</c:v>
                </c:pt>
                <c:pt idx="19">
                  <c:v>0.18312268744965082</c:v>
                </c:pt>
                <c:pt idx="20">
                  <c:v>0.20133674514953462</c:v>
                </c:pt>
              </c:numCache>
            </c:numRef>
          </c:yVal>
        </c:ser>
        <c:ser>
          <c:idx val="4"/>
          <c:order val="6"/>
          <c:tx>
            <c:strRef>
              <c:f>'850S2000'!$S$14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'850S2000'!$S$18:$S$38</c:f>
              <c:numCache>
                <c:formatCode>0.00</c:formatCode>
                <c:ptCount val="21"/>
                <c:pt idx="0">
                  <c:v>0.14413606552020308</c:v>
                </c:pt>
                <c:pt idx="1">
                  <c:v>0.15575543937684594</c:v>
                </c:pt>
                <c:pt idx="2">
                  <c:v>0.16884296623892925</c:v>
                </c:pt>
                <c:pt idx="3">
                  <c:v>0.18359223972038952</c:v>
                </c:pt>
                <c:pt idx="4">
                  <c:v>0.20023188595740155</c:v>
                </c:pt>
                <c:pt idx="5">
                  <c:v>0.21903302923168028</c:v>
                </c:pt>
                <c:pt idx="6">
                  <c:v>0.24032007561166019</c:v>
                </c:pt>
                <c:pt idx="7">
                  <c:v>0.26448382617753569</c:v>
                </c:pt>
                <c:pt idx="8">
                  <c:v>0.29199856677974295</c:v>
                </c:pt>
                <c:pt idx="9">
                  <c:v>0.32344605067023541</c:v>
                </c:pt>
                <c:pt idx="10">
                  <c:v>0.35954672110412461</c:v>
                </c:pt>
                <c:pt idx="11">
                  <c:v>0.401202319656146</c:v>
                </c:pt>
                <c:pt idx="12">
                  <c:v>0.44955778346941661</c:v>
                </c:pt>
                <c:pt idx="13">
                  <c:v>0.50608748318726282</c:v>
                </c:pt>
                <c:pt idx="14">
                  <c:v>0.57272378988240269</c:v>
                </c:pt>
                <c:pt idx="15">
                  <c:v>0.65204896880648344</c:v>
                </c:pt>
                <c:pt idx="16">
                  <c:v>0.74760138597900183</c:v>
                </c:pt>
                <c:pt idx="17">
                  <c:v>0.86437038467290561</c:v>
                </c:pt>
                <c:pt idx="18">
                  <c:v>1.0096468495642077</c:v>
                </c:pt>
                <c:pt idx="19">
                  <c:v>1.1946115620465494</c:v>
                </c:pt>
                <c:pt idx="20">
                  <c:v>1.4374506762166979</c:v>
                </c:pt>
              </c:numCache>
            </c:numRef>
          </c:yVal>
        </c:ser>
        <c:ser>
          <c:idx val="8"/>
          <c:order val="7"/>
          <c:tx>
            <c:strRef>
              <c:f>'850S2000'!$T$14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'850S2000'!$T$18:$T$38</c:f>
              <c:numCache>
                <c:formatCode>0.0</c:formatCode>
                <c:ptCount val="21"/>
                <c:pt idx="0">
                  <c:v>3.039193444546807</c:v>
                </c:pt>
                <c:pt idx="1">
                  <c:v>3.1964200679337238</c:v>
                </c:pt>
                <c:pt idx="2">
                  <c:v>3.3614186378265067</c:v>
                </c:pt>
                <c:pt idx="3">
                  <c:v>3.5344560851565268</c:v>
                </c:pt>
                <c:pt idx="4">
                  <c:v>3.715847104999237</c:v>
                </c:pt>
                <c:pt idx="5">
                  <c:v>3.9059606753702485</c:v>
                </c:pt>
                <c:pt idx="6">
                  <c:v>4.1052387314577361</c:v>
                </c:pt>
                <c:pt idx="7">
                  <c:v>4.3142114116912387</c:v>
                </c:pt>
                <c:pt idx="8">
                  <c:v>4.5335160970873245</c:v>
                </c:pt>
                <c:pt idx="9">
                  <c:v>4.7639305302635035</c:v>
                </c:pt>
                <c:pt idx="10">
                  <c:v>5.0064072373846837</c:v>
                </c:pt>
                <c:pt idx="11">
                  <c:v>5.2621190396226076</c:v>
                </c:pt>
                <c:pt idx="12">
                  <c:v>5.5325338102103228</c:v>
                </c:pt>
                <c:pt idx="13">
                  <c:v>5.8195051699598395</c:v>
                </c:pt>
                <c:pt idx="14">
                  <c:v>6.1254135674373487</c:v>
                </c:pt>
                <c:pt idx="15">
                  <c:v>6.453365185381422</c:v>
                </c:pt>
                <c:pt idx="16">
                  <c:v>6.8075220037335278</c:v>
                </c:pt>
                <c:pt idx="17">
                  <c:v>7.1936111854772884</c:v>
                </c:pt>
                <c:pt idx="18">
                  <c:v>7.6197951925847596</c:v>
                </c:pt>
                <c:pt idx="19">
                  <c:v>8.0983239730542973</c:v>
                </c:pt>
                <c:pt idx="20">
                  <c:v>8.648651368412235</c:v>
                </c:pt>
              </c:numCache>
            </c:numRef>
          </c:yVal>
        </c:ser>
        <c:ser>
          <c:idx val="7"/>
          <c:order val="8"/>
          <c:tx>
            <c:strRef>
              <c:f>'850S2000'!$AL$15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'850S2000'!$AL$18:$AL$38</c:f>
              <c:numCache>
                <c:formatCode>General</c:formatCode>
                <c:ptCount val="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</c:numCache>
            </c:numRef>
          </c:yVal>
        </c:ser>
        <c:ser>
          <c:idx val="9"/>
          <c:order val="9"/>
          <c:tx>
            <c:strRef>
              <c:f>'850S2000'!$AN$16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'850S2000'!$AM$18:$AM$38</c:f>
              <c:numCache>
                <c:formatCode>General</c:formatCode>
                <c:ptCount val="2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</c:numCache>
            </c:numRef>
          </c:xVal>
          <c:yVal>
            <c:numRef>
              <c:f>'850S2000'!$AN$18:$AN$38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</c:ser>
        <c:ser>
          <c:idx val="10"/>
          <c:order val="10"/>
          <c:tx>
            <c:strRef>
              <c:f>'850S2000'!$M$14:$M$15</c:f>
              <c:strCache>
                <c:ptCount val="1"/>
                <c:pt idx="0">
                  <c:v>P_DJ corners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'850S2000'!$M$18:$M$38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axId val="127726336"/>
        <c:axId val="127728640"/>
      </c:scatterChart>
      <c:valAx>
        <c:axId val="127726336"/>
        <c:scaling>
          <c:orientation val="minMax"/>
          <c:min val="0.0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9986303751926866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28640"/>
        <c:crosses val="autoZero"/>
        <c:crossBetween val="midCat"/>
      </c:valAx>
      <c:valAx>
        <c:axId val="127728640"/>
        <c:scaling>
          <c:orientation val="minMax"/>
          <c:max val="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1.7851028460681467E-2"/>
              <c:y val="0.3788024507205073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263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080056080818961"/>
          <c:y val="0.31054975689699083"/>
          <c:w val="0.20171662160570059"/>
          <c:h val="0.491419395529306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22" r="0.750000000000004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68338086177849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00472287844525E-2"/>
          <c:y val="0.23205915899994919"/>
          <c:w val="0.84842766887580479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'850S2000'!$AE$40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'850S2000'!$AE$41:$AE$71</c:f>
              <c:numCache>
                <c:formatCode>0%</c:formatCode>
                <c:ptCount val="31"/>
                <c:pt idx="0">
                  <c:v>0.99999451951539209</c:v>
                </c:pt>
                <c:pt idx="1">
                  <c:v>0.99998761783298873</c:v>
                </c:pt>
                <c:pt idx="2">
                  <c:v>0.99997288213314928</c:v>
                </c:pt>
                <c:pt idx="3">
                  <c:v>0.99994242444000903</c:v>
                </c:pt>
                <c:pt idx="4">
                  <c:v>0.99988148004343136</c:v>
                </c:pt>
                <c:pt idx="5">
                  <c:v>0.9997634259302588</c:v>
                </c:pt>
                <c:pt idx="6">
                  <c:v>0.99954204550815406</c:v>
                </c:pt>
                <c:pt idx="7">
                  <c:v>0.99914015470804618</c:v>
                </c:pt>
                <c:pt idx="8">
                  <c:v>0.99843385717458921</c:v>
                </c:pt>
                <c:pt idx="9">
                  <c:v>0.99723220624680575</c:v>
                </c:pt>
                <c:pt idx="10">
                  <c:v>0.99525305115854923</c:v>
                </c:pt>
                <c:pt idx="11">
                  <c:v>0.99209737509157336</c:v>
                </c:pt>
                <c:pt idx="12">
                  <c:v>0.98722639785661292</c:v>
                </c:pt>
                <c:pt idx="13">
                  <c:v>0.97994774606617918</c:v>
                </c:pt>
                <c:pt idx="14">
                  <c:v>0.96941850602704271</c:v>
                </c:pt>
                <c:pt idx="15">
                  <c:v>0.95467318454175998</c:v>
                </c:pt>
                <c:pt idx="16">
                  <c:v>0.93468271687836069</c:v>
                </c:pt>
                <c:pt idx="17">
                  <c:v>0.90844641266390525</c:v>
                </c:pt>
                <c:pt idx="18">
                  <c:v>0.8751118771376335</c:v>
                </c:pt>
                <c:pt idx="19">
                  <c:v>0.83411079423787438</c:v>
                </c:pt>
                <c:pt idx="20">
                  <c:v>0.78528939998766778</c:v>
                </c:pt>
                <c:pt idx="21">
                  <c:v>0.72901179333285837</c:v>
                </c:pt>
                <c:pt idx="22">
                  <c:v>0.66620993887851987</c:v>
                </c:pt>
                <c:pt idx="23">
                  <c:v>0.59836448137555542</c:v>
                </c:pt>
                <c:pt idx="24">
                  <c:v>0.52740988215526741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'850S2000'!$AD$40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0.52740988215526796</c:v>
                </c:pt>
                <c:pt idx="7">
                  <c:v>0.59836448137555576</c:v>
                </c:pt>
                <c:pt idx="8">
                  <c:v>0.66620993887852009</c:v>
                </c:pt>
                <c:pt idx="9">
                  <c:v>0.7290117933328587</c:v>
                </c:pt>
                <c:pt idx="10">
                  <c:v>0.785289399987668</c:v>
                </c:pt>
                <c:pt idx="11">
                  <c:v>0.83411079423787449</c:v>
                </c:pt>
                <c:pt idx="12">
                  <c:v>0.87511187713763339</c:v>
                </c:pt>
                <c:pt idx="13">
                  <c:v>0.90844641266390536</c:v>
                </c:pt>
                <c:pt idx="14">
                  <c:v>0.93468271687836069</c:v>
                </c:pt>
                <c:pt idx="15">
                  <c:v>0.95467318454175998</c:v>
                </c:pt>
                <c:pt idx="16">
                  <c:v>0.9694185060270426</c:v>
                </c:pt>
                <c:pt idx="17">
                  <c:v>0.97994774606617918</c:v>
                </c:pt>
                <c:pt idx="18">
                  <c:v>0.98722639785661292</c:v>
                </c:pt>
                <c:pt idx="19">
                  <c:v>0.99209737509157336</c:v>
                </c:pt>
                <c:pt idx="20">
                  <c:v>0.99525305115854923</c:v>
                </c:pt>
                <c:pt idx="21">
                  <c:v>0.99723220624680575</c:v>
                </c:pt>
                <c:pt idx="22">
                  <c:v>0.99843385717458921</c:v>
                </c:pt>
                <c:pt idx="23">
                  <c:v>0.99914015470804618</c:v>
                </c:pt>
                <c:pt idx="24">
                  <c:v>0.99954204550815418</c:v>
                </c:pt>
                <c:pt idx="25">
                  <c:v>0.9997634259302588</c:v>
                </c:pt>
                <c:pt idx="26">
                  <c:v>0.99988148004343136</c:v>
                </c:pt>
                <c:pt idx="27">
                  <c:v>0.99994242444000903</c:v>
                </c:pt>
                <c:pt idx="28">
                  <c:v>0.99997288213314928</c:v>
                </c:pt>
                <c:pt idx="29">
                  <c:v>0.99998761783298873</c:v>
                </c:pt>
                <c:pt idx="30">
                  <c:v>0.99999451951539209</c:v>
                </c:pt>
              </c:numCache>
            </c:numRef>
          </c:yVal>
        </c:ser>
        <c:ser>
          <c:idx val="2"/>
          <c:order val="2"/>
          <c:tx>
            <c:strRef>
              <c:f>'850S2000'!$AD$40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0.52740988215526796</c:v>
                </c:pt>
                <c:pt idx="7">
                  <c:v>0.59836448137555576</c:v>
                </c:pt>
                <c:pt idx="8">
                  <c:v>0.66620993887852009</c:v>
                </c:pt>
                <c:pt idx="9">
                  <c:v>0.7290117933328587</c:v>
                </c:pt>
                <c:pt idx="10">
                  <c:v>0.785289399987668</c:v>
                </c:pt>
                <c:pt idx="11">
                  <c:v>0.83411079423787449</c:v>
                </c:pt>
                <c:pt idx="12">
                  <c:v>0.87511187713763339</c:v>
                </c:pt>
                <c:pt idx="13">
                  <c:v>0.90844641266390536</c:v>
                </c:pt>
                <c:pt idx="14">
                  <c:v>0.93468271687836069</c:v>
                </c:pt>
                <c:pt idx="15">
                  <c:v>0.95467318454175998</c:v>
                </c:pt>
                <c:pt idx="16">
                  <c:v>0.9694185060270426</c:v>
                </c:pt>
                <c:pt idx="17">
                  <c:v>0.97994774606617918</c:v>
                </c:pt>
                <c:pt idx="18">
                  <c:v>0.98722639785661292</c:v>
                </c:pt>
                <c:pt idx="19">
                  <c:v>0.99209737509157336</c:v>
                </c:pt>
                <c:pt idx="20">
                  <c:v>0.99525305115854923</c:v>
                </c:pt>
                <c:pt idx="21">
                  <c:v>0.99723220624680575</c:v>
                </c:pt>
                <c:pt idx="22">
                  <c:v>0.99843385717458921</c:v>
                </c:pt>
                <c:pt idx="23">
                  <c:v>0.99914015470804618</c:v>
                </c:pt>
                <c:pt idx="24">
                  <c:v>0.99954204550815418</c:v>
                </c:pt>
                <c:pt idx="25">
                  <c:v>0.9997634259302588</c:v>
                </c:pt>
                <c:pt idx="26">
                  <c:v>0.99988148004343136</c:v>
                </c:pt>
                <c:pt idx="27">
                  <c:v>0.99994242444000903</c:v>
                </c:pt>
                <c:pt idx="28">
                  <c:v>0.99997288213314928</c:v>
                </c:pt>
                <c:pt idx="29">
                  <c:v>0.99998761783298873</c:v>
                </c:pt>
                <c:pt idx="30">
                  <c:v>0.99999451951539209</c:v>
                </c:pt>
              </c:numCache>
            </c:numRef>
          </c:yVal>
        </c:ser>
        <c:ser>
          <c:idx val="3"/>
          <c:order val="3"/>
          <c:tx>
            <c:strRef>
              <c:f>'850S2000'!$AE$40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'850S2000'!$AE$41:$AE$71</c:f>
              <c:numCache>
                <c:formatCode>0%</c:formatCode>
                <c:ptCount val="31"/>
                <c:pt idx="0">
                  <c:v>0.99999451951539209</c:v>
                </c:pt>
                <c:pt idx="1">
                  <c:v>0.99998761783298873</c:v>
                </c:pt>
                <c:pt idx="2">
                  <c:v>0.99997288213314928</c:v>
                </c:pt>
                <c:pt idx="3">
                  <c:v>0.99994242444000903</c:v>
                </c:pt>
                <c:pt idx="4">
                  <c:v>0.99988148004343136</c:v>
                </c:pt>
                <c:pt idx="5">
                  <c:v>0.9997634259302588</c:v>
                </c:pt>
                <c:pt idx="6">
                  <c:v>0.99954204550815406</c:v>
                </c:pt>
                <c:pt idx="7">
                  <c:v>0.99914015470804618</c:v>
                </c:pt>
                <c:pt idx="8">
                  <c:v>0.99843385717458921</c:v>
                </c:pt>
                <c:pt idx="9">
                  <c:v>0.99723220624680575</c:v>
                </c:pt>
                <c:pt idx="10">
                  <c:v>0.99525305115854923</c:v>
                </c:pt>
                <c:pt idx="11">
                  <c:v>0.99209737509157336</c:v>
                </c:pt>
                <c:pt idx="12">
                  <c:v>0.98722639785661292</c:v>
                </c:pt>
                <c:pt idx="13">
                  <c:v>0.97994774606617918</c:v>
                </c:pt>
                <c:pt idx="14">
                  <c:v>0.96941850602704271</c:v>
                </c:pt>
                <c:pt idx="15">
                  <c:v>0.95467318454175998</c:v>
                </c:pt>
                <c:pt idx="16">
                  <c:v>0.93468271687836069</c:v>
                </c:pt>
                <c:pt idx="17">
                  <c:v>0.90844641266390525</c:v>
                </c:pt>
                <c:pt idx="18">
                  <c:v>0.8751118771376335</c:v>
                </c:pt>
                <c:pt idx="19">
                  <c:v>0.83411079423787438</c:v>
                </c:pt>
                <c:pt idx="20">
                  <c:v>0.78528939998766778</c:v>
                </c:pt>
                <c:pt idx="21">
                  <c:v>0.72901179333285837</c:v>
                </c:pt>
                <c:pt idx="22">
                  <c:v>0.66620993887851987</c:v>
                </c:pt>
                <c:pt idx="23">
                  <c:v>0.59836448137555542</c:v>
                </c:pt>
                <c:pt idx="24">
                  <c:v>0.52740988215526741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'850S2000'!$AF$40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'850S2000'!$AG$40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0.47259011784473204</c:v>
                </c:pt>
                <c:pt idx="7">
                  <c:v>0.40163551862444424</c:v>
                </c:pt>
                <c:pt idx="8">
                  <c:v>0.33379006112147991</c:v>
                </c:pt>
                <c:pt idx="9">
                  <c:v>0.2709882066671413</c:v>
                </c:pt>
                <c:pt idx="10">
                  <c:v>0.214710600012332</c:v>
                </c:pt>
                <c:pt idx="11">
                  <c:v>0.16588920576212551</c:v>
                </c:pt>
                <c:pt idx="12">
                  <c:v>0.12488812286236661</c:v>
                </c:pt>
                <c:pt idx="13">
                  <c:v>9.1553587336094644E-2</c:v>
                </c:pt>
                <c:pt idx="14">
                  <c:v>6.5317283121639313E-2</c:v>
                </c:pt>
                <c:pt idx="15">
                  <c:v>4.5326815458240022E-2</c:v>
                </c:pt>
                <c:pt idx="16">
                  <c:v>3.0581493972957396E-2</c:v>
                </c:pt>
                <c:pt idx="17">
                  <c:v>2.0052253933820818E-2</c:v>
                </c:pt>
                <c:pt idx="18">
                  <c:v>1.2773602143387075E-2</c:v>
                </c:pt>
                <c:pt idx="19">
                  <c:v>7.9026249084266365E-3</c:v>
                </c:pt>
                <c:pt idx="20">
                  <c:v>4.746948841450771E-3</c:v>
                </c:pt>
                <c:pt idx="21">
                  <c:v>2.7677937531942476E-3</c:v>
                </c:pt>
                <c:pt idx="22">
                  <c:v>1.5661428254107879E-3</c:v>
                </c:pt>
                <c:pt idx="23">
                  <c:v>8.598452919538202E-4</c:v>
                </c:pt>
                <c:pt idx="24">
                  <c:v>4.5795449184582449E-4</c:v>
                </c:pt>
                <c:pt idx="25">
                  <c:v>2.3657406974120221E-4</c:v>
                </c:pt>
                <c:pt idx="26">
                  <c:v>1.1851995656864123E-4</c:v>
                </c:pt>
                <c:pt idx="27">
                  <c:v>5.7575559990974412E-5</c:v>
                </c:pt>
                <c:pt idx="28">
                  <c:v>2.711786685072326E-5</c:v>
                </c:pt>
                <c:pt idx="29">
                  <c:v>1.238216701127115E-5</c:v>
                </c:pt>
                <c:pt idx="30">
                  <c:v>5.4804846079115066E-6</c:v>
                </c:pt>
              </c:numCache>
            </c:numRef>
          </c:yVal>
        </c:ser>
        <c:ser>
          <c:idx val="6"/>
          <c:order val="6"/>
          <c:tx>
            <c:strRef>
              <c:f>'850S2000'!$AH$40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'850S2000'!$AH$41:$AH$71</c:f>
              <c:numCache>
                <c:formatCode>0%</c:formatCode>
                <c:ptCount val="31"/>
                <c:pt idx="0">
                  <c:v>5.4804846079115066E-6</c:v>
                </c:pt>
                <c:pt idx="1">
                  <c:v>1.238216701127115E-5</c:v>
                </c:pt>
                <c:pt idx="2">
                  <c:v>2.711786685072326E-5</c:v>
                </c:pt>
                <c:pt idx="3">
                  <c:v>5.7575559990974412E-5</c:v>
                </c:pt>
                <c:pt idx="4">
                  <c:v>1.1851995656864123E-4</c:v>
                </c:pt>
                <c:pt idx="5">
                  <c:v>2.3657406974120221E-4</c:v>
                </c:pt>
                <c:pt idx="6">
                  <c:v>4.5795449184593551E-4</c:v>
                </c:pt>
                <c:pt idx="7">
                  <c:v>8.598452919538202E-4</c:v>
                </c:pt>
                <c:pt idx="8">
                  <c:v>1.5661428254107879E-3</c:v>
                </c:pt>
                <c:pt idx="9">
                  <c:v>2.7677937531942476E-3</c:v>
                </c:pt>
                <c:pt idx="10">
                  <c:v>4.746948841450771E-3</c:v>
                </c:pt>
                <c:pt idx="11">
                  <c:v>7.9026249084266365E-3</c:v>
                </c:pt>
                <c:pt idx="12">
                  <c:v>1.2773602143387075E-2</c:v>
                </c:pt>
                <c:pt idx="13">
                  <c:v>2.0052253933820818E-2</c:v>
                </c:pt>
                <c:pt idx="14">
                  <c:v>3.0581493972957285E-2</c:v>
                </c:pt>
                <c:pt idx="15">
                  <c:v>4.5326815458240022E-2</c:v>
                </c:pt>
                <c:pt idx="16">
                  <c:v>6.5317283121639313E-2</c:v>
                </c:pt>
                <c:pt idx="17">
                  <c:v>9.1553587336094755E-2</c:v>
                </c:pt>
                <c:pt idx="18">
                  <c:v>0.1248881228623665</c:v>
                </c:pt>
                <c:pt idx="19">
                  <c:v>0.16588920576212562</c:v>
                </c:pt>
                <c:pt idx="20">
                  <c:v>0.21471060001233222</c:v>
                </c:pt>
                <c:pt idx="21">
                  <c:v>0.27098820666714163</c:v>
                </c:pt>
                <c:pt idx="22">
                  <c:v>0.33379006112148013</c:v>
                </c:pt>
                <c:pt idx="23">
                  <c:v>0.40163551862444458</c:v>
                </c:pt>
                <c:pt idx="24">
                  <c:v>0.47259011784473259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'850S2000'!$AI$40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'850S2000'!$AL$40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'850S2000'!$AO$40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'850S2000'!$AN$41:$AN$47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'850S2000'!$AO$41:$AO$47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'850S2000'!$AM$40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'850S2000'!$AL$40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'850S2000'!$AM$40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'850S2000'!$AT$39:$AT$40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'850S2000'!$AT$55:$AT$69</c:f>
              <c:numCache>
                <c:formatCode>0%</c:formatCode>
                <c:ptCount val="15"/>
                <c:pt idx="0">
                  <c:v>0.74602183478614004</c:v>
                </c:pt>
                <c:pt idx="1">
                  <c:v>0.74956957332419405</c:v>
                </c:pt>
                <c:pt idx="2">
                  <c:v>0.74602183478614026</c:v>
                </c:pt>
                <c:pt idx="3">
                  <c:v>0.73546787035664085</c:v>
                </c:pt>
                <c:pt idx="4">
                  <c:v>0.71817196012728202</c:v>
                </c:pt>
                <c:pt idx="5">
                  <c:v>0.69456571242314746</c:v>
                </c:pt>
                <c:pt idx="6">
                  <c:v>0.66523353755529069</c:v>
                </c:pt>
                <c:pt idx="7">
                  <c:v>0.63089329869398902</c:v>
                </c:pt>
                <c:pt idx="8">
                  <c:v>0.59237190503867732</c:v>
                </c:pt>
                <c:pt idx="9">
                  <c:v>0.55057653350071689</c:v>
                </c:pt>
                <c:pt idx="10">
                  <c:v>0.50646251787084351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'850S2000'!$AT$39:$AT$40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'850S2000'!$AT$43:$AT$57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0.50646251787084395</c:v>
                </c:pt>
                <c:pt idx="5">
                  <c:v>0.55057653350071689</c:v>
                </c:pt>
                <c:pt idx="6">
                  <c:v>0.59237190503867732</c:v>
                </c:pt>
                <c:pt idx="7">
                  <c:v>0.63089329869398925</c:v>
                </c:pt>
                <c:pt idx="8">
                  <c:v>0.66523353755529113</c:v>
                </c:pt>
                <c:pt idx="9">
                  <c:v>0.69456571242314746</c:v>
                </c:pt>
                <c:pt idx="10">
                  <c:v>0.71817196012728202</c:v>
                </c:pt>
                <c:pt idx="11">
                  <c:v>0.73546787035664085</c:v>
                </c:pt>
                <c:pt idx="12">
                  <c:v>0.74602183478614004</c:v>
                </c:pt>
                <c:pt idx="13">
                  <c:v>0.74956957332419405</c:v>
                </c:pt>
                <c:pt idx="14">
                  <c:v>0.74602183478614026</c:v>
                </c:pt>
              </c:numCache>
            </c:numRef>
          </c:yVal>
        </c:ser>
        <c:ser>
          <c:idx val="15"/>
          <c:order val="15"/>
          <c:tx>
            <c:strRef>
              <c:f>'850S2000'!$AW$39:$AW$40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'850S2000'!$AW$55:$AW$69</c:f>
              <c:numCache>
                <c:formatCode>0%</c:formatCode>
                <c:ptCount val="15"/>
                <c:pt idx="0">
                  <c:v>0.25397816521385996</c:v>
                </c:pt>
                <c:pt idx="1">
                  <c:v>0.25043042667580595</c:v>
                </c:pt>
                <c:pt idx="2">
                  <c:v>0.25397816521385974</c:v>
                </c:pt>
                <c:pt idx="3">
                  <c:v>0.26453212964335915</c:v>
                </c:pt>
                <c:pt idx="4">
                  <c:v>0.28182803987271798</c:v>
                </c:pt>
                <c:pt idx="5">
                  <c:v>0.30543428757685254</c:v>
                </c:pt>
                <c:pt idx="6">
                  <c:v>0.33476646244470931</c:v>
                </c:pt>
                <c:pt idx="7">
                  <c:v>0.36910670130601098</c:v>
                </c:pt>
                <c:pt idx="8">
                  <c:v>0.40762809496132268</c:v>
                </c:pt>
                <c:pt idx="9">
                  <c:v>0.44942346649928311</c:v>
                </c:pt>
                <c:pt idx="10">
                  <c:v>0.49353748212915649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'850S2000'!$AW$39:$AW$40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'850S2000'!$AM$43:$AM$57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'850S2000'!$AW$43:$AW$57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0.49353748212915605</c:v>
                </c:pt>
                <c:pt idx="5">
                  <c:v>0.44942346649928311</c:v>
                </c:pt>
                <c:pt idx="6">
                  <c:v>0.40762809496132268</c:v>
                </c:pt>
                <c:pt idx="7">
                  <c:v>0.36910670130601075</c:v>
                </c:pt>
                <c:pt idx="8">
                  <c:v>0.33476646244470887</c:v>
                </c:pt>
                <c:pt idx="9">
                  <c:v>0.30543428757685254</c:v>
                </c:pt>
                <c:pt idx="10">
                  <c:v>0.28182803987271798</c:v>
                </c:pt>
                <c:pt idx="11">
                  <c:v>0.26453212964335915</c:v>
                </c:pt>
                <c:pt idx="12">
                  <c:v>0.25397816521385996</c:v>
                </c:pt>
                <c:pt idx="13">
                  <c:v>0.25043042667580595</c:v>
                </c:pt>
                <c:pt idx="14">
                  <c:v>0.25397816521385974</c:v>
                </c:pt>
              </c:numCache>
            </c:numRef>
          </c:yVal>
        </c:ser>
        <c:ser>
          <c:idx val="17"/>
          <c:order val="17"/>
          <c:tx>
            <c:strRef>
              <c:f>'850S2000'!$AI$8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'850S2000'!$AJ$8:$AJ$9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'850S2000'!$AK$8:$AK$9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128552320"/>
        <c:axId val="128579456"/>
      </c:scatterChart>
      <c:valAx>
        <c:axId val="128552320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6976699786747994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79456"/>
        <c:crosses val="autoZero"/>
        <c:crossBetween val="midCat"/>
      </c:valAx>
      <c:valAx>
        <c:axId val="128579456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52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38</xdr:row>
      <xdr:rowOff>5544</xdr:rowOff>
    </xdr:from>
    <xdr:to>
      <xdr:col>24</xdr:col>
      <xdr:colOff>0</xdr:colOff>
      <xdr:row>53</xdr:row>
      <xdr:rowOff>15069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38</xdr:row>
      <xdr:rowOff>5544</xdr:rowOff>
    </xdr:from>
    <xdr:to>
      <xdr:col>16</xdr:col>
      <xdr:colOff>238125</xdr:colOff>
      <xdr:row>53</xdr:row>
      <xdr:rowOff>15069</xdr:rowOff>
    </xdr:to>
    <xdr:graphicFrame macro="">
      <xdr:nvGraphicFramePr>
        <xdr:cNvPr id="194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38</xdr:row>
      <xdr:rowOff>5545</xdr:rowOff>
    </xdr:from>
    <xdr:to>
      <xdr:col>24</xdr:col>
      <xdr:colOff>0</xdr:colOff>
      <xdr:row>53</xdr:row>
      <xdr:rowOff>0</xdr:rowOff>
    </xdr:to>
    <xdr:graphicFrame macro="">
      <xdr:nvGraphicFramePr>
        <xdr:cNvPr id="54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507100</xdr:colOff>
      <xdr:row>38</xdr:row>
      <xdr:rowOff>5545</xdr:rowOff>
    </xdr:from>
    <xdr:to>
      <xdr:col>16</xdr:col>
      <xdr:colOff>223909</xdr:colOff>
      <xdr:row>53</xdr:row>
      <xdr:rowOff>0</xdr:rowOff>
    </xdr:to>
    <xdr:graphicFrame macro="">
      <xdr:nvGraphicFramePr>
        <xdr:cNvPr id="542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38</xdr:row>
      <xdr:rowOff>5545</xdr:rowOff>
    </xdr:from>
    <xdr:to>
      <xdr:col>24</xdr:col>
      <xdr:colOff>0</xdr:colOff>
      <xdr:row>53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507100</xdr:colOff>
      <xdr:row>38</xdr:row>
      <xdr:rowOff>5545</xdr:rowOff>
    </xdr:from>
    <xdr:to>
      <xdr:col>16</xdr:col>
      <xdr:colOff>223909</xdr:colOff>
      <xdr:row>53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36</xdr:row>
      <xdr:rowOff>161925</xdr:rowOff>
    </xdr:from>
    <xdr:to>
      <xdr:col>24</xdr:col>
      <xdr:colOff>0</xdr:colOff>
      <xdr:row>51</xdr:row>
      <xdr:rowOff>171450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36</xdr:row>
      <xdr:rowOff>161925</xdr:rowOff>
    </xdr:from>
    <xdr:to>
      <xdr:col>14</xdr:col>
      <xdr:colOff>85725</xdr:colOff>
      <xdr:row>51</xdr:row>
      <xdr:rowOff>171450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1Data/2-IB%20ewg/DDR%20QDR/LINKMODELSV1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iniBand IB-1X-SX_50"/>
      <sheetName val="InfiniBand IB-1X-SX_62"/>
      <sheetName val="InfiniBand IB-4X,12X-SX_50"/>
      <sheetName val="InfiniBand IB-4X,12X-SX_62"/>
      <sheetName val="InfiniBand IB-1X-LX"/>
    </sheetNames>
    <sheetDataSet>
      <sheetData sheetId="0">
        <row r="1">
          <cell r="A1" t="str">
            <v>InfiniBand optical link calculation. Method adapted from Hanson, Cunningham, Dawe, Agilent Technologies</v>
          </cell>
          <cell r="O1">
            <v>36640</v>
          </cell>
          <cell r="R1" t="str">
            <v>draft for 0.9 vote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efm/public/sep01/dawe_1_0901.pdf" TargetMode="External"/><Relationship Id="rId3" Type="http://schemas.openxmlformats.org/officeDocument/2006/relationships/hyperlink" Target="http://grouper.ieee.org/groups/802/3/10G_study/public/email_attach/All_1250v2.xls" TargetMode="External"/><Relationship Id="rId7" Type="http://schemas.openxmlformats.org/officeDocument/2006/relationships/hyperlink" Target="http://www.ieee802.org/3/efm/public/sep01/dawe_1_0901.pdf" TargetMode="External"/><Relationship Id="rId2" Type="http://schemas.openxmlformats.org/officeDocument/2006/relationships/hyperlink" Target="http://grouper.ieee.org/groups/802/3/10G_study/public/email_attach/All_1250.xls" TargetMode="External"/><Relationship Id="rId1" Type="http://schemas.openxmlformats.org/officeDocument/2006/relationships/hyperlink" Target="http://grouper.ieee.org/groups/802/3/10G_study/public/email_attach/All_1250.xls" TargetMode="External"/><Relationship Id="rId6" Type="http://schemas.openxmlformats.org/officeDocument/2006/relationships/hyperlink" Target="http://www.ieee802.org/3/ae/public/oct01/dawe_1_1001.pdf" TargetMode="External"/><Relationship Id="rId5" Type="http://schemas.openxmlformats.org/officeDocument/2006/relationships/hyperlink" Target="http://www.ieee802.org/3/z/public/presentations/mar1997/DCwpaper.pdf" TargetMode="External"/><Relationship Id="rId4" Type="http://schemas.openxmlformats.org/officeDocument/2006/relationships/hyperlink" Target="http://www.ieee802.org/3/ae/public/adhoc/serial_pmd/documents/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8"/>
  <sheetViews>
    <sheetView zoomScale="99" zoomScaleNormal="99" workbookViewId="0">
      <selection activeCell="A3" sqref="A3"/>
    </sheetView>
  </sheetViews>
  <sheetFormatPr defaultColWidth="7.7109375" defaultRowHeight="12" customHeight="1"/>
  <cols>
    <col min="1" max="1" width="7.7109375" style="426" customWidth="1"/>
    <col min="2" max="2" width="5.42578125" style="426" customWidth="1"/>
    <col min="3" max="3" width="6.7109375" style="426" customWidth="1"/>
    <col min="4" max="5" width="7.7109375" style="427" customWidth="1"/>
    <col min="6" max="16384" width="7.7109375" style="426"/>
  </cols>
  <sheetData>
    <row r="1" spans="1:9" ht="12" customHeight="1">
      <c r="A1" s="426" t="s">
        <v>457</v>
      </c>
      <c r="E1" s="500">
        <v>41397</v>
      </c>
    </row>
    <row r="2" spans="1:9" ht="12" customHeight="1">
      <c r="E2" s="428"/>
    </row>
    <row r="3" spans="1:9" ht="12" customHeight="1">
      <c r="A3" s="500">
        <v>41397</v>
      </c>
      <c r="B3" s="426" t="s">
        <v>474</v>
      </c>
      <c r="F3" s="427"/>
      <c r="G3" s="427"/>
      <c r="H3" s="427"/>
      <c r="I3" s="427"/>
    </row>
    <row r="4" spans="1:9" ht="12" customHeight="1">
      <c r="A4" s="500"/>
      <c r="B4" s="426" t="s">
        <v>475</v>
      </c>
      <c r="F4" s="427"/>
      <c r="G4" s="427"/>
      <c r="H4" s="427"/>
      <c r="I4" s="427"/>
    </row>
    <row r="5" spans="1:9" ht="12" customHeight="1">
      <c r="A5" s="500"/>
      <c r="F5" s="427"/>
      <c r="G5" s="427"/>
      <c r="H5" s="427"/>
      <c r="I5" s="427"/>
    </row>
    <row r="6" spans="1:9" ht="12" customHeight="1">
      <c r="A6" s="500">
        <v>41304</v>
      </c>
      <c r="B6" s="426" t="s">
        <v>472</v>
      </c>
      <c r="F6" s="427"/>
      <c r="G6" s="427"/>
      <c r="H6" s="427"/>
      <c r="I6" s="427"/>
    </row>
    <row r="7" spans="1:9" ht="12" customHeight="1">
      <c r="A7" s="500"/>
      <c r="F7" s="427"/>
      <c r="G7" s="427"/>
      <c r="H7" s="427"/>
      <c r="I7" s="427"/>
    </row>
    <row r="8" spans="1:9" ht="12" customHeight="1">
      <c r="A8" s="500">
        <v>41221</v>
      </c>
      <c r="B8" s="426" t="s">
        <v>471</v>
      </c>
      <c r="F8" s="427"/>
      <c r="G8" s="427"/>
      <c r="H8" s="427"/>
      <c r="I8" s="427"/>
    </row>
    <row r="9" spans="1:9" ht="12" customHeight="1">
      <c r="A9" s="500"/>
      <c r="F9" s="427"/>
      <c r="G9" s="427"/>
      <c r="H9" s="427"/>
      <c r="I9" s="427"/>
    </row>
    <row r="10" spans="1:9" ht="12" customHeight="1">
      <c r="A10" s="500">
        <v>41170</v>
      </c>
      <c r="B10" s="426" t="s">
        <v>470</v>
      </c>
      <c r="F10" s="427"/>
      <c r="G10" s="427"/>
      <c r="H10" s="427"/>
      <c r="I10" s="427"/>
    </row>
    <row r="11" spans="1:9" ht="12" customHeight="1">
      <c r="A11" s="500"/>
      <c r="F11" s="427"/>
      <c r="G11" s="427"/>
      <c r="H11" s="427"/>
      <c r="I11" s="427"/>
    </row>
    <row r="12" spans="1:9" ht="12" customHeight="1">
      <c r="A12" s="500">
        <v>41166</v>
      </c>
      <c r="B12" s="426" t="s">
        <v>458</v>
      </c>
      <c r="F12" s="427"/>
      <c r="G12" s="427"/>
      <c r="H12" s="427"/>
      <c r="I12" s="427"/>
    </row>
    <row r="13" spans="1:9" ht="12" customHeight="1">
      <c r="A13" s="500"/>
      <c r="B13" s="426" t="s">
        <v>459</v>
      </c>
      <c r="F13" s="427"/>
      <c r="G13" s="427"/>
      <c r="H13" s="427"/>
      <c r="I13" s="427"/>
    </row>
    <row r="14" spans="1:9" ht="12" customHeight="1">
      <c r="A14" s="500"/>
      <c r="B14" s="426" t="s">
        <v>466</v>
      </c>
      <c r="F14" s="427"/>
      <c r="G14" s="427"/>
      <c r="H14" s="427"/>
      <c r="I14" s="427"/>
    </row>
    <row r="15" spans="1:9" ht="12" customHeight="1">
      <c r="A15" s="500"/>
      <c r="B15" s="426" t="s">
        <v>468</v>
      </c>
      <c r="F15" s="427"/>
      <c r="G15" s="427"/>
      <c r="H15" s="427"/>
      <c r="I15" s="427"/>
    </row>
    <row r="16" spans="1:9" ht="12" customHeight="1">
      <c r="A16" s="500"/>
      <c r="B16" s="426" t="s">
        <v>467</v>
      </c>
      <c r="F16" s="427"/>
      <c r="G16" s="427"/>
      <c r="H16" s="427"/>
      <c r="I16" s="427"/>
    </row>
    <row r="17" spans="1:9" ht="12" customHeight="1">
      <c r="A17" s="500"/>
      <c r="B17" s="426" t="s">
        <v>463</v>
      </c>
      <c r="F17" s="427"/>
      <c r="G17" s="427"/>
      <c r="H17" s="427"/>
      <c r="I17" s="427"/>
    </row>
    <row r="18" spans="1:9" ht="12" customHeight="1">
      <c r="A18" s="500"/>
      <c r="B18" s="426" t="s">
        <v>461</v>
      </c>
      <c r="F18" s="427"/>
      <c r="G18" s="427"/>
      <c r="H18" s="427"/>
      <c r="I18" s="427"/>
    </row>
    <row r="19" spans="1:9" ht="12" customHeight="1">
      <c r="A19" s="500"/>
      <c r="B19" s="426" t="s">
        <v>469</v>
      </c>
      <c r="F19" s="427"/>
      <c r="G19" s="427"/>
      <c r="H19" s="427"/>
      <c r="I19" s="427"/>
    </row>
    <row r="20" spans="1:9" ht="12" customHeight="1">
      <c r="A20" s="500"/>
      <c r="B20" s="426" t="s">
        <v>462</v>
      </c>
      <c r="F20" s="427"/>
      <c r="G20" s="427"/>
      <c r="H20" s="427"/>
      <c r="I20" s="427"/>
    </row>
    <row r="21" spans="1:9" ht="12" customHeight="1">
      <c r="A21" s="500"/>
      <c r="B21" s="730" t="s">
        <v>456</v>
      </c>
      <c r="F21" s="427"/>
      <c r="G21" s="427"/>
      <c r="H21" s="427"/>
      <c r="I21" s="427"/>
    </row>
    <row r="22" spans="1:9" ht="12" customHeight="1">
      <c r="A22" s="500"/>
      <c r="B22" s="730" t="s">
        <v>465</v>
      </c>
      <c r="F22" s="427"/>
      <c r="G22" s="427"/>
      <c r="H22" s="427"/>
      <c r="I22" s="427"/>
    </row>
    <row r="23" spans="1:9" ht="12" customHeight="1">
      <c r="A23" s="500"/>
      <c r="B23" s="730"/>
      <c r="F23" s="427"/>
      <c r="G23" s="427"/>
      <c r="H23" s="427"/>
      <c r="I23" s="427"/>
    </row>
    <row r="24" spans="1:9" ht="12" customHeight="1">
      <c r="A24" s="500"/>
      <c r="B24" s="730"/>
      <c r="F24" s="427"/>
      <c r="G24" s="427"/>
      <c r="H24" s="427"/>
      <c r="I24" s="427"/>
    </row>
    <row r="25" spans="1:9" ht="12" customHeight="1">
      <c r="A25" s="500"/>
      <c r="F25" s="427"/>
      <c r="G25" s="427"/>
      <c r="H25" s="427"/>
      <c r="I25" s="427"/>
    </row>
    <row r="26" spans="1:9" ht="12" customHeight="1">
      <c r="A26" s="500"/>
      <c r="F26" s="427"/>
      <c r="G26" s="427"/>
      <c r="H26" s="427"/>
      <c r="I26" s="427"/>
    </row>
    <row r="27" spans="1:9" ht="12" customHeight="1">
      <c r="A27" s="500"/>
      <c r="F27" s="427"/>
      <c r="G27" s="427"/>
      <c r="H27" s="427"/>
      <c r="I27" s="427"/>
    </row>
    <row r="28" spans="1:9" ht="12" customHeight="1">
      <c r="A28" s="500"/>
      <c r="F28" s="427"/>
      <c r="G28" s="427"/>
      <c r="H28" s="427"/>
      <c r="I28" s="427"/>
    </row>
    <row r="29" spans="1:9" ht="12" customHeight="1">
      <c r="A29" s="500"/>
      <c r="F29" s="427"/>
      <c r="G29" s="427"/>
      <c r="H29" s="427"/>
      <c r="I29" s="427"/>
    </row>
    <row r="30" spans="1:9" ht="12" customHeight="1">
      <c r="A30" s="500"/>
      <c r="F30" s="427"/>
      <c r="G30" s="427"/>
      <c r="H30" s="427"/>
      <c r="I30" s="427"/>
    </row>
    <row r="31" spans="1:9" ht="12" customHeight="1">
      <c r="A31" s="500"/>
      <c r="F31" s="427"/>
      <c r="G31" s="427"/>
      <c r="H31" s="427"/>
      <c r="I31" s="427"/>
    </row>
    <row r="32" spans="1:9" ht="12" customHeight="1">
      <c r="A32" s="500"/>
      <c r="F32" s="427"/>
      <c r="G32" s="427"/>
      <c r="H32" s="427"/>
      <c r="I32" s="427"/>
    </row>
    <row r="33" spans="1:17" ht="12" customHeight="1">
      <c r="A33" s="500"/>
      <c r="F33" s="427"/>
      <c r="G33" s="427"/>
      <c r="H33" s="427"/>
      <c r="I33" s="427"/>
    </row>
    <row r="34" spans="1:17" ht="12" customHeight="1">
      <c r="A34" s="500"/>
      <c r="F34" s="427"/>
      <c r="G34" s="427"/>
      <c r="H34" s="427"/>
      <c r="I34" s="427"/>
    </row>
    <row r="35" spans="1:17" ht="12" customHeight="1">
      <c r="A35" s="500"/>
      <c r="F35" s="427"/>
      <c r="G35" s="427"/>
      <c r="H35" s="427"/>
      <c r="I35" s="427"/>
    </row>
    <row r="36" spans="1:17" ht="12" customHeight="1">
      <c r="F36" s="427"/>
      <c r="G36" s="427"/>
      <c r="H36" s="427"/>
      <c r="I36" s="427"/>
    </row>
    <row r="37" spans="1:17" ht="12" customHeight="1">
      <c r="F37" s="427"/>
      <c r="G37" s="427"/>
      <c r="H37" s="427"/>
      <c r="I37" s="427"/>
    </row>
    <row r="38" spans="1:17" ht="12" customHeight="1">
      <c r="D38" s="426"/>
      <c r="E38" s="509"/>
      <c r="G38" s="427"/>
      <c r="H38" s="427"/>
      <c r="I38" s="427"/>
    </row>
    <row r="44" spans="1:17" ht="12" customHeight="1">
      <c r="E44" s="625"/>
      <c r="F44" s="624"/>
      <c r="G44" s="624"/>
      <c r="H44" s="624"/>
      <c r="I44" s="624"/>
      <c r="J44" s="624"/>
      <c r="K44" s="624"/>
      <c r="L44" s="628"/>
      <c r="M44" s="624"/>
      <c r="N44" s="624"/>
      <c r="O44" s="624"/>
      <c r="P44" s="624"/>
      <c r="Q44" s="624"/>
    </row>
    <row r="45" spans="1:17" ht="12" customHeight="1">
      <c r="E45" s="625"/>
      <c r="F45" s="624"/>
      <c r="G45" s="624"/>
      <c r="H45" s="624"/>
      <c r="I45" s="624"/>
      <c r="J45" s="624"/>
      <c r="K45" s="624"/>
      <c r="L45" s="629"/>
      <c r="M45" s="624"/>
      <c r="N45" s="624"/>
      <c r="O45" s="624"/>
      <c r="P45" s="624"/>
      <c r="Q45" s="624"/>
    </row>
    <row r="46" spans="1:17" ht="12" customHeight="1">
      <c r="E46" s="620"/>
      <c r="F46" s="621"/>
      <c r="G46" s="427"/>
      <c r="H46" s="427"/>
      <c r="I46" s="427"/>
    </row>
    <row r="47" spans="1:17" ht="12" customHeight="1">
      <c r="E47" s="620"/>
      <c r="F47" s="621"/>
      <c r="G47" s="427"/>
      <c r="H47" s="427"/>
      <c r="I47" s="427"/>
    </row>
    <row r="48" spans="1:17" ht="12" customHeight="1">
      <c r="E48" s="620"/>
      <c r="F48" s="621"/>
      <c r="G48" s="427"/>
      <c r="H48" s="427"/>
      <c r="I48" s="427"/>
    </row>
    <row r="49" spans="1:15" ht="12" customHeight="1">
      <c r="E49" s="633"/>
      <c r="F49" s="427"/>
      <c r="G49" s="427"/>
      <c r="H49" s="427"/>
      <c r="I49" s="427"/>
      <c r="J49" s="427"/>
      <c r="K49" s="427"/>
      <c r="L49" s="427"/>
    </row>
    <row r="50" spans="1:15" ht="12" customHeight="1">
      <c r="E50" s="633"/>
      <c r="F50" s="427"/>
      <c r="G50" s="427"/>
      <c r="H50" s="427"/>
      <c r="I50" s="427"/>
      <c r="J50" s="427"/>
      <c r="K50" s="427"/>
      <c r="L50" s="427"/>
    </row>
    <row r="51" spans="1:15" ht="12" customHeight="1">
      <c r="C51" s="630"/>
      <c r="D51" s="631"/>
      <c r="E51" s="631"/>
      <c r="F51" s="631"/>
      <c r="G51" s="631"/>
      <c r="H51" s="631"/>
      <c r="I51" s="631"/>
      <c r="J51" s="631"/>
      <c r="K51" s="631"/>
      <c r="L51" s="632"/>
      <c r="M51" s="632"/>
      <c r="N51" s="632"/>
      <c r="O51" s="632"/>
    </row>
    <row r="52" spans="1:15" ht="12" customHeight="1">
      <c r="A52" s="500"/>
      <c r="C52" s="625"/>
      <c r="D52" s="624"/>
      <c r="E52" s="624"/>
      <c r="F52" s="624"/>
      <c r="G52" s="624"/>
      <c r="H52" s="624"/>
      <c r="I52" s="624"/>
      <c r="J52" s="628"/>
      <c r="K52" s="624"/>
      <c r="L52" s="624"/>
      <c r="M52" s="624"/>
      <c r="N52" s="624"/>
      <c r="O52" s="624"/>
    </row>
    <row r="53" spans="1:15" ht="12" customHeight="1">
      <c r="C53" s="625"/>
      <c r="F53" s="427"/>
      <c r="G53" s="427"/>
      <c r="H53" s="427"/>
      <c r="I53" s="427"/>
      <c r="J53" s="626"/>
      <c r="K53" s="427"/>
      <c r="L53" s="427"/>
      <c r="M53" s="427"/>
      <c r="N53" s="427"/>
      <c r="O53" s="427"/>
    </row>
    <row r="54" spans="1:15" ht="12" customHeight="1">
      <c r="C54" s="641"/>
      <c r="D54" s="623"/>
      <c r="E54" s="623"/>
      <c r="F54" s="623"/>
      <c r="G54" s="623"/>
      <c r="H54" s="623"/>
      <c r="I54" s="623"/>
      <c r="J54" s="627"/>
      <c r="K54" s="623"/>
      <c r="L54" s="623"/>
      <c r="M54" s="623"/>
      <c r="N54" s="623"/>
      <c r="O54" s="623"/>
    </row>
    <row r="55" spans="1:15" ht="12" customHeight="1">
      <c r="A55" s="500"/>
      <c r="D55" s="426"/>
      <c r="E55" s="426"/>
    </row>
    <row r="57" spans="1:15" ht="12" customHeight="1">
      <c r="A57" s="500"/>
    </row>
    <row r="58" spans="1:15" ht="12" customHeight="1">
      <c r="A58" s="500"/>
    </row>
    <row r="59" spans="1:15" ht="12" customHeight="1">
      <c r="A59" s="500"/>
      <c r="B59" s="427"/>
      <c r="C59" s="427"/>
      <c r="F59" s="634"/>
      <c r="G59" s="427"/>
      <c r="H59" s="427"/>
      <c r="I59" s="427"/>
      <c r="J59" s="427"/>
      <c r="K59" s="427"/>
    </row>
    <row r="60" spans="1:15" ht="12" customHeight="1">
      <c r="A60" s="500"/>
      <c r="B60" s="427"/>
      <c r="C60" s="427"/>
      <c r="F60" s="625"/>
      <c r="G60" s="635"/>
      <c r="H60" s="427"/>
      <c r="I60" s="427"/>
      <c r="J60" s="427"/>
      <c r="K60" s="427"/>
    </row>
    <row r="61" spans="1:15" ht="12" customHeight="1">
      <c r="A61" s="500"/>
      <c r="B61" s="622"/>
      <c r="C61" s="624"/>
      <c r="F61" s="625"/>
      <c r="G61" s="635"/>
      <c r="H61" s="427"/>
      <c r="I61" s="427"/>
      <c r="J61" s="427"/>
      <c r="K61" s="427"/>
    </row>
    <row r="62" spans="1:15" ht="12" customHeight="1">
      <c r="A62" s="500"/>
      <c r="B62" s="622"/>
      <c r="C62" s="624"/>
      <c r="F62" s="625"/>
      <c r="G62" s="427"/>
      <c r="H62" s="427"/>
      <c r="I62" s="427"/>
      <c r="J62" s="427"/>
      <c r="K62" s="427"/>
    </row>
    <row r="63" spans="1:15" ht="12" customHeight="1">
      <c r="A63" s="500"/>
      <c r="B63" s="622"/>
      <c r="C63" s="624"/>
      <c r="F63" s="625"/>
      <c r="G63" s="635"/>
      <c r="H63" s="427"/>
      <c r="I63" s="427"/>
      <c r="J63" s="427"/>
      <c r="K63" s="427"/>
    </row>
    <row r="64" spans="1:15" ht="12" customHeight="1">
      <c r="A64" s="500"/>
      <c r="B64" s="622"/>
      <c r="C64" s="624"/>
      <c r="F64" s="625"/>
      <c r="G64" s="427"/>
      <c r="H64" s="427"/>
      <c r="I64" s="427"/>
      <c r="J64" s="427"/>
      <c r="K64" s="427"/>
    </row>
    <row r="65" spans="1:11" ht="12" customHeight="1">
      <c r="A65" s="500"/>
      <c r="B65" s="622"/>
      <c r="C65" s="624"/>
      <c r="F65" s="633"/>
      <c r="G65" s="427"/>
      <c r="H65" s="427"/>
      <c r="I65" s="427"/>
      <c r="J65" s="427"/>
      <c r="K65" s="427"/>
    </row>
    <row r="66" spans="1:11" ht="12" customHeight="1">
      <c r="A66" s="500"/>
      <c r="B66" s="622"/>
      <c r="C66" s="624"/>
      <c r="H66" s="427"/>
      <c r="I66" s="427"/>
      <c r="J66" s="427"/>
      <c r="K66" s="427"/>
    </row>
    <row r="67" spans="1:11" ht="12" customHeight="1">
      <c r="A67" s="500"/>
      <c r="B67" s="622"/>
      <c r="C67" s="624"/>
      <c r="G67" s="427"/>
      <c r="H67" s="427"/>
      <c r="I67" s="427"/>
      <c r="J67" s="427"/>
      <c r="K67" s="427"/>
    </row>
    <row r="68" spans="1:11" ht="12" customHeight="1">
      <c r="A68" s="500"/>
      <c r="B68" s="622"/>
      <c r="C68" s="624"/>
      <c r="F68" s="633"/>
      <c r="G68" s="427"/>
      <c r="H68" s="427"/>
      <c r="I68" s="427"/>
      <c r="J68" s="427"/>
      <c r="K68" s="427"/>
    </row>
    <row r="69" spans="1:11" ht="12" customHeight="1">
      <c r="A69" s="500"/>
      <c r="B69" s="622"/>
      <c r="C69" s="624"/>
      <c r="F69" s="633"/>
      <c r="G69" s="427"/>
      <c r="H69" s="427"/>
      <c r="I69" s="427"/>
      <c r="J69" s="427"/>
      <c r="K69" s="427"/>
    </row>
    <row r="70" spans="1:11" ht="12" customHeight="1">
      <c r="A70" s="500"/>
      <c r="B70" s="622"/>
      <c r="C70" s="624"/>
      <c r="F70" s="633"/>
      <c r="G70" s="427"/>
      <c r="H70" s="427"/>
      <c r="I70" s="427"/>
      <c r="J70" s="427"/>
      <c r="K70" s="427"/>
    </row>
    <row r="71" spans="1:11" ht="12" customHeight="1">
      <c r="B71" s="622"/>
      <c r="C71" s="624"/>
      <c r="F71" s="633"/>
      <c r="G71" s="427"/>
      <c r="H71" s="427"/>
      <c r="I71" s="427"/>
      <c r="J71" s="427"/>
    </row>
    <row r="72" spans="1:11" ht="12" customHeight="1">
      <c r="B72" s="622"/>
      <c r="C72" s="624"/>
      <c r="F72" s="625"/>
    </row>
    <row r="73" spans="1:11" ht="12" customHeight="1">
      <c r="A73" s="500"/>
      <c r="B73" s="622"/>
      <c r="C73" s="624"/>
      <c r="F73" s="625"/>
      <c r="G73" s="509"/>
      <c r="H73" s="509"/>
      <c r="I73" s="509"/>
      <c r="J73" s="509"/>
    </row>
    <row r="74" spans="1:11" ht="12" customHeight="1">
      <c r="A74" s="500"/>
      <c r="B74" s="622"/>
      <c r="C74" s="624"/>
      <c r="F74" s="625"/>
      <c r="G74" s="636"/>
      <c r="H74" s="636"/>
      <c r="I74" s="636"/>
      <c r="J74" s="636"/>
    </row>
    <row r="75" spans="1:11" ht="12" customHeight="1">
      <c r="A75" s="500"/>
      <c r="B75" s="622"/>
      <c r="C75" s="427"/>
      <c r="F75" s="625"/>
      <c r="G75" s="637"/>
      <c r="H75" s="637"/>
      <c r="I75" s="637"/>
      <c r="J75" s="637"/>
    </row>
    <row r="76" spans="1:11" ht="12" customHeight="1">
      <c r="A76" s="500"/>
      <c r="B76" s="622"/>
      <c r="C76" s="427"/>
      <c r="F76" s="633"/>
      <c r="H76" s="638"/>
      <c r="I76" s="637"/>
      <c r="J76" s="637"/>
    </row>
    <row r="77" spans="1:11" ht="12" customHeight="1">
      <c r="A77" s="500"/>
      <c r="F77" s="625"/>
      <c r="G77" s="635"/>
      <c r="H77" s="635"/>
      <c r="I77" s="635"/>
      <c r="J77" s="635"/>
    </row>
    <row r="78" spans="1:11" ht="12" customHeight="1">
      <c r="A78" s="500"/>
      <c r="F78" s="633"/>
      <c r="G78" s="639"/>
      <c r="H78" s="639"/>
      <c r="I78" s="639"/>
      <c r="J78" s="639"/>
    </row>
    <row r="79" spans="1:11" ht="12" customHeight="1">
      <c r="F79" s="633"/>
      <c r="G79" s="640"/>
      <c r="H79" s="640"/>
      <c r="I79" s="640"/>
      <c r="J79" s="640"/>
    </row>
    <row r="80" spans="1:11" ht="12" customHeight="1">
      <c r="F80" s="633"/>
      <c r="G80" s="622"/>
      <c r="H80" s="622"/>
      <c r="I80" s="622"/>
      <c r="J80" s="622"/>
    </row>
    <row r="82" spans="1:9" ht="12" customHeight="1">
      <c r="A82" s="500"/>
    </row>
    <row r="83" spans="1:9" ht="12" customHeight="1">
      <c r="A83" s="500"/>
    </row>
    <row r="84" spans="1:9" ht="12" customHeight="1">
      <c r="A84" s="500"/>
    </row>
    <row r="85" spans="1:9" ht="12" customHeight="1">
      <c r="F85" s="427"/>
      <c r="G85" s="427"/>
      <c r="H85" s="427"/>
      <c r="I85" s="427"/>
    </row>
    <row r="86" spans="1:9" ht="12" customHeight="1">
      <c r="F86" s="427"/>
      <c r="G86" s="427"/>
      <c r="H86" s="427"/>
      <c r="I86" s="427"/>
    </row>
    <row r="87" spans="1:9" ht="12" customHeight="1">
      <c r="F87" s="427"/>
      <c r="G87" s="427"/>
      <c r="H87" s="427"/>
      <c r="I87" s="427"/>
    </row>
    <row r="88" spans="1:9" ht="12" customHeight="1">
      <c r="A88" s="500"/>
      <c r="F88" s="427"/>
      <c r="G88" s="427"/>
      <c r="H88" s="427"/>
      <c r="I88" s="427"/>
    </row>
    <row r="89" spans="1:9" ht="12" customHeight="1">
      <c r="A89" s="500"/>
      <c r="F89" s="427"/>
      <c r="G89" s="427"/>
      <c r="H89" s="427"/>
      <c r="I89" s="427"/>
    </row>
    <row r="90" spans="1:9" ht="12" customHeight="1">
      <c r="A90" s="500"/>
      <c r="F90" s="427"/>
      <c r="G90" s="427"/>
      <c r="H90" s="427"/>
      <c r="I90" s="427"/>
    </row>
    <row r="91" spans="1:9" ht="12" customHeight="1">
      <c r="A91" s="500"/>
      <c r="F91" s="427"/>
      <c r="G91" s="427"/>
      <c r="H91" s="427"/>
      <c r="I91" s="427"/>
    </row>
    <row r="92" spans="1:9" ht="12" customHeight="1">
      <c r="C92" s="501"/>
      <c r="D92" s="501"/>
      <c r="E92" s="501"/>
      <c r="F92" s="501"/>
      <c r="G92" s="501"/>
      <c r="H92" s="501"/>
    </row>
    <row r="93" spans="1:9" ht="12" customHeight="1">
      <c r="A93" s="500"/>
      <c r="F93" s="427"/>
      <c r="G93" s="427"/>
      <c r="H93" s="427"/>
      <c r="I93" s="427"/>
    </row>
    <row r="94" spans="1:9" ht="12" customHeight="1">
      <c r="A94" s="427"/>
      <c r="D94" s="501"/>
      <c r="E94" s="501"/>
      <c r="F94" s="501"/>
      <c r="G94" s="501"/>
      <c r="H94" s="501"/>
    </row>
    <row r="95" spans="1:9" ht="12" customHeight="1">
      <c r="F95" s="427"/>
      <c r="G95" s="427"/>
      <c r="H95" s="427"/>
      <c r="I95" s="427"/>
    </row>
    <row r="96" spans="1:9" ht="12" customHeight="1">
      <c r="A96" s="500"/>
      <c r="F96" s="427"/>
      <c r="G96" s="427"/>
      <c r="H96" s="427"/>
      <c r="I96" s="427"/>
    </row>
    <row r="97" spans="1:9" ht="12" customHeight="1">
      <c r="A97" s="500"/>
      <c r="F97" s="427"/>
      <c r="G97" s="427"/>
      <c r="H97" s="427"/>
      <c r="I97" s="427"/>
    </row>
    <row r="98" spans="1:9" ht="12" customHeight="1">
      <c r="F98" s="427"/>
      <c r="G98" s="427"/>
      <c r="H98" s="427"/>
      <c r="I98" s="427"/>
    </row>
    <row r="99" spans="1:9" ht="12" customHeight="1">
      <c r="F99" s="427"/>
      <c r="G99" s="427"/>
      <c r="H99" s="427"/>
      <c r="I99" s="427"/>
    </row>
    <row r="100" spans="1:9" ht="12" customHeight="1">
      <c r="A100" s="500"/>
      <c r="F100" s="427"/>
      <c r="G100" s="427"/>
      <c r="H100" s="427"/>
      <c r="I100" s="427"/>
    </row>
    <row r="101" spans="1:9" ht="12" customHeight="1">
      <c r="A101" s="500"/>
      <c r="F101" s="427"/>
      <c r="G101" s="427"/>
      <c r="H101" s="427"/>
      <c r="I101" s="427"/>
    </row>
    <row r="102" spans="1:9" ht="12" customHeight="1">
      <c r="F102" s="427"/>
      <c r="G102" s="427"/>
      <c r="H102" s="427"/>
      <c r="I102" s="427"/>
    </row>
    <row r="103" spans="1:9" ht="12" customHeight="1">
      <c r="F103" s="427"/>
      <c r="G103" s="427"/>
      <c r="H103" s="427"/>
      <c r="I103" s="427"/>
    </row>
    <row r="104" spans="1:9" ht="12" customHeight="1">
      <c r="A104" s="500"/>
      <c r="B104" s="509"/>
      <c r="F104" s="427"/>
      <c r="G104" s="427"/>
      <c r="H104" s="427"/>
      <c r="I104" s="427"/>
    </row>
    <row r="105" spans="1:9" ht="12" customHeight="1">
      <c r="C105" s="501"/>
      <c r="D105" s="501"/>
      <c r="E105" s="501"/>
      <c r="F105" s="501"/>
      <c r="G105" s="501"/>
      <c r="H105" s="501"/>
    </row>
    <row r="106" spans="1:9" ht="12" customHeight="1">
      <c r="C106" s="501"/>
      <c r="D106" s="501"/>
      <c r="E106" s="501"/>
      <c r="F106" s="501"/>
      <c r="G106" s="501"/>
      <c r="H106" s="501"/>
    </row>
    <row r="107" spans="1:9" ht="12" customHeight="1">
      <c r="A107" s="427"/>
      <c r="C107" s="501"/>
      <c r="D107" s="501"/>
      <c r="E107" s="501"/>
      <c r="F107" s="501"/>
      <c r="G107" s="501"/>
      <c r="H107" s="501"/>
    </row>
    <row r="108" spans="1:9" ht="12" customHeight="1">
      <c r="F108" s="427"/>
      <c r="G108" s="427"/>
      <c r="H108" s="427"/>
      <c r="I108" s="427"/>
    </row>
    <row r="109" spans="1:9" ht="12" customHeight="1">
      <c r="F109" s="427"/>
      <c r="G109" s="427"/>
      <c r="H109" s="427"/>
      <c r="I109" s="427"/>
    </row>
    <row r="110" spans="1:9" ht="12" customHeight="1">
      <c r="F110" s="427"/>
      <c r="G110" s="427"/>
      <c r="H110" s="427"/>
      <c r="I110" s="427"/>
    </row>
    <row r="111" spans="1:9" ht="12" customHeight="1">
      <c r="A111" s="427"/>
      <c r="F111" s="427"/>
      <c r="G111" s="427"/>
      <c r="H111" s="427"/>
      <c r="I111" s="427"/>
    </row>
    <row r="112" spans="1:9" ht="12" customHeight="1">
      <c r="D112" s="426"/>
      <c r="E112" s="426"/>
    </row>
    <row r="113" spans="1:9" ht="12" customHeight="1">
      <c r="D113" s="426"/>
      <c r="E113" s="426"/>
    </row>
    <row r="114" spans="1:9" ht="12" customHeight="1">
      <c r="D114" s="426"/>
      <c r="E114" s="426"/>
    </row>
    <row r="115" spans="1:9" ht="12" customHeight="1">
      <c r="A115" s="427"/>
      <c r="D115" s="426"/>
      <c r="E115" s="426"/>
    </row>
    <row r="116" spans="1:9" ht="12" customHeight="1">
      <c r="F116" s="427"/>
      <c r="G116" s="427"/>
      <c r="H116" s="427"/>
      <c r="I116" s="427"/>
    </row>
    <row r="117" spans="1:9" ht="12" customHeight="1">
      <c r="D117" s="426"/>
      <c r="E117" s="426"/>
    </row>
    <row r="118" spans="1:9" ht="12" customHeight="1">
      <c r="F118" s="427"/>
      <c r="G118" s="427"/>
      <c r="H118" s="427"/>
      <c r="I118" s="427"/>
    </row>
    <row r="119" spans="1:9" ht="12" customHeight="1">
      <c r="D119" s="426"/>
      <c r="E119" s="426"/>
    </row>
    <row r="120" spans="1:9" ht="12" customHeight="1">
      <c r="F120" s="427"/>
      <c r="G120" s="427"/>
      <c r="H120" s="427"/>
      <c r="I120" s="427"/>
    </row>
    <row r="121" spans="1:9" ht="12" customHeight="1">
      <c r="D121" s="429"/>
      <c r="E121" s="429"/>
      <c r="F121" s="429"/>
      <c r="G121" s="429"/>
      <c r="H121" s="429"/>
      <c r="I121" s="429"/>
    </row>
    <row r="122" spans="1:9" ht="12" customHeight="1">
      <c r="D122" s="429"/>
      <c r="E122" s="429"/>
      <c r="F122" s="429"/>
      <c r="G122" s="429"/>
      <c r="H122" s="429"/>
      <c r="I122" s="429"/>
    </row>
    <row r="123" spans="1:9" ht="12" customHeight="1">
      <c r="D123" s="429"/>
      <c r="E123" s="429"/>
      <c r="F123" s="429"/>
      <c r="G123" s="429"/>
      <c r="H123" s="429"/>
      <c r="I123" s="429"/>
    </row>
    <row r="124" spans="1:9" ht="12" customHeight="1">
      <c r="D124" s="429"/>
      <c r="E124" s="429"/>
      <c r="F124" s="429"/>
      <c r="G124" s="429"/>
      <c r="H124" s="429"/>
      <c r="I124" s="429"/>
    </row>
    <row r="125" spans="1:9" ht="12" customHeight="1">
      <c r="D125" s="429"/>
      <c r="E125" s="429"/>
      <c r="F125" s="429"/>
      <c r="G125" s="429"/>
      <c r="H125" s="429"/>
      <c r="I125" s="429"/>
    </row>
    <row r="126" spans="1:9" ht="12" customHeight="1">
      <c r="D126" s="429"/>
      <c r="E126" s="429"/>
      <c r="F126" s="429"/>
      <c r="G126" s="502"/>
      <c r="H126" s="503"/>
      <c r="I126" s="504"/>
    </row>
    <row r="128" spans="1:9" ht="12" customHeight="1">
      <c r="B128" s="511"/>
    </row>
  </sheetData>
  <phoneticPr fontId="0" type="noConversion"/>
  <pageMargins left="0.5" right="0.5" top="0.5" bottom="0.6" header="0.5" footer="0.5"/>
  <pageSetup scale="98" orientation="landscape" r:id="rId1"/>
  <headerFooter alignWithMargins="0">
    <oddFooter xml:space="preserve">&amp;L&amp;F; &amp;A&amp;CAvago Technologies&amp;R   Page &amp;P / &amp;N  Printed &amp;T &amp;D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autoPageBreaks="0" fitToPage="1"/>
  </sheetPr>
  <dimension ref="A1:AW71"/>
  <sheetViews>
    <sheetView showGridLines="0" tabSelected="1" showOutlineSymbols="0" zoomScale="67" zoomScaleNormal="67" workbookViewId="0">
      <pane ySplit="3315" topLeftCell="A28"/>
      <selection activeCell="W3" sqref="W3"/>
      <selection pane="bottomLeft" activeCell="E47" sqref="E47:H53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7.14062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8.570312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7109375" style="14" bestFit="1" customWidth="1"/>
    <col min="45" max="45" width="7.42578125" style="14" bestFit="1" customWidth="1"/>
    <col min="46" max="46" width="9.7109375" style="14" bestFit="1" customWidth="1"/>
    <col min="47" max="47" width="8.28515625" style="14" bestFit="1" customWidth="1"/>
    <col min="48" max="48" width="6.140625" style="14" bestFit="1" customWidth="1"/>
    <col min="49" max="49" width="9.710937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540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2" t="str">
        <f>'10GbE Notes'!A1</f>
        <v>10GEPBud3_1_16a.xls</v>
      </c>
      <c r="S1" s="753"/>
      <c r="T1" s="753"/>
      <c r="U1" s="753"/>
      <c r="V1" s="167" t="s">
        <v>221</v>
      </c>
      <c r="W1" s="750">
        <f>'10GbE Notes'!E2</f>
        <v>37181</v>
      </c>
      <c r="X1" s="751"/>
      <c r="Y1" s="7">
        <f>10*LOG(Q/7.034)</f>
        <v>-2.571969443295941</v>
      </c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1.4122570203426084</v>
      </c>
    </row>
    <row r="2" spans="1:44">
      <c r="A2" s="117" t="s">
        <v>337</v>
      </c>
      <c r="B2" s="118" t="s">
        <v>215</v>
      </c>
      <c r="C2" s="458" t="s">
        <v>216</v>
      </c>
      <c r="D2" s="459"/>
      <c r="E2" s="5"/>
      <c r="F2" s="460" t="s">
        <v>341</v>
      </c>
      <c r="G2" s="662">
        <v>21</v>
      </c>
      <c r="H2" s="459" t="s">
        <v>219</v>
      </c>
      <c r="I2" s="351" t="s">
        <v>211</v>
      </c>
      <c r="J2" s="754" t="s">
        <v>39</v>
      </c>
      <c r="K2" s="754"/>
      <c r="L2" s="755" t="s">
        <v>195</v>
      </c>
      <c r="M2" s="756"/>
      <c r="N2" s="140"/>
      <c r="O2" s="461" t="s">
        <v>348</v>
      </c>
      <c r="P2" s="148">
        <v>3.5</v>
      </c>
      <c r="Q2" s="130" t="s">
        <v>349</v>
      </c>
      <c r="R2" s="110"/>
      <c r="S2" s="359"/>
      <c r="T2" s="145" t="s">
        <v>220</v>
      </c>
      <c r="U2" s="146" t="str">
        <f>'10GbE Notes'!F16</f>
        <v>3.1.16a</v>
      </c>
      <c r="V2" s="248" t="s">
        <v>221</v>
      </c>
      <c r="W2" s="757">
        <f>'10GbE Notes'!D16</f>
        <v>37195</v>
      </c>
      <c r="X2" s="758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0.43574534200378784</v>
      </c>
    </row>
    <row r="3" spans="1:44" ht="15" customHeight="1">
      <c r="A3" s="120"/>
      <c r="B3" s="121" t="s">
        <v>237</v>
      </c>
      <c r="C3" s="739">
        <v>3.8904999999999998</v>
      </c>
      <c r="D3" s="122"/>
      <c r="E3" s="7"/>
      <c r="F3" s="196" t="s">
        <v>342</v>
      </c>
      <c r="G3" s="581">
        <f>G2*1.518</f>
        <v>31.878</v>
      </c>
      <c r="H3" s="463" t="s">
        <v>219</v>
      </c>
      <c r="I3" s="241" t="s">
        <v>308</v>
      </c>
      <c r="J3" s="5"/>
      <c r="K3" s="461" t="s">
        <v>217</v>
      </c>
      <c r="L3" s="742">
        <f>L4+10*L5</f>
        <v>0.1</v>
      </c>
      <c r="M3" s="130" t="s">
        <v>218</v>
      </c>
      <c r="N3" s="149" t="s">
        <v>347</v>
      </c>
      <c r="O3" s="134" t="s">
        <v>350</v>
      </c>
      <c r="P3" s="549">
        <f>IF(Uc&lt;1000,850,1310)</f>
        <v>850</v>
      </c>
      <c r="Q3" s="122" t="s">
        <v>334</v>
      </c>
      <c r="R3" s="464"/>
      <c r="S3" s="366" t="s">
        <v>70</v>
      </c>
      <c r="T3" s="744">
        <v>-11.2</v>
      </c>
      <c r="U3" s="465" t="s">
        <v>326</v>
      </c>
      <c r="V3" s="168" t="s">
        <v>242</v>
      </c>
      <c r="W3" s="169">
        <f>AO39</f>
        <v>-1.1980563358653384E-3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1.8316073099569907</v>
      </c>
      <c r="AH3" s="21" t="s">
        <v>239</v>
      </c>
      <c r="AI3" s="86"/>
      <c r="AJ3" s="126" t="s">
        <v>73</v>
      </c>
      <c r="AK3" s="369">
        <f>ERF(AK1)+ERF(AK2)-1</f>
        <v>0.41646198857488748</v>
      </c>
    </row>
    <row r="4" spans="1:44" ht="15" customHeight="1">
      <c r="A4" s="11"/>
      <c r="B4" s="123" t="s">
        <v>247</v>
      </c>
      <c r="C4" s="551">
        <f>2.5*10312.5</f>
        <v>25781.25</v>
      </c>
      <c r="D4" s="466" t="s">
        <v>248</v>
      </c>
      <c r="E4" s="7"/>
      <c r="F4" s="134" t="s">
        <v>340</v>
      </c>
      <c r="G4" s="740">
        <v>-128</v>
      </c>
      <c r="H4" s="467" t="s">
        <v>246</v>
      </c>
      <c r="I4" s="468" t="s">
        <v>344</v>
      </c>
      <c r="J4" s="7"/>
      <c r="K4" s="196" t="s">
        <v>226</v>
      </c>
      <c r="L4" s="743">
        <v>0.05</v>
      </c>
      <c r="M4" s="463" t="s">
        <v>218</v>
      </c>
      <c r="N4" s="120"/>
      <c r="O4" s="196" t="s">
        <v>227</v>
      </c>
      <c r="P4" s="550">
        <f>IF(Uc&gt;1000,$P$2/1.4846,$P$2/3.5)</f>
        <v>1</v>
      </c>
      <c r="Q4" s="122"/>
      <c r="R4" s="367" t="s">
        <v>266</v>
      </c>
      <c r="S4" s="198" t="s">
        <v>236</v>
      </c>
      <c r="T4" s="515">
        <v>-12</v>
      </c>
      <c r="U4" s="469" t="s">
        <v>232</v>
      </c>
      <c r="V4" s="170" t="s">
        <v>355</v>
      </c>
      <c r="W4" s="360"/>
      <c r="X4" s="209" t="str">
        <f>$L$3&amp;" km"</f>
        <v>0.1 km</v>
      </c>
      <c r="Y4" s="96"/>
      <c r="AA4" s="126" t="s">
        <v>233</v>
      </c>
      <c r="AB4" s="200">
        <f>0.7*$P$8*$C$7</f>
        <v>4.3154999999999992E-2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0.9904103184782308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0.41646198857488748</v>
      </c>
    </row>
    <row r="5" spans="1:44" ht="15" customHeight="1">
      <c r="A5" s="117" t="s">
        <v>338</v>
      </c>
      <c r="B5" s="7"/>
      <c r="C5" s="136"/>
      <c r="D5" s="7"/>
      <c r="E5" s="7"/>
      <c r="F5" s="196" t="s">
        <v>251</v>
      </c>
      <c r="G5" s="560">
        <f>G4-2*C11</f>
        <v>-135.32059991327961</v>
      </c>
      <c r="H5" s="470" t="s">
        <v>246</v>
      </c>
      <c r="I5" s="471" t="s">
        <v>345</v>
      </c>
      <c r="J5" s="110"/>
      <c r="K5" s="472" t="s">
        <v>230</v>
      </c>
      <c r="L5" s="661">
        <v>5.0000000000000001E-3</v>
      </c>
      <c r="M5" s="133" t="s">
        <v>218</v>
      </c>
      <c r="N5" s="120"/>
      <c r="O5" s="473" t="s">
        <v>348</v>
      </c>
      <c r="P5" s="550">
        <f>$P$4*((1/(0.00094*Uc)^4)+1.05)</f>
        <v>3.622595119239568</v>
      </c>
      <c r="Q5" s="122" t="s">
        <v>349</v>
      </c>
      <c r="R5" s="474"/>
      <c r="S5" s="473" t="s">
        <v>252</v>
      </c>
      <c r="T5" s="745">
        <v>18047</v>
      </c>
      <c r="U5" s="463" t="s">
        <v>253</v>
      </c>
      <c r="V5" s="475" t="s">
        <v>43</v>
      </c>
      <c r="W5" s="619">
        <f>0.75*C4</f>
        <v>19335.9375</v>
      </c>
      <c r="X5" s="476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0.95742630021911834</v>
      </c>
      <c r="AH5" s="194" t="s">
        <v>239</v>
      </c>
      <c r="AI5" s="86"/>
    </row>
    <row r="6" spans="1:44" ht="15" customHeight="1">
      <c r="A6" s="120"/>
      <c r="B6" s="121" t="s">
        <v>346</v>
      </c>
      <c r="C6" s="477">
        <v>840</v>
      </c>
      <c r="D6" s="198" t="s">
        <v>334</v>
      </c>
      <c r="E6" s="7"/>
      <c r="F6" s="196" t="s">
        <v>235</v>
      </c>
      <c r="G6" s="376">
        <v>0.7</v>
      </c>
      <c r="H6" s="122"/>
      <c r="I6" s="7"/>
      <c r="J6" s="7"/>
      <c r="K6" s="473" t="s">
        <v>343</v>
      </c>
      <c r="L6" s="197">
        <f>C8-T3</f>
        <v>8.1999999999999993</v>
      </c>
      <c r="M6" s="136" t="s">
        <v>232</v>
      </c>
      <c r="N6" s="120"/>
      <c r="O6" s="134" t="s">
        <v>350</v>
      </c>
      <c r="P6" s="549">
        <f>Uc</f>
        <v>840</v>
      </c>
      <c r="Q6" s="122" t="s">
        <v>334</v>
      </c>
      <c r="R6" s="478"/>
      <c r="S6" s="134" t="s">
        <v>260</v>
      </c>
      <c r="T6" s="27">
        <v>329</v>
      </c>
      <c r="U6" s="318" t="s">
        <v>255</v>
      </c>
      <c r="V6" s="479"/>
      <c r="W6" s="403"/>
      <c r="X6" s="480"/>
      <c r="Y6" s="96"/>
      <c r="AA6" s="196" t="s">
        <v>222</v>
      </c>
      <c r="AB6" s="197">
        <f>10^(C9/10)</f>
        <v>2.5118332385550612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3.1051785283822812E-3</v>
      </c>
      <c r="AH6" s="288" t="s">
        <v>140</v>
      </c>
      <c r="AI6" s="86"/>
    </row>
    <row r="7" spans="1:44" ht="15" customHeight="1">
      <c r="A7" s="120"/>
      <c r="B7" s="732" t="s">
        <v>460</v>
      </c>
      <c r="C7" s="512">
        <v>0.6</v>
      </c>
      <c r="D7" s="198" t="s">
        <v>334</v>
      </c>
      <c r="E7" s="498"/>
      <c r="F7" s="499" t="s">
        <v>451</v>
      </c>
      <c r="G7" s="773">
        <v>21.410676290975569</v>
      </c>
      <c r="H7" s="318" t="str">
        <f>IF(G9&lt;0,"should not be &lt; DCD!","ps inc. DCD")</f>
        <v>ps inc. DCD</v>
      </c>
      <c r="I7" s="7"/>
      <c r="J7" s="7"/>
      <c r="K7" s="481" t="s">
        <v>65</v>
      </c>
      <c r="L7" s="376">
        <v>1.5</v>
      </c>
      <c r="M7" s="136" t="s">
        <v>232</v>
      </c>
      <c r="N7" s="120"/>
      <c r="O7" s="473" t="s">
        <v>333</v>
      </c>
      <c r="P7" s="352">
        <v>1316</v>
      </c>
      <c r="Q7" s="122" t="s">
        <v>334</v>
      </c>
      <c r="R7" s="478"/>
      <c r="S7" s="134" t="s">
        <v>256</v>
      </c>
      <c r="T7" s="456">
        <f>$T$6*1000/$T$5</f>
        <v>18.230176760680447</v>
      </c>
      <c r="U7" s="122" t="s">
        <v>219</v>
      </c>
      <c r="V7" s="482" t="s">
        <v>331</v>
      </c>
      <c r="W7" s="7"/>
      <c r="X7" s="161"/>
      <c r="Y7" s="96"/>
      <c r="AA7" s="196" t="s">
        <v>228</v>
      </c>
      <c r="AB7" s="197">
        <f>(ER+1)/(ER-1)</f>
        <v>2.3228972276806834</v>
      </c>
      <c r="AC7" s="198" t="s">
        <v>214</v>
      </c>
      <c r="AD7" s="21"/>
      <c r="AF7" s="282" t="s">
        <v>315</v>
      </c>
      <c r="AG7" s="289">
        <f>(1-10^(-Pmn/5))/(Q*Q)</f>
        <v>3.8134235714390409E-3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512">
        <v>-3</v>
      </c>
      <c r="D8" s="7" t="s">
        <v>326</v>
      </c>
      <c r="E8" s="7"/>
      <c r="F8" s="473" t="s">
        <v>249</v>
      </c>
      <c r="G8" s="512">
        <f>0.05*1000000/$C$4</f>
        <v>1.9393939393939394</v>
      </c>
      <c r="H8" s="122" t="s">
        <v>131</v>
      </c>
      <c r="I8" s="7"/>
      <c r="J8" s="7"/>
      <c r="K8" s="483" t="s">
        <v>238</v>
      </c>
      <c r="L8" s="198">
        <f>$L$6-$L$7</f>
        <v>6.6999999999999993</v>
      </c>
      <c r="M8" s="136" t="s">
        <v>232</v>
      </c>
      <c r="N8" s="484"/>
      <c r="O8" s="473" t="s">
        <v>130</v>
      </c>
      <c r="P8" s="352">
        <v>0.10274999999999999</v>
      </c>
      <c r="Q8" s="122" t="s">
        <v>354</v>
      </c>
      <c r="R8" s="478"/>
      <c r="S8" s="485" t="s">
        <v>54</v>
      </c>
      <c r="T8" s="154">
        <f>$G$14*10^6/$C$4</f>
        <v>7.7575757575757551</v>
      </c>
      <c r="U8" s="122" t="s">
        <v>219</v>
      </c>
      <c r="V8" s="149" t="s">
        <v>356</v>
      </c>
      <c r="W8" s="486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17.014949494949494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554">
        <f>10*LOG10((2*AB12+AB11)/(2*AB12-AB11))</f>
        <v>3.9999080306699346</v>
      </c>
      <c r="D9" s="198" t="s">
        <v>232</v>
      </c>
      <c r="E9" s="7"/>
      <c r="F9" s="196" t="s">
        <v>339</v>
      </c>
      <c r="G9" s="663">
        <f>(10^-6)*($G$7-$G$8)*$L$11</f>
        <v>0.52841473487022506</v>
      </c>
      <c r="H9" s="470" t="s">
        <v>332</v>
      </c>
      <c r="I9" s="7"/>
      <c r="J9" s="7"/>
      <c r="K9" s="196" t="s">
        <v>254</v>
      </c>
      <c r="L9" s="488">
        <v>480</v>
      </c>
      <c r="M9" s="7" t="s">
        <v>255</v>
      </c>
      <c r="N9" s="120"/>
      <c r="O9" s="196" t="s">
        <v>129</v>
      </c>
      <c r="P9" s="197">
        <f>0.25*$P$8*Uc*(1-(Uo/Uc)^4)</f>
        <v>-108.41177997222221</v>
      </c>
      <c r="Q9" s="470" t="s">
        <v>223</v>
      </c>
      <c r="R9" s="478"/>
      <c r="S9" s="485" t="s">
        <v>52</v>
      </c>
      <c r="T9" s="489"/>
      <c r="U9" s="318" t="s">
        <v>53</v>
      </c>
      <c r="V9" s="490" t="s">
        <v>51</v>
      </c>
      <c r="W9" s="197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1.682272440868382</v>
      </c>
      <c r="AC9" s="197" t="s">
        <v>229</v>
      </c>
      <c r="AD9" s="194"/>
      <c r="AE9" s="74"/>
      <c r="AF9" s="74" t="s">
        <v>45</v>
      </c>
      <c r="AG9" s="322">
        <f>SQRT(H17^2+$AG$8^2)</f>
        <v>36.136885641503874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512">
        <f>C8+0.65</f>
        <v>-2.35</v>
      </c>
      <c r="D10" s="7" t="s">
        <v>326</v>
      </c>
      <c r="E10" s="7"/>
      <c r="F10" s="196" t="s">
        <v>258</v>
      </c>
      <c r="G10" s="352">
        <v>0.3</v>
      </c>
      <c r="H10" s="122"/>
      <c r="I10" s="7"/>
      <c r="J10" s="7"/>
      <c r="K10" s="26" t="s">
        <v>336</v>
      </c>
      <c r="L10" s="141">
        <v>0</v>
      </c>
      <c r="M10" s="469" t="s">
        <v>239</v>
      </c>
      <c r="N10" s="120"/>
      <c r="O10" s="491"/>
      <c r="P10" s="491"/>
      <c r="Q10" s="318"/>
      <c r="R10" s="478"/>
      <c r="S10" s="483" t="s">
        <v>353</v>
      </c>
      <c r="T10" s="531">
        <v>2.5000000000000001E-2</v>
      </c>
      <c r="U10" s="492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1.6067835848001237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550">
        <f>10*LOG10(AB7)</f>
        <v>3.660299956639808</v>
      </c>
      <c r="D11" s="7" t="s">
        <v>229</v>
      </c>
      <c r="E11" s="7"/>
      <c r="F11" s="196" t="s">
        <v>259</v>
      </c>
      <c r="G11" s="664">
        <f>$AG$12-2.519*SQRT($AG$6)</f>
        <v>0.10356258589180281</v>
      </c>
      <c r="H11" s="494"/>
      <c r="I11" s="7"/>
      <c r="J11" s="7"/>
      <c r="K11" s="481" t="s">
        <v>351</v>
      </c>
      <c r="L11" s="462">
        <f>1/((1/$C$4)-$G$8*10^-6)</f>
        <v>27138.15789473684</v>
      </c>
      <c r="M11" s="198" t="s">
        <v>248</v>
      </c>
      <c r="N11" s="120"/>
      <c r="O11" s="481" t="str">
        <f>IF(L2="SMF","PolMD DGDmax","(not in use)")</f>
        <v>(not in use)</v>
      </c>
      <c r="P11" s="352">
        <v>10</v>
      </c>
      <c r="Q11" s="495" t="str">
        <f>IF(L2="SMF","ps at target "&amp;L3&amp;M3,"")</f>
        <v/>
      </c>
      <c r="R11" s="478"/>
      <c r="S11" s="7"/>
      <c r="T11" s="27"/>
      <c r="U11" s="496"/>
      <c r="V11" s="497" t="s">
        <v>135</v>
      </c>
      <c r="W11" s="644">
        <f>-10*LOG10(ERF(AQ39)+ERF(AR39) - 1)</f>
        <v>4.8130010321285441</v>
      </c>
      <c r="X11" s="133" t="s">
        <v>229</v>
      </c>
      <c r="Y11" s="96"/>
      <c r="AA11" s="134" t="s">
        <v>62</v>
      </c>
      <c r="AB11" s="10">
        <f>10^(($C$8/10)+3)</f>
        <v>501.18723362727269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0.24121877754627244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352">
        <v>-12</v>
      </c>
      <c r="H12" s="127" t="s">
        <v>232</v>
      </c>
      <c r="I12" s="7"/>
      <c r="J12" s="7"/>
      <c r="K12" s="121" t="s">
        <v>317</v>
      </c>
      <c r="L12" s="10">
        <f>1000000/$L$11</f>
        <v>36.848484848484851</v>
      </c>
      <c r="M12" s="7" t="s">
        <v>219</v>
      </c>
      <c r="N12" s="120"/>
      <c r="O12" s="116" t="s">
        <v>224</v>
      </c>
      <c r="P12" s="477">
        <v>4400</v>
      </c>
      <c r="Q12" s="318" t="s">
        <v>225</v>
      </c>
      <c r="R12" s="153"/>
      <c r="S12" s="151" t="s">
        <v>352</v>
      </c>
      <c r="T12" s="19">
        <f>10*LOG10(1/SQRT(1-(Q*SD_blw)^2))</f>
        <v>2.0639897068902759E-2</v>
      </c>
      <c r="U12" s="155" t="s">
        <v>232</v>
      </c>
      <c r="X12" s="666" t="s">
        <v>261</v>
      </c>
      <c r="Y12" s="70"/>
      <c r="AA12" s="94" t="s">
        <v>244</v>
      </c>
      <c r="AB12" s="193">
        <f>1000*10^(C10/10)</f>
        <v>582.10321777087142</v>
      </c>
      <c r="AC12" s="86" t="s">
        <v>245</v>
      </c>
      <c r="AD12" s="74"/>
      <c r="AE12" s="74"/>
      <c r="AF12" s="126" t="s">
        <v>48</v>
      </c>
      <c r="AG12" s="321">
        <f>ERF(AG10)+ERF(AG11)-1</f>
        <v>0.24393166629070806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741">
        <f>0.1291*(L7/1.5)^2</f>
        <v>0.12909999999999999</v>
      </c>
      <c r="H13" s="125" t="s">
        <v>232</v>
      </c>
      <c r="I13" s="110"/>
      <c r="J13" s="110"/>
      <c r="K13" s="123" t="s">
        <v>357</v>
      </c>
      <c r="L13" s="30">
        <f>(10^-6)*$T$8*$L$11</f>
        <v>0.21052631578947359</v>
      </c>
      <c r="M13" s="240" t="s">
        <v>325</v>
      </c>
      <c r="N13" s="11"/>
      <c r="O13" s="138" t="s">
        <v>241</v>
      </c>
      <c r="P13" s="708">
        <f>IF(L2="SMF",1000000*L3/(3*P11),P12)</f>
        <v>4400</v>
      </c>
      <c r="Q13" s="133" t="s">
        <v>225</v>
      </c>
      <c r="R13" s="157"/>
      <c r="S13" s="143" t="s">
        <v>265</v>
      </c>
      <c r="T13" s="31">
        <f>10*LOG10(1/SQRT(1-(Q*SD_blw/$AG$5)^2))</f>
        <v>2.2526054156101684E-2</v>
      </c>
      <c r="U13" s="144" t="s">
        <v>232</v>
      </c>
      <c r="V13" s="29"/>
      <c r="W13" s="380"/>
      <c r="X13" s="653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8" t="s">
        <v>270</v>
      </c>
      <c r="AH13" s="749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665">
        <f>2*(0.5-$C$13)</f>
        <v>0.19999999999999996</v>
      </c>
      <c r="H14" s="133" t="s">
        <v>325</v>
      </c>
      <c r="I14" s="96"/>
      <c r="J14" s="32" t="s">
        <v>267</v>
      </c>
      <c r="K14" s="582" t="s">
        <v>25</v>
      </c>
      <c r="L14" s="254" t="s">
        <v>316</v>
      </c>
      <c r="M14" s="589" t="s">
        <v>316</v>
      </c>
      <c r="N14" s="733" t="s">
        <v>67</v>
      </c>
      <c r="O14" s="361"/>
      <c r="P14" s="361"/>
      <c r="Q14" s="361"/>
      <c r="R14" s="652"/>
      <c r="S14" s="32" t="s">
        <v>283</v>
      </c>
      <c r="T14" s="203" t="s">
        <v>284</v>
      </c>
      <c r="U14" s="597" t="s">
        <v>66</v>
      </c>
      <c r="V14" s="32" t="s">
        <v>286</v>
      </c>
      <c r="W14" s="358"/>
      <c r="X14" s="654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582" t="s">
        <v>268</v>
      </c>
      <c r="L15" s="20" t="s">
        <v>288</v>
      </c>
      <c r="M15" s="590" t="s">
        <v>268</v>
      </c>
      <c r="N15" s="20" t="s">
        <v>288</v>
      </c>
      <c r="O15" s="70" t="s">
        <v>279</v>
      </c>
      <c r="P15" s="64" t="s">
        <v>280</v>
      </c>
      <c r="Q15" s="64" t="s">
        <v>281</v>
      </c>
      <c r="R15" s="644" t="s">
        <v>282</v>
      </c>
      <c r="S15" s="356" t="s">
        <v>288</v>
      </c>
      <c r="T15" s="276" t="s">
        <v>288</v>
      </c>
      <c r="U15" s="598" t="s">
        <v>268</v>
      </c>
      <c r="V15" s="256" t="s">
        <v>288</v>
      </c>
      <c r="W15" s="357" t="s">
        <v>242</v>
      </c>
      <c r="X15" s="655" t="s">
        <v>288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12" t="s">
        <v>305</v>
      </c>
      <c r="K16" s="583" t="s">
        <v>302</v>
      </c>
      <c r="L16" s="650" t="s">
        <v>302</v>
      </c>
      <c r="M16" s="591" t="s">
        <v>302</v>
      </c>
      <c r="N16" s="650" t="s">
        <v>302</v>
      </c>
      <c r="O16" s="147"/>
      <c r="P16" s="158"/>
      <c r="Q16" s="158" t="s">
        <v>302</v>
      </c>
      <c r="R16" s="650" t="s">
        <v>302</v>
      </c>
      <c r="S16" s="158" t="s">
        <v>302</v>
      </c>
      <c r="T16" s="204" t="s">
        <v>302</v>
      </c>
      <c r="U16" s="599" t="s">
        <v>303</v>
      </c>
      <c r="V16" s="158" t="s">
        <v>303</v>
      </c>
      <c r="W16" s="172" t="s">
        <v>302</v>
      </c>
      <c r="X16" s="656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9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-0.21682355994444441</v>
      </c>
      <c r="E17" s="44">
        <f t="shared" ref="E17:E38" si="3">A17*$AB$4</f>
        <v>8.6309999999999992E-5</v>
      </c>
      <c r="F17" s="129">
        <f t="shared" ref="F17:F38" si="4">(0.187/$C$7)*10^6/(SQRT(D17^2+E17^2))</f>
        <v>1437420.5554680745</v>
      </c>
      <c r="G17" s="45">
        <f t="shared" ref="G17:G38" si="5">$P$13/A17</f>
        <v>2200000</v>
      </c>
      <c r="H17" s="46">
        <f t="shared" ref="H17:H38" si="6">SQRT((1000*C_1/F17)^2+(1000*C_1/G17)^2+$G$3^2)</f>
        <v>31.880495566277617</v>
      </c>
      <c r="I17" s="46">
        <f t="shared" ref="I17:I38" si="7">SQRT(H17^2+$T$7^2)</f>
        <v>36.724723855695636</v>
      </c>
      <c r="J17" s="646">
        <f t="shared" ref="J17:J38" si="8">-10*LOG10(2*Z17 - 1)</f>
        <v>2.196919903437037</v>
      </c>
      <c r="K17" s="584">
        <f t="shared" ref="K17:K38" si="9">-10*LOG10(AB17)-J17</f>
        <v>0.24154426915812</v>
      </c>
      <c r="L17" s="646">
        <f t="shared" ref="L17:L38" si="10">-10*LOG10(AD17)-J17</f>
        <v>1.7140850194447395</v>
      </c>
      <c r="M17" s="592">
        <f t="shared" ref="M17:M38" si="11">-10*LOG10(AC17)-J17-K17</f>
        <v>3.8043618120467615</v>
      </c>
      <c r="N17" s="734"/>
      <c r="O17" s="129">
        <f t="shared" ref="O17:O38" si="12">(10^-6)*3.14*$L$11*D17*$C$7</f>
        <v>-1.1085817737554274E-2</v>
      </c>
      <c r="P17" s="44">
        <f t="shared" ref="P17:P38" si="13">($G$10/SQRT(2))*(1-EXP(-1*O17^2))</f>
        <v>2.606843977212655E-5</v>
      </c>
      <c r="Q17" s="44">
        <f t="shared" ref="Q17:Q38" si="14">10*LOG10(1/SQRT(1-(Q*P17)^2))</f>
        <v>2.2335476925216865E-8</v>
      </c>
      <c r="R17" s="646"/>
      <c r="S17" s="44">
        <f>-10*LOG10(SQRT(1-Q*Q*(((SD_blw/AC17)^2)+AK17+Vmn+(P17*P17))))-$T$13-Q17-R17-Pmn</f>
        <v>0.40295903915915809</v>
      </c>
      <c r="T17" s="205">
        <f>J17+L17+B17+Q17+S17+Pmn</f>
        <v>4.4503091746148904</v>
      </c>
      <c r="U17" s="600">
        <f>J17+K17+B17+Q17+S17+Pmn+M17</f>
        <v>6.7821302363750329</v>
      </c>
      <c r="V17" s="174">
        <f t="shared" ref="V17:V38" si="15">T17-B17</f>
        <v>4.443063984376411</v>
      </c>
      <c r="W17" s="667">
        <f t="shared" ref="W17:W38" si="16">$L$8-T17</f>
        <v>2.2496908253851089</v>
      </c>
      <c r="X17" s="657">
        <f t="shared" ref="X17:X38" si="17">$C$8-C17-(Q17+N17+R17+S17/2+Pmn) -$W$3</f>
        <v>-4.8366266758176701</v>
      </c>
      <c r="Y17" s="47">
        <f t="shared" ref="Y17:Y38" si="18">B_1*Tb_eff/(SQRT(8)*I17)</f>
        <v>0.90921105759361143</v>
      </c>
      <c r="Z17" s="49">
        <f t="shared" ref="Z17:Z38" si="19">IF(ABS(Y17)&lt;10,SIGN(Y17)*ERF(ABS(Y17)),SIGN(Y17))</f>
        <v>0.80149354201132783</v>
      </c>
      <c r="AA17" s="370">
        <f>$AD17</f>
        <v>0.40634929229232664</v>
      </c>
      <c r="AB17" s="43">
        <f t="shared" ref="AB17:AB38" si="20">ERF(AE17)+ERF(AF17)-1</f>
        <v>0.57036593930735546</v>
      </c>
      <c r="AC17" s="47">
        <f t="shared" ref="AC17:AC38" si="21">ERF(AG17)+ERF(AH17)-1</f>
        <v>0.23752941630777302</v>
      </c>
      <c r="AD17" s="47">
        <f t="shared" ref="AD17:AD38" si="22">ERF(AI17)+ERF(AJ17)-1</f>
        <v>0.40634929229232664</v>
      </c>
      <c r="AE17" s="50">
        <f t="shared" ref="AE17:AE38" si="23">MAX(MIN(B_1*Tb_eff*($L$13+1)/(SQRT(8)*$I17),10),-10)</f>
        <v>1.1006239118238454</v>
      </c>
      <c r="AF17" s="50">
        <f t="shared" ref="AF17:AF38" si="24">MAX(MIN(B_1*Tb_eff*(1-$L$13)/(SQRT(8)*$I17),10),-10)</f>
        <v>0.71779820336337752</v>
      </c>
      <c r="AG17" s="50">
        <f t="shared" ref="AG17:AG38" si="25">MAX(MIN(B_1*Tb_eff*($L$13+$G$9+1)/(SQRT(8)*$I17),10),-10)</f>
        <v>1.5810644317632505</v>
      </c>
      <c r="AH17" s="50">
        <f t="shared" ref="AH17:AH38" si="26">MAX(MIN(B_1*Tb_eff*(1-$L$13-$G$9)/(SQRT(8)*$I17),10),-10)</f>
        <v>0.23735768342397243</v>
      </c>
      <c r="AI17" s="50">
        <f t="shared" ref="AI17:AI38" si="27">MAX(MIN(B_1*Tb_eff*($G$9+1)/(SQRT(8)*$I17),10),-10)</f>
        <v>1.3896515775330167</v>
      </c>
      <c r="AJ17" s="50">
        <f t="shared" ref="AJ17:AJ38" si="28">MAX(MIN(B_1*Tb_eff*(1-$G$9)/(SQRT(8)*$I17),10),-10)</f>
        <v>0.42877053765420636</v>
      </c>
      <c r="AK17" s="298"/>
      <c r="AL17" s="48">
        <f t="shared" ref="AL17:AL38" si="29">$L$6-$L$7</f>
        <v>6.6999999999999993</v>
      </c>
      <c r="AM17" s="185"/>
      <c r="AN17" s="185"/>
      <c r="AO17" s="2"/>
      <c r="AP17" s="293"/>
      <c r="AQ17" s="293"/>
    </row>
    <row r="18" spans="1:49" s="62" customFormat="1" ht="15" customHeight="1">
      <c r="A18" s="51">
        <f>$L$4</f>
        <v>0.05</v>
      </c>
      <c r="B18" s="52">
        <f t="shared" si="0"/>
        <v>0.18112975596197842</v>
      </c>
      <c r="C18" s="52">
        <f t="shared" si="1"/>
        <v>1.6811297559619784</v>
      </c>
      <c r="D18" s="176">
        <f t="shared" si="2"/>
        <v>-5.4205889986111107</v>
      </c>
      <c r="E18" s="52">
        <f t="shared" si="3"/>
        <v>2.1577499999999995E-3</v>
      </c>
      <c r="F18" s="53">
        <f t="shared" si="4"/>
        <v>57496.822218722977</v>
      </c>
      <c r="G18" s="53">
        <f t="shared" si="5"/>
        <v>88000</v>
      </c>
      <c r="H18" s="54">
        <f t="shared" si="6"/>
        <v>33.401389995839807</v>
      </c>
      <c r="I18" s="54">
        <f t="shared" si="7"/>
        <v>38.052492669729808</v>
      </c>
      <c r="J18" s="647">
        <f t="shared" si="8"/>
        <v>2.4355168498933892</v>
      </c>
      <c r="K18" s="585">
        <f t="shared" si="9"/>
        <v>0.24278730433143458</v>
      </c>
      <c r="L18" s="247">
        <f t="shared" si="10"/>
        <v>1.7242495491274843</v>
      </c>
      <c r="M18" s="593">
        <f t="shared" si="11"/>
        <v>3.8366857285144356</v>
      </c>
      <c r="N18" s="735">
        <f t="shared" ref="N18:N38" si="30">-10*LOG10(1-2*$L$10*10^(-$C18/10)*$AB$5*SQRT(2*ER*($AD18*(ER-1)+ER+1))/($AD18*(ER-1)))</f>
        <v>0</v>
      </c>
      <c r="O18" s="52">
        <f t="shared" si="12"/>
        <v>-0.27714544343885683</v>
      </c>
      <c r="P18" s="52">
        <f t="shared" si="13"/>
        <v>1.5683735300545235E-2</v>
      </c>
      <c r="Q18" s="52">
        <f t="shared" si="14"/>
        <v>8.0997924448331926E-3</v>
      </c>
      <c r="R18" s="247">
        <f t="shared" ref="R18:R38" si="31">10*LOG10(1/SQRT(1-AK18*(Q/AA18)^2))</f>
        <v>0.65939925629619012</v>
      </c>
      <c r="S18" s="52">
        <f t="shared" ref="S18:S38" si="32">-10*LOG10(AA18*SQRT(1-Q*Q*((SD_blw^2+AK18)/AA18^2+Vmn+(P18*P18))))-$T$13-J18-L18-Q18-N18-R18-Pmn</f>
        <v>0.24562947208372066</v>
      </c>
      <c r="T18" s="277">
        <f t="shared" ref="T18:T38" si="33">J18+L18+B18+Q18+N18+R18+S18+Pmn</f>
        <v>5.3831246758075961</v>
      </c>
      <c r="U18" s="601">
        <f t="shared" ref="U18:U38" si="34">J18+K18+B18+Q18+N18+R18+S18+Pmn+M18</f>
        <v>7.738348159525982</v>
      </c>
      <c r="V18" s="177">
        <f t="shared" si="15"/>
        <v>5.2019949198456175</v>
      </c>
      <c r="W18" s="668">
        <f t="shared" si="16"/>
        <v>1.3168753241924032</v>
      </c>
      <c r="X18" s="658">
        <f t="shared" si="17"/>
        <v>-5.5993454844089969</v>
      </c>
      <c r="Y18" s="59">
        <f t="shared" si="18"/>
        <v>0.87748588000470273</v>
      </c>
      <c r="Z18" s="60">
        <f t="shared" si="19"/>
        <v>0.78537657365974378</v>
      </c>
      <c r="AA18" s="294">
        <f t="shared" ref="AA18:AA38" si="35">$AD18*(1-2*$L$10*10^(-$C18/10)*$AB$5*SQRT(2*ER*($AD18*(ER-1)+ER+1))/($AD18*(ER-1)))</f>
        <v>0.38372788512798173</v>
      </c>
      <c r="AB18" s="56">
        <f t="shared" si="20"/>
        <v>0.53972133333529371</v>
      </c>
      <c r="AC18" s="55">
        <f t="shared" si="21"/>
        <v>0.22310074047981265</v>
      </c>
      <c r="AD18" s="55">
        <f t="shared" si="22"/>
        <v>0.38372788512798173</v>
      </c>
      <c r="AE18" s="61">
        <f t="shared" si="23"/>
        <v>1.062219749479377</v>
      </c>
      <c r="AF18" s="61">
        <f t="shared" si="24"/>
        <v>0.69275201053002855</v>
      </c>
      <c r="AG18" s="61">
        <f t="shared" si="25"/>
        <v>1.5258962181144282</v>
      </c>
      <c r="AH18" s="61">
        <f t="shared" si="26"/>
        <v>0.22907554189497745</v>
      </c>
      <c r="AI18" s="61">
        <f t="shared" si="27"/>
        <v>1.3411623486397539</v>
      </c>
      <c r="AJ18" s="61">
        <f t="shared" si="28"/>
        <v>0.41380941136965166</v>
      </c>
      <c r="AK18" s="299">
        <f t="shared" ref="AK18:AK38" si="36">kRIN*10^6*$AK$7*$AK$7/(SQRT((1/F18)^2+(1/G18)^2+0.477*(1/$T$5)^2))*10^($G$4/10)</f>
        <v>2.5477537367456556E-3</v>
      </c>
      <c r="AL18" s="57">
        <f t="shared" si="29"/>
        <v>6.6999999999999993</v>
      </c>
      <c r="AM18" s="186">
        <f t="shared" ref="AM18:AM38" si="37">$L$3</f>
        <v>0.1</v>
      </c>
      <c r="AN18" s="186">
        <v>0</v>
      </c>
      <c r="AO18" s="58">
        <f t="shared" ref="AO18:AO38" si="38">IF(A18=$L$3,W18,0)</f>
        <v>0</v>
      </c>
      <c r="AP18" s="340">
        <f t="shared" ref="AP18:AP38" si="39">IF($A18=$L$3,I18,0)</f>
        <v>0</v>
      </c>
      <c r="AQ18" s="505">
        <f t="shared" ref="AQ18:AQ38" si="40">IF($A18=$L$3,B_1*Tb_eff*(1+$G$9)/(SQRT(8)*SQRT($H18^2+$AG$8^2)),0)</f>
        <v>0</v>
      </c>
      <c r="AR18" s="341">
        <f t="shared" ref="AR18:AR38" si="41">IF($A18=$L$3,B_1*Tb_eff*(1-$G$9)/(SQRT(8)*SQRT($H18^2+$AG$8^2)),0)</f>
        <v>0</v>
      </c>
    </row>
    <row r="19" spans="1:49" s="74" customFormat="1" ht="15" customHeight="1">
      <c r="A19" s="63">
        <f t="shared" ref="A19:A38" si="42">A18+$L$5</f>
        <v>5.5E-2</v>
      </c>
      <c r="B19" s="64">
        <f t="shared" si="0"/>
        <v>0.19924273155817623</v>
      </c>
      <c r="C19" s="64">
        <f t="shared" si="1"/>
        <v>1.6992427315581762</v>
      </c>
      <c r="D19" s="179">
        <f t="shared" si="2"/>
        <v>-5.9626478984722215</v>
      </c>
      <c r="E19" s="64">
        <f t="shared" si="3"/>
        <v>2.3735249999999996E-3</v>
      </c>
      <c r="F19" s="65">
        <f t="shared" si="4"/>
        <v>52269.83838065726</v>
      </c>
      <c r="G19" s="65">
        <f t="shared" si="5"/>
        <v>80000</v>
      </c>
      <c r="H19" s="66">
        <f t="shared" si="6"/>
        <v>33.712557115733105</v>
      </c>
      <c r="I19" s="66">
        <f t="shared" si="7"/>
        <v>38.32591619266551</v>
      </c>
      <c r="J19" s="648">
        <f t="shared" si="8"/>
        <v>2.4858558105062936</v>
      </c>
      <c r="K19" s="586">
        <f t="shared" si="9"/>
        <v>0.24305060292951453</v>
      </c>
      <c r="L19" s="644">
        <f t="shared" si="10"/>
        <v>1.7265200394377218</v>
      </c>
      <c r="M19" s="594">
        <f t="shared" si="11"/>
        <v>3.8442394151308523</v>
      </c>
      <c r="N19" s="736">
        <f t="shared" si="30"/>
        <v>0</v>
      </c>
      <c r="O19" s="64">
        <f t="shared" si="12"/>
        <v>-0.30485998778274254</v>
      </c>
      <c r="P19" s="64">
        <f t="shared" si="13"/>
        <v>1.8827030525264108E-2</v>
      </c>
      <c r="Q19" s="64">
        <f t="shared" si="14"/>
        <v>1.1681441244420377E-2</v>
      </c>
      <c r="R19" s="644">
        <f t="shared" si="31"/>
        <v>0.66007798254164385</v>
      </c>
      <c r="S19" s="64">
        <f t="shared" si="32"/>
        <v>0.25362970007567998</v>
      </c>
      <c r="T19" s="334">
        <f t="shared" si="33"/>
        <v>5.4661077053639362</v>
      </c>
      <c r="U19" s="602">
        <f t="shared" si="34"/>
        <v>7.8268776839865808</v>
      </c>
      <c r="V19" s="164">
        <f t="shared" si="15"/>
        <v>5.2668649738057596</v>
      </c>
      <c r="W19" s="669">
        <f t="shared" si="16"/>
        <v>1.2338922946360631</v>
      </c>
      <c r="X19" s="659">
        <f t="shared" si="17"/>
        <v>-5.6257189490462149</v>
      </c>
      <c r="Y19" s="72">
        <f t="shared" si="18"/>
        <v>0.87122574836346256</v>
      </c>
      <c r="Z19" s="73">
        <f t="shared" si="19"/>
        <v>0.78208787762055509</v>
      </c>
      <c r="AA19" s="295">
        <f t="shared" si="35"/>
        <v>0.37910753379379147</v>
      </c>
      <c r="AB19" s="69">
        <f t="shared" si="20"/>
        <v>0.53346921018410409</v>
      </c>
      <c r="AC19" s="68">
        <f t="shared" si="21"/>
        <v>0.22013313426925274</v>
      </c>
      <c r="AD19" s="68">
        <f t="shared" si="22"/>
        <v>0.37910753379379147</v>
      </c>
      <c r="AE19" s="23">
        <f t="shared" si="23"/>
        <v>1.0546416953873494</v>
      </c>
      <c r="AF19" s="23">
        <f t="shared" si="24"/>
        <v>0.68780980133957581</v>
      </c>
      <c r="AG19" s="23">
        <f t="shared" si="25"/>
        <v>1.515010218220942</v>
      </c>
      <c r="AH19" s="23">
        <f t="shared" si="26"/>
        <v>0.22744127850598334</v>
      </c>
      <c r="AI19" s="23">
        <f t="shared" si="27"/>
        <v>1.3315942711970552</v>
      </c>
      <c r="AJ19" s="23">
        <f t="shared" si="28"/>
        <v>0.41085722552987014</v>
      </c>
      <c r="AK19" s="289">
        <f t="shared" si="36"/>
        <v>2.4889599576882575E-3</v>
      </c>
      <c r="AL19" s="70">
        <f t="shared" si="29"/>
        <v>6.6999999999999993</v>
      </c>
      <c r="AM19" s="187">
        <f t="shared" si="37"/>
        <v>0.1</v>
      </c>
      <c r="AN19" s="188">
        <f t="shared" ref="AN19:AN37" si="43">AN20</f>
        <v>9</v>
      </c>
      <c r="AO19" s="71">
        <f t="shared" si="38"/>
        <v>0</v>
      </c>
      <c r="AP19" s="342">
        <f t="shared" si="39"/>
        <v>0</v>
      </c>
      <c r="AQ19" s="506">
        <f t="shared" si="40"/>
        <v>0</v>
      </c>
      <c r="AR19" s="343">
        <f t="shared" si="41"/>
        <v>0</v>
      </c>
    </row>
    <row r="20" spans="1:49" s="74" customFormat="1" ht="15" customHeight="1">
      <c r="A20" s="63">
        <f t="shared" si="42"/>
        <v>0.06</v>
      </c>
      <c r="B20" s="64">
        <f t="shared" si="0"/>
        <v>0.21735570715437408</v>
      </c>
      <c r="C20" s="64">
        <f t="shared" si="1"/>
        <v>1.7173557071543741</v>
      </c>
      <c r="D20" s="179">
        <f t="shared" si="2"/>
        <v>-6.5047067983333324</v>
      </c>
      <c r="E20" s="64">
        <f t="shared" si="3"/>
        <v>2.5892999999999992E-3</v>
      </c>
      <c r="F20" s="65">
        <f t="shared" si="4"/>
        <v>47914.018515602489</v>
      </c>
      <c r="G20" s="65">
        <f t="shared" si="5"/>
        <v>73333.333333333343</v>
      </c>
      <c r="H20" s="66">
        <f t="shared" si="6"/>
        <v>34.050096626911795</v>
      </c>
      <c r="I20" s="66">
        <f t="shared" si="7"/>
        <v>38.623159179793717</v>
      </c>
      <c r="J20" s="648">
        <f t="shared" si="8"/>
        <v>2.5410504272182632</v>
      </c>
      <c r="K20" s="586">
        <f t="shared" si="9"/>
        <v>0.24334298749070316</v>
      </c>
      <c r="L20" s="644">
        <f t="shared" si="10"/>
        <v>1.7290784238847654</v>
      </c>
      <c r="M20" s="594">
        <f t="shared" si="11"/>
        <v>3.8528523066679869</v>
      </c>
      <c r="N20" s="736">
        <f t="shared" si="30"/>
        <v>0</v>
      </c>
      <c r="O20" s="64">
        <f t="shared" si="12"/>
        <v>-0.33257453212662819</v>
      </c>
      <c r="P20" s="64">
        <f t="shared" si="13"/>
        <v>2.2212008888521467E-2</v>
      </c>
      <c r="Q20" s="64">
        <f t="shared" si="14"/>
        <v>1.6276742376211573E-2</v>
      </c>
      <c r="R20" s="644">
        <f t="shared" si="31"/>
        <v>0.6617910929201245</v>
      </c>
      <c r="S20" s="64">
        <f t="shared" si="32"/>
        <v>0.26327831554726067</v>
      </c>
      <c r="T20" s="334">
        <f t="shared" si="33"/>
        <v>5.557930709101</v>
      </c>
      <c r="U20" s="602">
        <f t="shared" si="34"/>
        <v>7.9250475793749242</v>
      </c>
      <c r="V20" s="164">
        <f t="shared" si="15"/>
        <v>5.3405750019466263</v>
      </c>
      <c r="W20" s="669">
        <f t="shared" si="16"/>
        <v>1.1420692908989993</v>
      </c>
      <c r="X20" s="659">
        <f t="shared" si="17"/>
        <v>-5.6549646438884746</v>
      </c>
      <c r="Y20" s="72">
        <f t="shared" si="18"/>
        <v>0.86452081408553216</v>
      </c>
      <c r="Z20" s="73">
        <f t="shared" si="19"/>
        <v>0.77852549940995497</v>
      </c>
      <c r="AA20" s="295">
        <f t="shared" si="35"/>
        <v>0.37409948892613087</v>
      </c>
      <c r="AB20" s="69">
        <f t="shared" si="20"/>
        <v>0.52669677424564476</v>
      </c>
      <c r="AC20" s="68">
        <f t="shared" si="21"/>
        <v>0.21690792903096523</v>
      </c>
      <c r="AD20" s="68">
        <f t="shared" si="22"/>
        <v>0.37409948892613087</v>
      </c>
      <c r="AE20" s="23">
        <f t="shared" si="23"/>
        <v>1.0465251959982758</v>
      </c>
      <c r="AF20" s="23">
        <f t="shared" si="24"/>
        <v>0.68251643217278857</v>
      </c>
      <c r="AG20" s="23">
        <f t="shared" si="25"/>
        <v>1.5033507327630735</v>
      </c>
      <c r="AH20" s="23">
        <f t="shared" si="26"/>
        <v>0.22569089540799103</v>
      </c>
      <c r="AI20" s="23">
        <f t="shared" si="27"/>
        <v>1.3213463508503298</v>
      </c>
      <c r="AJ20" s="23">
        <f t="shared" si="28"/>
        <v>0.40769527732073457</v>
      </c>
      <c r="AK20" s="289">
        <f t="shared" si="36"/>
        <v>2.4290158370853599E-3</v>
      </c>
      <c r="AL20" s="70">
        <f t="shared" si="29"/>
        <v>6.6999999999999993</v>
      </c>
      <c r="AM20" s="187">
        <f t="shared" si="37"/>
        <v>0.1</v>
      </c>
      <c r="AN20" s="188">
        <f t="shared" si="43"/>
        <v>9</v>
      </c>
      <c r="AO20" s="71">
        <f t="shared" si="38"/>
        <v>0</v>
      </c>
      <c r="AP20" s="342">
        <f t="shared" si="39"/>
        <v>0</v>
      </c>
      <c r="AQ20" s="506">
        <f t="shared" si="40"/>
        <v>0</v>
      </c>
      <c r="AR20" s="343">
        <f t="shared" si="41"/>
        <v>0</v>
      </c>
    </row>
    <row r="21" spans="1:49" s="74" customFormat="1" ht="15" customHeight="1">
      <c r="A21" s="63">
        <f t="shared" si="42"/>
        <v>6.5000000000000002E-2</v>
      </c>
      <c r="B21" s="64">
        <f t="shared" si="0"/>
        <v>0.23546868275057192</v>
      </c>
      <c r="C21" s="64">
        <f t="shared" si="1"/>
        <v>1.7354686827505719</v>
      </c>
      <c r="D21" s="179">
        <f t="shared" si="2"/>
        <v>-7.0467656981944433</v>
      </c>
      <c r="E21" s="64">
        <f t="shared" si="3"/>
        <v>2.8050749999999998E-3</v>
      </c>
      <c r="F21" s="65">
        <f t="shared" si="4"/>
        <v>44228.324783633063</v>
      </c>
      <c r="G21" s="65">
        <f t="shared" si="5"/>
        <v>67692.307692307688</v>
      </c>
      <c r="H21" s="66">
        <f t="shared" si="6"/>
        <v>34.413232523486904</v>
      </c>
      <c r="I21" s="66">
        <f t="shared" si="7"/>
        <v>38.943676218883475</v>
      </c>
      <c r="J21" s="648">
        <f t="shared" si="8"/>
        <v>2.6011184021205098</v>
      </c>
      <c r="K21" s="586">
        <f t="shared" si="9"/>
        <v>0.2436668806819573</v>
      </c>
      <c r="L21" s="644">
        <f t="shared" si="10"/>
        <v>1.7319537943504173</v>
      </c>
      <c r="M21" s="594">
        <f t="shared" si="11"/>
        <v>3.8626382524171317</v>
      </c>
      <c r="N21" s="736">
        <f t="shared" si="30"/>
        <v>0</v>
      </c>
      <c r="O21" s="64">
        <f t="shared" si="12"/>
        <v>-0.36028907647051384</v>
      </c>
      <c r="P21" s="64">
        <f t="shared" si="13"/>
        <v>2.5824137277234743E-2</v>
      </c>
      <c r="Q21" s="64">
        <f t="shared" si="14"/>
        <v>2.203017531917812E-2</v>
      </c>
      <c r="R21" s="644">
        <f t="shared" si="31"/>
        <v>0.66471557443410167</v>
      </c>
      <c r="S21" s="64">
        <f t="shared" si="32"/>
        <v>0.274833906985673</v>
      </c>
      <c r="T21" s="334">
        <f t="shared" si="33"/>
        <v>5.6592205359604515</v>
      </c>
      <c r="U21" s="602">
        <f t="shared" si="34"/>
        <v>8.0335718747091249</v>
      </c>
      <c r="V21" s="164">
        <f t="shared" si="15"/>
        <v>5.4237518532098798</v>
      </c>
      <c r="W21" s="669">
        <f t="shared" si="16"/>
        <v>1.0407794640395478</v>
      </c>
      <c r="X21" s="659">
        <f t="shared" si="17"/>
        <v>-5.6875333296608224</v>
      </c>
      <c r="Y21" s="72">
        <f t="shared" si="18"/>
        <v>0.85740557283288943</v>
      </c>
      <c r="Z21" s="73">
        <f t="shared" si="19"/>
        <v>0.77469968671511502</v>
      </c>
      <c r="AA21" s="295">
        <f t="shared" si="35"/>
        <v>0.36871667634480043</v>
      </c>
      <c r="AB21" s="69">
        <f t="shared" si="20"/>
        <v>0.51942335340266421</v>
      </c>
      <c r="AC21" s="68">
        <f t="shared" si="21"/>
        <v>0.21343107237473991</v>
      </c>
      <c r="AD21" s="68">
        <f t="shared" si="22"/>
        <v>0.36871667634480043</v>
      </c>
      <c r="AE21" s="23">
        <f t="shared" si="23"/>
        <v>1.0379120092187608</v>
      </c>
      <c r="AF21" s="23">
        <f t="shared" si="24"/>
        <v>0.67689913644701805</v>
      </c>
      <c r="AG21" s="23">
        <f t="shared" si="25"/>
        <v>1.4909777476635058</v>
      </c>
      <c r="AH21" s="23">
        <f t="shared" si="26"/>
        <v>0.22383339800227336</v>
      </c>
      <c r="AI21" s="23">
        <f t="shared" si="27"/>
        <v>1.3104713112776343</v>
      </c>
      <c r="AJ21" s="23">
        <f t="shared" si="28"/>
        <v>0.40433983438814475</v>
      </c>
      <c r="AK21" s="289">
        <f t="shared" si="36"/>
        <v>2.3685307664540033E-3</v>
      </c>
      <c r="AL21" s="70">
        <f t="shared" si="29"/>
        <v>6.6999999999999993</v>
      </c>
      <c r="AM21" s="187">
        <f t="shared" si="37"/>
        <v>0.1</v>
      </c>
      <c r="AN21" s="188">
        <f t="shared" si="43"/>
        <v>9</v>
      </c>
      <c r="AO21" s="71">
        <f t="shared" si="38"/>
        <v>0</v>
      </c>
      <c r="AP21" s="342">
        <f t="shared" si="39"/>
        <v>0</v>
      </c>
      <c r="AQ21" s="506">
        <f t="shared" si="40"/>
        <v>0</v>
      </c>
      <c r="AR21" s="343">
        <f t="shared" si="41"/>
        <v>0</v>
      </c>
    </row>
    <row r="22" spans="1:49" s="74" customFormat="1" ht="15" customHeight="1">
      <c r="A22" s="63">
        <f t="shared" si="42"/>
        <v>7.0000000000000007E-2</v>
      </c>
      <c r="B22" s="64">
        <f t="shared" si="0"/>
        <v>0.25358165834676977</v>
      </c>
      <c r="C22" s="64">
        <f t="shared" si="1"/>
        <v>1.7535816583467698</v>
      </c>
      <c r="D22" s="179">
        <f t="shared" si="2"/>
        <v>-7.5888245980555551</v>
      </c>
      <c r="E22" s="64">
        <f t="shared" si="3"/>
        <v>3.0208499999999998E-3</v>
      </c>
      <c r="F22" s="65">
        <f t="shared" si="4"/>
        <v>41069.158727659269</v>
      </c>
      <c r="G22" s="65">
        <f t="shared" si="5"/>
        <v>62857.142857142848</v>
      </c>
      <c r="H22" s="66">
        <f t="shared" si="6"/>
        <v>34.801163551269482</v>
      </c>
      <c r="I22" s="66">
        <f t="shared" si="7"/>
        <v>39.286897679097301</v>
      </c>
      <c r="J22" s="648">
        <f t="shared" si="8"/>
        <v>2.6660790051752645</v>
      </c>
      <c r="K22" s="586">
        <f t="shared" si="9"/>
        <v>0.24402648661445836</v>
      </c>
      <c r="L22" s="644">
        <f t="shared" si="10"/>
        <v>1.73518212464292</v>
      </c>
      <c r="M22" s="594">
        <f t="shared" si="11"/>
        <v>3.8737293012815148</v>
      </c>
      <c r="N22" s="736">
        <f t="shared" si="30"/>
        <v>0</v>
      </c>
      <c r="O22" s="64">
        <f t="shared" si="12"/>
        <v>-0.3880036208143996</v>
      </c>
      <c r="P22" s="64">
        <f t="shared" si="13"/>
        <v>2.9648111607844585E-2</v>
      </c>
      <c r="Q22" s="64">
        <f t="shared" si="14"/>
        <v>2.9084690814226506E-2</v>
      </c>
      <c r="R22" s="644">
        <f t="shared" si="31"/>
        <v>0.66902857256829307</v>
      </c>
      <c r="S22" s="64">
        <f t="shared" si="32"/>
        <v>0.28859780840801197</v>
      </c>
      <c r="T22" s="334">
        <f t="shared" si="33"/>
        <v>5.7706538599554857</v>
      </c>
      <c r="U22" s="602">
        <f t="shared" si="34"/>
        <v>8.1532275232085389</v>
      </c>
      <c r="V22" s="164">
        <f t="shared" si="15"/>
        <v>5.5170722016087161</v>
      </c>
      <c r="W22" s="669">
        <f t="shared" si="16"/>
        <v>0.92934614004451355</v>
      </c>
      <c r="X22" s="659">
        <f t="shared" si="17"/>
        <v>-5.72389576959743</v>
      </c>
      <c r="Y22" s="72">
        <f t="shared" si="18"/>
        <v>0.84991503501779109</v>
      </c>
      <c r="Z22" s="73">
        <f t="shared" si="19"/>
        <v>0.77062137967315025</v>
      </c>
      <c r="AA22" s="295">
        <f t="shared" si="35"/>
        <v>0.3629726373391815</v>
      </c>
      <c r="AB22" s="69">
        <f t="shared" si="20"/>
        <v>0.51166940674388539</v>
      </c>
      <c r="AC22" s="68">
        <f t="shared" si="21"/>
        <v>0.20970873508617061</v>
      </c>
      <c r="AD22" s="68">
        <f t="shared" si="22"/>
        <v>0.3629726373391815</v>
      </c>
      <c r="AE22" s="23">
        <f t="shared" si="23"/>
        <v>1.0288445160741682</v>
      </c>
      <c r="AF22" s="23">
        <f t="shared" si="24"/>
        <v>0.67098555396141402</v>
      </c>
      <c r="AG22" s="23">
        <f t="shared" si="25"/>
        <v>1.4779521439653123</v>
      </c>
      <c r="AH22" s="23">
        <f t="shared" si="26"/>
        <v>0.22187792607026999</v>
      </c>
      <c r="AI22" s="23">
        <f t="shared" si="27"/>
        <v>1.2990226629089354</v>
      </c>
      <c r="AJ22" s="23">
        <f t="shared" si="28"/>
        <v>0.40080740712664698</v>
      </c>
      <c r="AK22" s="289">
        <f t="shared" si="36"/>
        <v>2.3080265292079231E-3</v>
      </c>
      <c r="AL22" s="70">
        <f t="shared" si="29"/>
        <v>6.6999999999999993</v>
      </c>
      <c r="AM22" s="187">
        <f t="shared" si="37"/>
        <v>0.1</v>
      </c>
      <c r="AN22" s="188">
        <f t="shared" si="43"/>
        <v>9</v>
      </c>
      <c r="AO22" s="71">
        <f t="shared" si="38"/>
        <v>0</v>
      </c>
      <c r="AP22" s="342">
        <f t="shared" si="39"/>
        <v>0</v>
      </c>
      <c r="AQ22" s="506">
        <f t="shared" si="40"/>
        <v>0</v>
      </c>
      <c r="AR22" s="343">
        <f t="shared" si="41"/>
        <v>0</v>
      </c>
    </row>
    <row r="23" spans="1:49" s="62" customFormat="1" ht="15" customHeight="1">
      <c r="A23" s="51">
        <f t="shared" si="42"/>
        <v>7.5000000000000011E-2</v>
      </c>
      <c r="B23" s="52">
        <f t="shared" si="0"/>
        <v>0.27169463394296767</v>
      </c>
      <c r="C23" s="52">
        <f t="shared" si="1"/>
        <v>1.7716946339429676</v>
      </c>
      <c r="D23" s="176">
        <f t="shared" si="2"/>
        <v>-8.1308834979166669</v>
      </c>
      <c r="E23" s="52">
        <f t="shared" si="3"/>
        <v>3.2366249999999999E-3</v>
      </c>
      <c r="F23" s="53">
        <f t="shared" si="4"/>
        <v>38331.21481248198</v>
      </c>
      <c r="G23" s="53">
        <f t="shared" si="5"/>
        <v>58666.666666666657</v>
      </c>
      <c r="H23" s="54">
        <f t="shared" si="6"/>
        <v>35.213070239925429</v>
      </c>
      <c r="I23" s="54">
        <f t="shared" si="7"/>
        <v>39.652233990628766</v>
      </c>
      <c r="J23" s="647">
        <f t="shared" si="8"/>
        <v>2.7359567563356202</v>
      </c>
      <c r="K23" s="585">
        <f t="shared" si="9"/>
        <v>0.24442445639854427</v>
      </c>
      <c r="L23" s="247">
        <f t="shared" si="10"/>
        <v>1.7388034522083697</v>
      </c>
      <c r="M23" s="593">
        <f t="shared" si="11"/>
        <v>3.8862778166296028</v>
      </c>
      <c r="N23" s="735">
        <f t="shared" si="30"/>
        <v>0</v>
      </c>
      <c r="O23" s="52">
        <f t="shared" si="12"/>
        <v>-0.41571816515828536</v>
      </c>
      <c r="P23" s="52">
        <f t="shared" si="13"/>
        <v>3.3667964518255634E-2</v>
      </c>
      <c r="Q23" s="52">
        <f t="shared" si="14"/>
        <v>3.7579535744960896E-2</v>
      </c>
      <c r="R23" s="247">
        <f t="shared" si="31"/>
        <v>0.6749107187510639</v>
      </c>
      <c r="S23" s="52">
        <f t="shared" si="32"/>
        <v>0.30492572066813972</v>
      </c>
      <c r="T23" s="277">
        <f t="shared" si="33"/>
        <v>5.8929708176511229</v>
      </c>
      <c r="U23" s="601">
        <f t="shared" si="34"/>
        <v>8.284869638470898</v>
      </c>
      <c r="V23" s="177">
        <f t="shared" si="15"/>
        <v>5.6212761837081553</v>
      </c>
      <c r="W23" s="668">
        <f t="shared" si="16"/>
        <v>0.80702918234887644</v>
      </c>
      <c r="X23" s="658">
        <f t="shared" si="17"/>
        <v>-5.7645496924371971</v>
      </c>
      <c r="Y23" s="59">
        <f t="shared" si="18"/>
        <v>0.84208433311882835</v>
      </c>
      <c r="Z23" s="60">
        <f t="shared" si="19"/>
        <v>0.76630193903877475</v>
      </c>
      <c r="AA23" s="294">
        <f t="shared" si="35"/>
        <v>0.35688145360035883</v>
      </c>
      <c r="AB23" s="56">
        <f t="shared" si="20"/>
        <v>0.50345641471500446</v>
      </c>
      <c r="AC23" s="55">
        <f t="shared" si="21"/>
        <v>0.20574727742215959</v>
      </c>
      <c r="AD23" s="55">
        <f t="shared" si="22"/>
        <v>0.35688145360035883</v>
      </c>
      <c r="AE23" s="61">
        <f t="shared" si="23"/>
        <v>1.0193652453543711</v>
      </c>
      <c r="AF23" s="61">
        <f t="shared" si="24"/>
        <v>0.66480342088328559</v>
      </c>
      <c r="AG23" s="61">
        <f t="shared" si="25"/>
        <v>1.464335014977727</v>
      </c>
      <c r="AH23" s="61">
        <f t="shared" si="26"/>
        <v>0.21983365125992965</v>
      </c>
      <c r="AI23" s="61">
        <f t="shared" si="27"/>
        <v>1.2870541027421842</v>
      </c>
      <c r="AJ23" s="61">
        <f t="shared" si="28"/>
        <v>0.39711456349547242</v>
      </c>
      <c r="AK23" s="299">
        <f t="shared" si="36"/>
        <v>2.2479399986829493E-3</v>
      </c>
      <c r="AL23" s="57">
        <f t="shared" si="29"/>
        <v>6.6999999999999993</v>
      </c>
      <c r="AM23" s="186">
        <f t="shared" si="37"/>
        <v>0.1</v>
      </c>
      <c r="AN23" s="189">
        <f t="shared" si="43"/>
        <v>9</v>
      </c>
      <c r="AO23" s="58">
        <f t="shared" si="38"/>
        <v>0</v>
      </c>
      <c r="AP23" s="340">
        <f t="shared" si="39"/>
        <v>0</v>
      </c>
      <c r="AQ23" s="505">
        <f t="shared" si="40"/>
        <v>0</v>
      </c>
      <c r="AR23" s="341">
        <f t="shared" si="41"/>
        <v>0</v>
      </c>
    </row>
    <row r="24" spans="1:49" s="74" customFormat="1" ht="15" customHeight="1">
      <c r="A24" s="63">
        <f t="shared" si="42"/>
        <v>8.0000000000000016E-2</v>
      </c>
      <c r="B24" s="64">
        <f t="shared" si="0"/>
        <v>0.28980760953916551</v>
      </c>
      <c r="C24" s="64">
        <f t="shared" si="1"/>
        <v>1.7898076095391655</v>
      </c>
      <c r="D24" s="179">
        <f t="shared" si="2"/>
        <v>-8.6729423977777778</v>
      </c>
      <c r="E24" s="64">
        <f t="shared" si="3"/>
        <v>3.4524E-3</v>
      </c>
      <c r="F24" s="65">
        <f t="shared" si="4"/>
        <v>35935.513886701861</v>
      </c>
      <c r="G24" s="65">
        <f t="shared" si="5"/>
        <v>54999.999999999993</v>
      </c>
      <c r="H24" s="66">
        <f t="shared" si="6"/>
        <v>35.648121497699144</v>
      </c>
      <c r="I24" s="66">
        <f t="shared" si="7"/>
        <v>40.039079797622392</v>
      </c>
      <c r="J24" s="648">
        <f t="shared" si="8"/>
        <v>2.810777300984288</v>
      </c>
      <c r="K24" s="586">
        <f t="shared" si="9"/>
        <v>0.24486636630308212</v>
      </c>
      <c r="L24" s="644">
        <f t="shared" si="10"/>
        <v>1.7428672057315691</v>
      </c>
      <c r="M24" s="594">
        <f t="shared" si="11"/>
        <v>3.9004587644721722</v>
      </c>
      <c r="N24" s="736">
        <f t="shared" si="30"/>
        <v>0</v>
      </c>
      <c r="O24" s="64">
        <f t="shared" si="12"/>
        <v>-0.44343270950217101</v>
      </c>
      <c r="P24" s="64">
        <f t="shared" si="13"/>
        <v>3.7867175968815753E-2</v>
      </c>
      <c r="Q24" s="64">
        <f t="shared" si="14"/>
        <v>4.7648266426634021E-2</v>
      </c>
      <c r="R24" s="644">
        <f t="shared" si="31"/>
        <v>0.68255056121606961</v>
      </c>
      <c r="S24" s="64">
        <f t="shared" si="32"/>
        <v>0.3242432001935045</v>
      </c>
      <c r="T24" s="334">
        <f t="shared" si="33"/>
        <v>6.0269941440912316</v>
      </c>
      <c r="U24" s="602">
        <f t="shared" si="34"/>
        <v>8.4294520691349177</v>
      </c>
      <c r="V24" s="164">
        <f t="shared" si="15"/>
        <v>5.7371865345520661</v>
      </c>
      <c r="W24" s="669">
        <f t="shared" si="16"/>
        <v>0.67300585590876771</v>
      </c>
      <c r="X24" s="659">
        <f t="shared" si="17"/>
        <v>-5.8100299809427556</v>
      </c>
      <c r="Y24" s="72">
        <f t="shared" si="18"/>
        <v>0.83394836208631251</v>
      </c>
      <c r="Z24" s="73">
        <f t="shared" si="19"/>
        <v>0.76175336543935823</v>
      </c>
      <c r="AA24" s="295">
        <f t="shared" si="35"/>
        <v>0.35045765392559436</v>
      </c>
      <c r="AB24" s="69">
        <f t="shared" si="20"/>
        <v>0.49480677023838471</v>
      </c>
      <c r="AC24" s="68">
        <f t="shared" si="21"/>
        <v>0.20155322743551918</v>
      </c>
      <c r="AD24" s="68">
        <f t="shared" si="22"/>
        <v>0.35045765392559436</v>
      </c>
      <c r="AE24" s="23">
        <f t="shared" si="23"/>
        <v>1.0095164383150099</v>
      </c>
      <c r="AF24" s="23">
        <f t="shared" si="24"/>
        <v>0.65838028585761521</v>
      </c>
      <c r="AG24" s="23">
        <f t="shared" si="25"/>
        <v>1.4501870409623072</v>
      </c>
      <c r="AH24" s="23">
        <f t="shared" si="26"/>
        <v>0.21770968321031797</v>
      </c>
      <c r="AI24" s="23">
        <f t="shared" si="27"/>
        <v>1.2746189647336099</v>
      </c>
      <c r="AJ24" s="23">
        <f t="shared" si="28"/>
        <v>0.39327775943901527</v>
      </c>
      <c r="AK24" s="289">
        <f t="shared" si="36"/>
        <v>2.1886287929807572E-3</v>
      </c>
      <c r="AL24" s="70">
        <f t="shared" si="29"/>
        <v>6.6999999999999993</v>
      </c>
      <c r="AM24" s="187">
        <f t="shared" si="37"/>
        <v>0.1</v>
      </c>
      <c r="AN24" s="188">
        <f t="shared" si="43"/>
        <v>9</v>
      </c>
      <c r="AO24" s="71">
        <f t="shared" si="38"/>
        <v>0</v>
      </c>
      <c r="AP24" s="342">
        <f t="shared" si="39"/>
        <v>0</v>
      </c>
      <c r="AQ24" s="506">
        <f t="shared" si="40"/>
        <v>0</v>
      </c>
      <c r="AR24" s="343">
        <f t="shared" si="41"/>
        <v>0</v>
      </c>
    </row>
    <row r="25" spans="1:49" s="74" customFormat="1" ht="15" customHeight="1">
      <c r="A25" s="63">
        <f t="shared" si="42"/>
        <v>8.500000000000002E-2</v>
      </c>
      <c r="B25" s="64">
        <f t="shared" si="0"/>
        <v>0.30792058513536336</v>
      </c>
      <c r="C25" s="64">
        <f t="shared" si="1"/>
        <v>1.8079205851353635</v>
      </c>
      <c r="D25" s="179">
        <f t="shared" si="2"/>
        <v>-9.2150012976388904</v>
      </c>
      <c r="E25" s="64">
        <f t="shared" si="3"/>
        <v>3.6681750000000001E-3</v>
      </c>
      <c r="F25" s="65">
        <f t="shared" si="4"/>
        <v>33821.660128660573</v>
      </c>
      <c r="G25" s="65">
        <f t="shared" si="5"/>
        <v>51764.70588235293</v>
      </c>
      <c r="H25" s="66">
        <f t="shared" si="6"/>
        <v>36.1054806961575</v>
      </c>
      <c r="I25" s="66">
        <f t="shared" si="7"/>
        <v>40.446817934495847</v>
      </c>
      <c r="J25" s="648">
        <f t="shared" si="8"/>
        <v>2.8905700990703327</v>
      </c>
      <c r="K25" s="586">
        <f t="shared" si="9"/>
        <v>0.24535972419591356</v>
      </c>
      <c r="L25" s="644">
        <f t="shared" si="10"/>
        <v>1.7474310967124032</v>
      </c>
      <c r="M25" s="594">
        <f t="shared" si="11"/>
        <v>3.9164715842875495</v>
      </c>
      <c r="N25" s="736">
        <f t="shared" si="30"/>
        <v>0</v>
      </c>
      <c r="O25" s="64">
        <f t="shared" si="12"/>
        <v>-0.47114725384605682</v>
      </c>
      <c r="P25" s="64">
        <f t="shared" si="13"/>
        <v>4.2228785685412357E-2</v>
      </c>
      <c r="Q25" s="64">
        <f t="shared" si="14"/>
        <v>5.9416968495259258E-2</v>
      </c>
      <c r="R25" s="644">
        <f t="shared" si="31"/>
        <v>0.6921500664149145</v>
      </c>
      <c r="S25" s="64">
        <f t="shared" si="32"/>
        <v>0.3470663992339138</v>
      </c>
      <c r="T25" s="334">
        <f t="shared" si="33"/>
        <v>6.1736552150621877</v>
      </c>
      <c r="U25" s="602">
        <f t="shared" si="34"/>
        <v>8.5880554268332467</v>
      </c>
      <c r="V25" s="164">
        <f t="shared" si="15"/>
        <v>5.8657346299268243</v>
      </c>
      <c r="W25" s="669">
        <f t="shared" si="16"/>
        <v>0.52634478493781156</v>
      </c>
      <c r="X25" s="659">
        <f t="shared" si="17"/>
        <v>-5.860922763326629</v>
      </c>
      <c r="Y25" s="72">
        <f t="shared" si="18"/>
        <v>0.82554145719811023</v>
      </c>
      <c r="Z25" s="73">
        <f t="shared" si="19"/>
        <v>0.75698808870886591</v>
      </c>
      <c r="AA25" s="295">
        <f t="shared" si="35"/>
        <v>0.34371610397902197</v>
      </c>
      <c r="AB25" s="69">
        <f t="shared" si="20"/>
        <v>0.4857435222520583</v>
      </c>
      <c r="AC25" s="68">
        <f t="shared" si="21"/>
        <v>0.19713323972410146</v>
      </c>
      <c r="AD25" s="68">
        <f t="shared" si="22"/>
        <v>0.34371610397902197</v>
      </c>
      <c r="AE25" s="23">
        <f t="shared" si="23"/>
        <v>0.99933965871350172</v>
      </c>
      <c r="AF25" s="23">
        <f t="shared" si="24"/>
        <v>0.65174325568271863</v>
      </c>
      <c r="AG25" s="23">
        <f t="shared" si="25"/>
        <v>1.4355679289432206</v>
      </c>
      <c r="AH25" s="23">
        <f t="shared" si="26"/>
        <v>0.21551498545300002</v>
      </c>
      <c r="AI25" s="23">
        <f t="shared" si="27"/>
        <v>1.261769727427829</v>
      </c>
      <c r="AJ25" s="23">
        <f t="shared" si="28"/>
        <v>0.38931318696839157</v>
      </c>
      <c r="AK25" s="289">
        <f t="shared" si="36"/>
        <v>2.130378721807102E-3</v>
      </c>
      <c r="AL25" s="70">
        <f t="shared" si="29"/>
        <v>6.6999999999999993</v>
      </c>
      <c r="AM25" s="187">
        <f t="shared" si="37"/>
        <v>0.1</v>
      </c>
      <c r="AN25" s="188">
        <f t="shared" si="43"/>
        <v>9</v>
      </c>
      <c r="AO25" s="71">
        <f t="shared" si="38"/>
        <v>0</v>
      </c>
      <c r="AP25" s="342">
        <f t="shared" si="39"/>
        <v>0</v>
      </c>
      <c r="AQ25" s="506">
        <f t="shared" si="40"/>
        <v>0</v>
      </c>
      <c r="AR25" s="343">
        <f t="shared" si="41"/>
        <v>0</v>
      </c>
    </row>
    <row r="26" spans="1:49" s="74" customFormat="1" ht="15" customHeight="1">
      <c r="A26" s="63">
        <f t="shared" si="42"/>
        <v>9.0000000000000024E-2</v>
      </c>
      <c r="B26" s="64">
        <f t="shared" si="0"/>
        <v>0.3260335607315612</v>
      </c>
      <c r="C26" s="64">
        <f t="shared" si="1"/>
        <v>1.8260335607315612</v>
      </c>
      <c r="D26" s="179">
        <f t="shared" si="2"/>
        <v>-9.7570601975000013</v>
      </c>
      <c r="E26" s="64">
        <f t="shared" si="3"/>
        <v>3.8839500000000002E-3</v>
      </c>
      <c r="F26" s="65">
        <f t="shared" si="4"/>
        <v>31942.679010401651</v>
      </c>
      <c r="G26" s="65">
        <f t="shared" si="5"/>
        <v>48888.888888888876</v>
      </c>
      <c r="H26" s="66">
        <f t="shared" si="6"/>
        <v>36.58431119591522</v>
      </c>
      <c r="I26" s="66">
        <f t="shared" si="7"/>
        <v>40.874823185002541</v>
      </c>
      <c r="J26" s="648">
        <f t="shared" si="8"/>
        <v>2.9753721403815847</v>
      </c>
      <c r="K26" s="586">
        <f t="shared" si="9"/>
        <v>0.24590966440115913</v>
      </c>
      <c r="L26" s="644">
        <f t="shared" si="10"/>
        <v>1.752558031608821</v>
      </c>
      <c r="M26" s="594">
        <f t="shared" si="11"/>
        <v>3.9345437444335065</v>
      </c>
      <c r="N26" s="736">
        <f t="shared" si="30"/>
        <v>0</v>
      </c>
      <c r="O26" s="64">
        <f t="shared" si="12"/>
        <v>-0.49886179818994247</v>
      </c>
      <c r="P26" s="64">
        <f t="shared" si="13"/>
        <v>4.6735506380884376E-2</v>
      </c>
      <c r="Q26" s="64">
        <f t="shared" si="14"/>
        <v>7.3002692367097277E-2</v>
      </c>
      <c r="R26" s="644">
        <f t="shared" si="31"/>
        <v>0.70393074224425767</v>
      </c>
      <c r="S26" s="64">
        <f t="shared" si="32"/>
        <v>0.37402977722341901</v>
      </c>
      <c r="T26" s="334">
        <f t="shared" si="33"/>
        <v>6.3340269445567419</v>
      </c>
      <c r="U26" s="602">
        <f t="shared" si="34"/>
        <v>8.7619223217825848</v>
      </c>
      <c r="V26" s="164">
        <f t="shared" si="15"/>
        <v>6.0079933838251804</v>
      </c>
      <c r="W26" s="669">
        <f t="shared" si="16"/>
        <v>0.36597305544325742</v>
      </c>
      <c r="X26" s="659">
        <f t="shared" si="17"/>
        <v>-5.9178838276187609</v>
      </c>
      <c r="Y26" s="72">
        <f t="shared" si="18"/>
        <v>0.81689711208149618</v>
      </c>
      <c r="Z26" s="73">
        <f t="shared" si="19"/>
        <v>0.75201871352319138</v>
      </c>
      <c r="AA26" s="295">
        <f t="shared" si="35"/>
        <v>0.33667198750343297</v>
      </c>
      <c r="AB26" s="69">
        <f t="shared" si="20"/>
        <v>0.47629039063619771</v>
      </c>
      <c r="AC26" s="68">
        <f t="shared" si="21"/>
        <v>0.19249410987601046</v>
      </c>
      <c r="AD26" s="68">
        <f t="shared" si="22"/>
        <v>0.33667198750343297</v>
      </c>
      <c r="AE26" s="23">
        <f t="shared" si="23"/>
        <v>0.98887545146707423</v>
      </c>
      <c r="AF26" s="23">
        <f t="shared" si="24"/>
        <v>0.64491877269591802</v>
      </c>
      <c r="AG26" s="23">
        <f t="shared" si="25"/>
        <v>1.4205359223638707</v>
      </c>
      <c r="AH26" s="23">
        <f t="shared" si="26"/>
        <v>0.21325830179912181</v>
      </c>
      <c r="AI26" s="23">
        <f t="shared" si="27"/>
        <v>1.2485575829782927</v>
      </c>
      <c r="AJ26" s="23">
        <f t="shared" si="28"/>
        <v>0.38523664118469986</v>
      </c>
      <c r="AK26" s="289">
        <f t="shared" si="36"/>
        <v>2.0734120998221737E-3</v>
      </c>
      <c r="AL26" s="70">
        <f t="shared" si="29"/>
        <v>6.6999999999999993</v>
      </c>
      <c r="AM26" s="187">
        <f t="shared" si="37"/>
        <v>0.1</v>
      </c>
      <c r="AN26" s="188">
        <f t="shared" si="43"/>
        <v>9</v>
      </c>
      <c r="AO26" s="71">
        <f t="shared" si="38"/>
        <v>0</v>
      </c>
      <c r="AP26" s="342">
        <f t="shared" si="39"/>
        <v>0</v>
      </c>
      <c r="AQ26" s="506">
        <f t="shared" si="40"/>
        <v>0</v>
      </c>
      <c r="AR26" s="343">
        <f t="shared" si="41"/>
        <v>0</v>
      </c>
    </row>
    <row r="27" spans="1:49" s="74" customFormat="1" ht="15" customHeight="1">
      <c r="A27" s="63">
        <f t="shared" si="42"/>
        <v>9.5000000000000029E-2</v>
      </c>
      <c r="B27" s="64">
        <f t="shared" si="0"/>
        <v>0.34414653632775905</v>
      </c>
      <c r="C27" s="64">
        <f t="shared" si="1"/>
        <v>1.8441465363277589</v>
      </c>
      <c r="D27" s="179">
        <f t="shared" si="2"/>
        <v>-10.299119097361112</v>
      </c>
      <c r="E27" s="64">
        <f t="shared" si="3"/>
        <v>4.0997250000000002E-3</v>
      </c>
      <c r="F27" s="65">
        <f t="shared" si="4"/>
        <v>30261.485378275247</v>
      </c>
      <c r="G27" s="65">
        <f t="shared" si="5"/>
        <v>46315.789473684199</v>
      </c>
      <c r="H27" s="66">
        <f t="shared" si="6"/>
        <v>37.083781285780674</v>
      </c>
      <c r="I27" s="66">
        <f t="shared" si="7"/>
        <v>41.322465792559747</v>
      </c>
      <c r="J27" s="648">
        <f t="shared" si="8"/>
        <v>3.0652225618395921</v>
      </c>
      <c r="K27" s="586">
        <f t="shared" si="9"/>
        <v>0.24652616560813811</v>
      </c>
      <c r="L27" s="644">
        <f t="shared" si="10"/>
        <v>1.7583234722614005</v>
      </c>
      <c r="M27" s="594">
        <f t="shared" si="11"/>
        <v>3.9549334803075364</v>
      </c>
      <c r="N27" s="736">
        <f t="shared" si="30"/>
        <v>0</v>
      </c>
      <c r="O27" s="64">
        <f t="shared" si="12"/>
        <v>-0.52657634253382812</v>
      </c>
      <c r="P27" s="64">
        <f t="shared" si="13"/>
        <v>5.1369836706903128E-2</v>
      </c>
      <c r="Q27" s="64">
        <f t="shared" si="14"/>
        <v>8.8512105287009424E-2</v>
      </c>
      <c r="R27" s="644">
        <f t="shared" si="31"/>
        <v>0.71814138828494301</v>
      </c>
      <c r="S27" s="64">
        <f t="shared" si="32"/>
        <v>0.40592442112803062</v>
      </c>
      <c r="T27" s="334">
        <f t="shared" si="33"/>
        <v>6.5093704851287351</v>
      </c>
      <c r="U27" s="602">
        <f t="shared" si="34"/>
        <v>8.9525066587830082</v>
      </c>
      <c r="V27" s="164">
        <f t="shared" si="15"/>
        <v>6.1652239488009757</v>
      </c>
      <c r="W27" s="669">
        <f t="shared" si="16"/>
        <v>0.19062951487126423</v>
      </c>
      <c r="X27" s="659">
        <f t="shared" si="17"/>
        <v>-5.9816641841278617</v>
      </c>
      <c r="Y27" s="72">
        <f t="shared" si="18"/>
        <v>0.80804773810672348</v>
      </c>
      <c r="Z27" s="73">
        <f t="shared" si="19"/>
        <v>0.74685830811285103</v>
      </c>
      <c r="AA27" s="295">
        <f t="shared" si="35"/>
        <v>0.32934069419778966</v>
      </c>
      <c r="AB27" s="69">
        <f t="shared" si="20"/>
        <v>0.46647151336547266</v>
      </c>
      <c r="AC27" s="68">
        <f t="shared" si="21"/>
        <v>0.18764274572086603</v>
      </c>
      <c r="AD27" s="68">
        <f t="shared" si="22"/>
        <v>0.32934069419778966</v>
      </c>
      <c r="AE27" s="23">
        <f t="shared" si="23"/>
        <v>0.97816305139234938</v>
      </c>
      <c r="AF27" s="23">
        <f t="shared" si="24"/>
        <v>0.63793242482109747</v>
      </c>
      <c r="AG27" s="23">
        <f t="shared" si="25"/>
        <v>1.4051473826864989</v>
      </c>
      <c r="AH27" s="23">
        <f t="shared" si="26"/>
        <v>0.21094809352694824</v>
      </c>
      <c r="AI27" s="23">
        <f t="shared" si="27"/>
        <v>1.235032069400873</v>
      </c>
      <c r="AJ27" s="23">
        <f t="shared" si="28"/>
        <v>0.38106340681257417</v>
      </c>
      <c r="AK27" s="289">
        <f t="shared" si="36"/>
        <v>2.0178962407603777E-3</v>
      </c>
      <c r="AL27" s="70">
        <f t="shared" si="29"/>
        <v>6.6999999999999993</v>
      </c>
      <c r="AM27" s="187">
        <f t="shared" si="37"/>
        <v>0.1</v>
      </c>
      <c r="AN27" s="188">
        <f t="shared" si="43"/>
        <v>9</v>
      </c>
      <c r="AO27" s="71">
        <f t="shared" si="38"/>
        <v>0</v>
      </c>
      <c r="AP27" s="342">
        <f t="shared" si="39"/>
        <v>0</v>
      </c>
      <c r="AQ27" s="506">
        <f t="shared" si="40"/>
        <v>0</v>
      </c>
      <c r="AR27" s="343">
        <f t="shared" si="41"/>
        <v>0</v>
      </c>
    </row>
    <row r="28" spans="1:49" s="673" customFormat="1" ht="15" customHeight="1">
      <c r="A28" s="671">
        <f t="shared" si="42"/>
        <v>0.10000000000000003</v>
      </c>
      <c r="B28" s="672">
        <f t="shared" si="0"/>
        <v>0.36225951192395695</v>
      </c>
      <c r="C28" s="674">
        <f>$L$7+B28</f>
        <v>1.8622595119239569</v>
      </c>
      <c r="D28" s="675">
        <f t="shared" si="2"/>
        <v>-10.841177997222225</v>
      </c>
      <c r="E28" s="674">
        <f t="shared" si="3"/>
        <v>4.3155000000000008E-3</v>
      </c>
      <c r="F28" s="676">
        <f t="shared" si="4"/>
        <v>28748.411109361481</v>
      </c>
      <c r="G28" s="676">
        <f t="shared" si="5"/>
        <v>43999.999999999985</v>
      </c>
      <c r="H28" s="677">
        <f t="shared" si="6"/>
        <v>37.603068526607643</v>
      </c>
      <c r="I28" s="677">
        <f t="shared" si="7"/>
        <v>41.789114699194137</v>
      </c>
      <c r="J28" s="678">
        <f t="shared" si="8"/>
        <v>3.1601707620450958</v>
      </c>
      <c r="K28" s="679">
        <f t="shared" si="9"/>
        <v>0.24721643030870188</v>
      </c>
      <c r="L28" s="680">
        <f t="shared" si="10"/>
        <v>1.7648088911997948</v>
      </c>
      <c r="M28" s="681">
        <f t="shared" si="11"/>
        <v>3.9779341210299237</v>
      </c>
      <c r="N28" s="737">
        <f t="shared" si="30"/>
        <v>0</v>
      </c>
      <c r="O28" s="674">
        <f t="shared" si="12"/>
        <v>-0.55429088687771388</v>
      </c>
      <c r="P28" s="674">
        <f t="shared" si="13"/>
        <v>5.6114172916749638E-2</v>
      </c>
      <c r="Q28" s="674">
        <f t="shared" si="14"/>
        <v>0.10604035448524393</v>
      </c>
      <c r="R28" s="680">
        <f t="shared" si="31"/>
        <v>0.73506712489448944</v>
      </c>
      <c r="S28" s="674">
        <f t="shared" si="32"/>
        <v>0.44375141178728328</v>
      </c>
      <c r="T28" s="682">
        <f>J28+L28+B28+Q28+N28+R28+S28+Pmn</f>
        <v>6.7011980563358646</v>
      </c>
      <c r="U28" s="683">
        <f t="shared" si="34"/>
        <v>9.1615397164746959</v>
      </c>
      <c r="V28" s="674">
        <f t="shared" si="15"/>
        <v>6.3389385444119073</v>
      </c>
      <c r="W28" s="684">
        <f t="shared" si="16"/>
        <v>-1.1980563358653384E-3</v>
      </c>
      <c r="X28" s="685">
        <f t="shared" si="17"/>
        <v>-6.0531446408614675</v>
      </c>
      <c r="Y28" s="686">
        <f t="shared" si="18"/>
        <v>0.79902446503166202</v>
      </c>
      <c r="Z28" s="687">
        <f t="shared" si="19"/>
        <v>0.74151990441208859</v>
      </c>
      <c r="AA28" s="688">
        <f t="shared" si="35"/>
        <v>0.32173776061178105</v>
      </c>
      <c r="AB28" s="689">
        <f t="shared" si="20"/>
        <v>0.45631135997243422</v>
      </c>
      <c r="AC28" s="690">
        <f t="shared" si="21"/>
        <v>0.18258616574459197</v>
      </c>
      <c r="AD28" s="690">
        <f t="shared" si="22"/>
        <v>0.32173776061178105</v>
      </c>
      <c r="AE28" s="691">
        <f t="shared" si="23"/>
        <v>0.96724014188043295</v>
      </c>
      <c r="AF28" s="691">
        <f t="shared" si="24"/>
        <v>0.6308087881828911</v>
      </c>
      <c r="AG28" s="691">
        <f t="shared" si="25"/>
        <v>1.389456442724962</v>
      </c>
      <c r="AH28" s="691">
        <f t="shared" si="26"/>
        <v>0.20859248733836205</v>
      </c>
      <c r="AI28" s="691">
        <f t="shared" si="27"/>
        <v>1.2212407658761912</v>
      </c>
      <c r="AJ28" s="691">
        <f t="shared" si="28"/>
        <v>0.37680816418713292</v>
      </c>
      <c r="AK28" s="692">
        <f t="shared" si="36"/>
        <v>1.9639516599374409E-3</v>
      </c>
      <c r="AL28" s="693">
        <f t="shared" si="29"/>
        <v>6.6999999999999993</v>
      </c>
      <c r="AM28" s="694">
        <f t="shared" si="37"/>
        <v>0.1</v>
      </c>
      <c r="AN28" s="695">
        <f t="shared" si="43"/>
        <v>9</v>
      </c>
      <c r="AO28" s="696">
        <f t="shared" si="38"/>
        <v>-1.1980563358653384E-3</v>
      </c>
      <c r="AP28" s="697">
        <f t="shared" si="39"/>
        <v>41.789114699194137</v>
      </c>
      <c r="AQ28" s="698">
        <f t="shared" si="40"/>
        <v>1.2364981983095391</v>
      </c>
      <c r="AR28" s="699">
        <f t="shared" si="41"/>
        <v>0.38151577407542081</v>
      </c>
      <c r="AS28" s="700"/>
      <c r="AT28" s="700"/>
      <c r="AU28" s="700"/>
      <c r="AV28" s="700"/>
      <c r="AW28" s="700"/>
    </row>
    <row r="29" spans="1:49" s="74" customFormat="1" ht="15" customHeight="1">
      <c r="A29" s="63">
        <f t="shared" si="42"/>
        <v>0.10500000000000004</v>
      </c>
      <c r="B29" s="64">
        <f t="shared" si="0"/>
        <v>0.38037248752015479</v>
      </c>
      <c r="C29" s="64">
        <f t="shared" si="1"/>
        <v>1.8803724875201548</v>
      </c>
      <c r="D29" s="179">
        <f t="shared" si="2"/>
        <v>-11.383236897083336</v>
      </c>
      <c r="E29" s="64">
        <f t="shared" si="3"/>
        <v>4.5312750000000004E-3</v>
      </c>
      <c r="F29" s="65">
        <f t="shared" si="4"/>
        <v>27379.43915177284</v>
      </c>
      <c r="G29" s="65">
        <f t="shared" si="5"/>
        <v>41904.761904761886</v>
      </c>
      <c r="H29" s="66">
        <f t="shared" si="6"/>
        <v>38.14136350702433</v>
      </c>
      <c r="I29" s="66">
        <f t="shared" si="7"/>
        <v>42.274140498662071</v>
      </c>
      <c r="J29" s="648">
        <f t="shared" si="8"/>
        <v>3.2602713801098862</v>
      </c>
      <c r="K29" s="586">
        <f t="shared" si="9"/>
        <v>0.2479924035668617</v>
      </c>
      <c r="L29" s="644">
        <f t="shared" si="10"/>
        <v>1.7721085062254911</v>
      </c>
      <c r="M29" s="594">
        <f t="shared" si="11"/>
        <v>4.0038774431555488</v>
      </c>
      <c r="N29" s="736">
        <f t="shared" si="30"/>
        <v>0</v>
      </c>
      <c r="O29" s="64">
        <f t="shared" si="12"/>
        <v>-0.58200543122159953</v>
      </c>
      <c r="P29" s="64">
        <f t="shared" si="13"/>
        <v>6.095091825933268E-2</v>
      </c>
      <c r="Q29" s="64">
        <f t="shared" si="14"/>
        <v>0.12567013097305393</v>
      </c>
      <c r="R29" s="644">
        <f t="shared" si="31"/>
        <v>0.75504035480223397</v>
      </c>
      <c r="S29" s="64">
        <f t="shared" si="32"/>
        <v>0.48879801337238282</v>
      </c>
      <c r="T29" s="334">
        <f t="shared" si="33"/>
        <v>6.9113608730032032</v>
      </c>
      <c r="U29" s="602">
        <f t="shared" si="34"/>
        <v>9.3911222135001218</v>
      </c>
      <c r="V29" s="164">
        <f t="shared" si="15"/>
        <v>6.5309883854830488</v>
      </c>
      <c r="W29" s="669">
        <f t="shared" si="16"/>
        <v>-0.21136087300320394</v>
      </c>
      <c r="X29" s="659">
        <f t="shared" si="17"/>
        <v>-6.133383923645769</v>
      </c>
      <c r="Y29" s="72">
        <f t="shared" si="18"/>
        <v>0.78985698166298923</v>
      </c>
      <c r="Z29" s="73">
        <f t="shared" si="19"/>
        <v>0.73601677205417837</v>
      </c>
      <c r="AA29" s="295">
        <f t="shared" si="35"/>
        <v>0.31387882008554335</v>
      </c>
      <c r="AB29" s="69">
        <f t="shared" si="20"/>
        <v>0.44583444783851789</v>
      </c>
      <c r="AC29" s="68">
        <f t="shared" si="21"/>
        <v>0.17733149577435059</v>
      </c>
      <c r="AD29" s="68">
        <f t="shared" si="22"/>
        <v>0.31387882008554335</v>
      </c>
      <c r="AE29" s="23">
        <f t="shared" si="23"/>
        <v>0.95614266201309217</v>
      </c>
      <c r="AF29" s="23">
        <f t="shared" si="24"/>
        <v>0.62357130131288629</v>
      </c>
      <c r="AG29" s="23">
        <f t="shared" si="25"/>
        <v>1.3735147295639369</v>
      </c>
      <c r="AH29" s="23">
        <f t="shared" si="26"/>
        <v>0.20619923376204166</v>
      </c>
      <c r="AI29" s="23">
        <f t="shared" si="27"/>
        <v>1.207229049213834</v>
      </c>
      <c r="AJ29" s="23">
        <f t="shared" si="28"/>
        <v>0.37248491411214457</v>
      </c>
      <c r="AK29" s="289">
        <f t="shared" si="36"/>
        <v>1.9116596877049843E-3</v>
      </c>
      <c r="AL29" s="70">
        <f t="shared" si="29"/>
        <v>6.6999999999999993</v>
      </c>
      <c r="AM29" s="187">
        <f t="shared" si="37"/>
        <v>0.1</v>
      </c>
      <c r="AN29" s="188">
        <f t="shared" si="43"/>
        <v>9</v>
      </c>
      <c r="AO29" s="71">
        <f t="shared" si="38"/>
        <v>0</v>
      </c>
      <c r="AP29" s="342">
        <f t="shared" si="39"/>
        <v>0</v>
      </c>
      <c r="AQ29" s="506">
        <f t="shared" si="40"/>
        <v>0</v>
      </c>
      <c r="AR29" s="343">
        <f t="shared" si="41"/>
        <v>0</v>
      </c>
    </row>
    <row r="30" spans="1:49" s="74" customFormat="1" ht="15" customHeight="1">
      <c r="A30" s="63">
        <f t="shared" si="42"/>
        <v>0.11000000000000004</v>
      </c>
      <c r="B30" s="64">
        <f t="shared" si="0"/>
        <v>0.39848546311635263</v>
      </c>
      <c r="C30" s="64">
        <f t="shared" si="1"/>
        <v>1.8984854631163526</v>
      </c>
      <c r="D30" s="179">
        <f t="shared" si="2"/>
        <v>-11.925295796944447</v>
      </c>
      <c r="E30" s="64">
        <f t="shared" si="3"/>
        <v>4.7470500000000009E-3</v>
      </c>
      <c r="F30" s="65">
        <f t="shared" si="4"/>
        <v>26134.919190328623</v>
      </c>
      <c r="G30" s="65">
        <f t="shared" si="5"/>
        <v>39999.999999999985</v>
      </c>
      <c r="H30" s="66">
        <f t="shared" si="6"/>
        <v>38.697873031037091</v>
      </c>
      <c r="I30" s="66">
        <f t="shared" si="7"/>
        <v>42.77691809670165</v>
      </c>
      <c r="J30" s="648">
        <f t="shared" si="8"/>
        <v>3.3655876893362584</v>
      </c>
      <c r="K30" s="586">
        <f t="shared" si="9"/>
        <v>0.24886685767530636</v>
      </c>
      <c r="L30" s="644">
        <f t="shared" si="10"/>
        <v>1.7803288324711954</v>
      </c>
      <c r="M30" s="594">
        <f t="shared" si="11"/>
        <v>4.033141029405888</v>
      </c>
      <c r="N30" s="736">
        <f t="shared" si="30"/>
        <v>0</v>
      </c>
      <c r="O30" s="64">
        <f t="shared" si="12"/>
        <v>-0.60971997556548529</v>
      </c>
      <c r="P30" s="64">
        <f t="shared" si="13"/>
        <v>6.5862589175502403E-2</v>
      </c>
      <c r="Q30" s="64">
        <f t="shared" si="14"/>
        <v>0.147470919985387</v>
      </c>
      <c r="R30" s="644">
        <f t="shared" si="31"/>
        <v>0.77845479245936877</v>
      </c>
      <c r="S30" s="64">
        <f t="shared" si="32"/>
        <v>0.54274967038235067</v>
      </c>
      <c r="T30" s="334">
        <f t="shared" si="33"/>
        <v>7.1421773677509135</v>
      </c>
      <c r="U30" s="602">
        <f t="shared" si="34"/>
        <v>9.643856422360912</v>
      </c>
      <c r="V30" s="164">
        <f t="shared" si="15"/>
        <v>6.7436919046345611</v>
      </c>
      <c r="W30" s="669">
        <f t="shared" si="16"/>
        <v>-0.44217736775091421</v>
      </c>
      <c r="X30" s="659">
        <f t="shared" si="17"/>
        <v>-6.2236879544164179</v>
      </c>
      <c r="Y30" s="72">
        <f t="shared" si="18"/>
        <v>0.78057341440979044</v>
      </c>
      <c r="Z30" s="73">
        <f t="shared" si="19"/>
        <v>0.73036220951331066</v>
      </c>
      <c r="AA30" s="295">
        <f t="shared" si="35"/>
        <v>0.30577948707255431</v>
      </c>
      <c r="AB30" s="69">
        <f t="shared" si="20"/>
        <v>0.43506539932181143</v>
      </c>
      <c r="AC30" s="68">
        <f t="shared" si="21"/>
        <v>0.17188597515536053</v>
      </c>
      <c r="AD30" s="68">
        <f t="shared" si="22"/>
        <v>0.30577948707255431</v>
      </c>
      <c r="AE30" s="23">
        <f t="shared" si="23"/>
        <v>0.94490465954869363</v>
      </c>
      <c r="AF30" s="23">
        <f t="shared" si="24"/>
        <v>0.61624216927088715</v>
      </c>
      <c r="AG30" s="23">
        <f t="shared" si="25"/>
        <v>1.3573711533707895</v>
      </c>
      <c r="AH30" s="23">
        <f t="shared" si="26"/>
        <v>0.20377567544879155</v>
      </c>
      <c r="AI30" s="23">
        <f t="shared" si="27"/>
        <v>1.1930399082318861</v>
      </c>
      <c r="AJ30" s="23">
        <f t="shared" si="28"/>
        <v>0.36810692058769473</v>
      </c>
      <c r="AK30" s="289">
        <f t="shared" si="36"/>
        <v>1.861069330758029E-3</v>
      </c>
      <c r="AL30" s="70">
        <f t="shared" si="29"/>
        <v>6.6999999999999993</v>
      </c>
      <c r="AM30" s="187">
        <f t="shared" si="37"/>
        <v>0.1</v>
      </c>
      <c r="AN30" s="188">
        <f t="shared" si="43"/>
        <v>9</v>
      </c>
      <c r="AO30" s="71">
        <f t="shared" si="38"/>
        <v>0</v>
      </c>
      <c r="AP30" s="342">
        <f t="shared" si="39"/>
        <v>0</v>
      </c>
      <c r="AQ30" s="506">
        <f t="shared" si="40"/>
        <v>0</v>
      </c>
      <c r="AR30" s="343">
        <f t="shared" si="41"/>
        <v>0</v>
      </c>
    </row>
    <row r="31" spans="1:49" s="74" customFormat="1" ht="15" customHeight="1">
      <c r="A31" s="63">
        <f t="shared" si="42"/>
        <v>0.11500000000000005</v>
      </c>
      <c r="B31" s="64">
        <f t="shared" si="0"/>
        <v>0.41659843871255048</v>
      </c>
      <c r="C31" s="64">
        <f t="shared" si="1"/>
        <v>1.9165984387125505</v>
      </c>
      <c r="D31" s="179">
        <f t="shared" si="2"/>
        <v>-12.467354696805559</v>
      </c>
      <c r="E31" s="64">
        <f t="shared" si="3"/>
        <v>4.9628250000000014E-3</v>
      </c>
      <c r="F31" s="65">
        <f t="shared" si="4"/>
        <v>24998.618355966501</v>
      </c>
      <c r="G31" s="65">
        <f t="shared" si="5"/>
        <v>38260.869565217377</v>
      </c>
      <c r="H31" s="66">
        <f t="shared" si="6"/>
        <v>39.271822767356397</v>
      </c>
      <c r="I31" s="66">
        <f t="shared" si="7"/>
        <v>43.2968290778471</v>
      </c>
      <c r="J31" s="648">
        <f t="shared" si="8"/>
        <v>3.4761970297474276</v>
      </c>
      <c r="K31" s="586">
        <f t="shared" si="9"/>
        <v>0.24985022484122155</v>
      </c>
      <c r="L31" s="644">
        <f t="shared" si="10"/>
        <v>1.7895847147840014</v>
      </c>
      <c r="M31" s="594">
        <f t="shared" si="11"/>
        <v>4.0661552779340253</v>
      </c>
      <c r="N31" s="736">
        <f t="shared" si="30"/>
        <v>0</v>
      </c>
      <c r="O31" s="64">
        <f t="shared" si="12"/>
        <v>-0.63743451990937094</v>
      </c>
      <c r="P31" s="64">
        <f t="shared" si="13"/>
        <v>7.0831917428236205E-2</v>
      </c>
      <c r="Q31" s="64">
        <f t="shared" si="14"/>
        <v>0.17149842190820336</v>
      </c>
      <c r="R31" s="644">
        <f t="shared" si="31"/>
        <v>0.80578243563708185</v>
      </c>
      <c r="S31" s="64">
        <f t="shared" si="32"/>
        <v>0.607858195187016</v>
      </c>
      <c r="T31" s="334">
        <f t="shared" si="33"/>
        <v>7.3966192359762806</v>
      </c>
      <c r="U31" s="602">
        <f t="shared" si="34"/>
        <v>9.9230400239675269</v>
      </c>
      <c r="V31" s="164">
        <f t="shared" si="15"/>
        <v>6.9800207972637303</v>
      </c>
      <c r="W31" s="669">
        <f t="shared" si="16"/>
        <v>-0.69661923597628128</v>
      </c>
      <c r="X31" s="659">
        <f t="shared" si="17"/>
        <v>-6.3257103375154786</v>
      </c>
      <c r="Y31" s="72">
        <f t="shared" si="18"/>
        <v>0.77120024093761363</v>
      </c>
      <c r="Z31" s="73">
        <f t="shared" si="19"/>
        <v>0.72456925661413929</v>
      </c>
      <c r="AA31" s="295">
        <f t="shared" si="35"/>
        <v>0.29745537811011991</v>
      </c>
      <c r="AB31" s="69">
        <f t="shared" si="20"/>
        <v>0.42402872160044147</v>
      </c>
      <c r="AC31" s="68">
        <f t="shared" si="21"/>
        <v>0.16625692614395216</v>
      </c>
      <c r="AD31" s="68">
        <f t="shared" si="22"/>
        <v>0.29745537811011991</v>
      </c>
      <c r="AE31" s="23">
        <f t="shared" si="23"/>
        <v>0.93355818639816379</v>
      </c>
      <c r="AF31" s="23">
        <f t="shared" si="24"/>
        <v>0.60884229547706337</v>
      </c>
      <c r="AG31" s="23">
        <f t="shared" si="25"/>
        <v>1.3410717572450666</v>
      </c>
      <c r="AH31" s="23">
        <f t="shared" si="26"/>
        <v>0.20132872463016069</v>
      </c>
      <c r="AI31" s="23">
        <f t="shared" si="27"/>
        <v>1.1787138117845164</v>
      </c>
      <c r="AJ31" s="23">
        <f t="shared" si="28"/>
        <v>0.36368667009071082</v>
      </c>
      <c r="AK31" s="289">
        <f t="shared" si="36"/>
        <v>1.8122033154427039E-3</v>
      </c>
      <c r="AL31" s="70">
        <f t="shared" si="29"/>
        <v>6.6999999999999993</v>
      </c>
      <c r="AM31" s="187">
        <f t="shared" si="37"/>
        <v>0.1</v>
      </c>
      <c r="AN31" s="188">
        <f t="shared" si="43"/>
        <v>9</v>
      </c>
      <c r="AO31" s="71">
        <f t="shared" si="38"/>
        <v>0</v>
      </c>
      <c r="AP31" s="342">
        <f t="shared" si="39"/>
        <v>0</v>
      </c>
      <c r="AQ31" s="506">
        <f t="shared" si="40"/>
        <v>0</v>
      </c>
      <c r="AR31" s="343">
        <f t="shared" si="41"/>
        <v>0</v>
      </c>
    </row>
    <row r="32" spans="1:49" s="74" customFormat="1" ht="15" customHeight="1">
      <c r="A32" s="63">
        <f t="shared" si="42"/>
        <v>0.12000000000000005</v>
      </c>
      <c r="B32" s="64">
        <f t="shared" si="0"/>
        <v>0.43471141430874832</v>
      </c>
      <c r="C32" s="64">
        <f t="shared" si="1"/>
        <v>1.9347114143087483</v>
      </c>
      <c r="D32" s="179">
        <f t="shared" si="2"/>
        <v>-13.00941359666667</v>
      </c>
      <c r="E32" s="64">
        <f t="shared" si="3"/>
        <v>5.1786000000000011E-3</v>
      </c>
      <c r="F32" s="65">
        <f t="shared" si="4"/>
        <v>23957.009257801234</v>
      </c>
      <c r="G32" s="65">
        <f t="shared" si="5"/>
        <v>36666.66666666665</v>
      </c>
      <c r="H32" s="66">
        <f t="shared" si="6"/>
        <v>39.862459397384406</v>
      </c>
      <c r="I32" s="66">
        <f t="shared" si="7"/>
        <v>43.833263783726778</v>
      </c>
      <c r="J32" s="648">
        <f t="shared" si="8"/>
        <v>3.5921840949685926</v>
      </c>
      <c r="K32" s="586">
        <f t="shared" si="9"/>
        <v>0.2509602800645685</v>
      </c>
      <c r="L32" s="644">
        <f t="shared" si="10"/>
        <v>1.8000096533030945</v>
      </c>
      <c r="M32" s="594">
        <f t="shared" si="11"/>
        <v>4.1034098467212399</v>
      </c>
      <c r="N32" s="736">
        <f t="shared" si="30"/>
        <v>0</v>
      </c>
      <c r="O32" s="64">
        <f t="shared" si="12"/>
        <v>-0.66514906425325659</v>
      </c>
      <c r="P32" s="64">
        <f t="shared" si="13"/>
        <v>7.5841947367505089E-2</v>
      </c>
      <c r="Q32" s="64">
        <f t="shared" si="14"/>
        <v>0.19779412654675405</v>
      </c>
      <c r="R32" s="644">
        <f t="shared" si="31"/>
        <v>0.83759638944092574</v>
      </c>
      <c r="S32" s="64">
        <f t="shared" si="32"/>
        <v>0.68720512055982774</v>
      </c>
      <c r="T32" s="334">
        <f t="shared" si="33"/>
        <v>7.6786007991279428</v>
      </c>
      <c r="U32" s="602">
        <f t="shared" si="34"/>
        <v>10.232961272610659</v>
      </c>
      <c r="V32" s="164">
        <f t="shared" si="15"/>
        <v>7.2438893848191945</v>
      </c>
      <c r="W32" s="669">
        <f t="shared" si="16"/>
        <v>-0.97860079912794351</v>
      </c>
      <c r="X32" s="659">
        <f t="shared" si="17"/>
        <v>-6.4416064342404766</v>
      </c>
      <c r="Y32" s="72">
        <f t="shared" si="18"/>
        <v>0.76176223567150125</v>
      </c>
      <c r="Z32" s="73">
        <f t="shared" si="19"/>
        <v>0.71865106389374511</v>
      </c>
      <c r="AA32" s="295">
        <f t="shared" si="35"/>
        <v>0.28892200842537052</v>
      </c>
      <c r="AB32" s="69">
        <f t="shared" si="20"/>
        <v>0.41274855594067072</v>
      </c>
      <c r="AC32" s="68">
        <f t="shared" si="21"/>
        <v>0.16045179420336186</v>
      </c>
      <c r="AD32" s="68">
        <f t="shared" si="22"/>
        <v>0.28892200842537052</v>
      </c>
      <c r="AE32" s="23">
        <f t="shared" si="23"/>
        <v>0.92213323265497527</v>
      </c>
      <c r="AF32" s="23">
        <f t="shared" si="24"/>
        <v>0.60139123868802735</v>
      </c>
      <c r="AG32" s="23">
        <f t="shared" si="25"/>
        <v>1.3246596224514815</v>
      </c>
      <c r="AH32" s="23">
        <f t="shared" si="26"/>
        <v>0.19886484889152117</v>
      </c>
      <c r="AI32" s="23">
        <f t="shared" si="27"/>
        <v>1.1642886254680076</v>
      </c>
      <c r="AJ32" s="23">
        <f t="shared" si="28"/>
        <v>0.35923584587499507</v>
      </c>
      <c r="AK32" s="289">
        <f t="shared" si="36"/>
        <v>1.7650633134495275E-3</v>
      </c>
      <c r="AL32" s="70">
        <f t="shared" si="29"/>
        <v>6.6999999999999993</v>
      </c>
      <c r="AM32" s="187">
        <f t="shared" si="37"/>
        <v>0.1</v>
      </c>
      <c r="AN32" s="188">
        <f t="shared" si="43"/>
        <v>9</v>
      </c>
      <c r="AO32" s="71">
        <f t="shared" si="38"/>
        <v>0</v>
      </c>
      <c r="AP32" s="342">
        <f t="shared" si="39"/>
        <v>0</v>
      </c>
      <c r="AQ32" s="506">
        <f t="shared" si="40"/>
        <v>0</v>
      </c>
      <c r="AR32" s="343">
        <f t="shared" si="41"/>
        <v>0</v>
      </c>
    </row>
    <row r="33" spans="1:49" s="62" customFormat="1" ht="15" customHeight="1">
      <c r="A33" s="51">
        <f t="shared" si="42"/>
        <v>0.12500000000000006</v>
      </c>
      <c r="B33" s="52">
        <f t="shared" si="0"/>
        <v>0.45282438990494622</v>
      </c>
      <c r="C33" s="52">
        <f t="shared" si="1"/>
        <v>1.9528243899049462</v>
      </c>
      <c r="D33" s="176">
        <f t="shared" si="2"/>
        <v>-13.551472496527781</v>
      </c>
      <c r="E33" s="52">
        <f t="shared" si="3"/>
        <v>5.3943750000000016E-3</v>
      </c>
      <c r="F33" s="53">
        <f t="shared" si="4"/>
        <v>22998.728887489186</v>
      </c>
      <c r="G33" s="53">
        <f t="shared" si="5"/>
        <v>35199.999999999985</v>
      </c>
      <c r="H33" s="54">
        <f t="shared" si="6"/>
        <v>40.469052303441359</v>
      </c>
      <c r="I33" s="54">
        <f t="shared" si="7"/>
        <v>44.385623112268298</v>
      </c>
      <c r="J33" s="647">
        <f t="shared" si="8"/>
        <v>3.7136524022751556</v>
      </c>
      <c r="K33" s="585">
        <f t="shared" si="9"/>
        <v>0.25220991517773506</v>
      </c>
      <c r="L33" s="247">
        <f t="shared" si="10"/>
        <v>1.8117473339473702</v>
      </c>
      <c r="M33" s="593">
        <f t="shared" si="11"/>
        <v>4.1454679626134396</v>
      </c>
      <c r="N33" s="735">
        <f t="shared" si="30"/>
        <v>0</v>
      </c>
      <c r="O33" s="52">
        <f t="shared" si="12"/>
        <v>-0.69286360859714236</v>
      </c>
      <c r="P33" s="52">
        <f t="shared" si="13"/>
        <v>8.0876127607361001E-2</v>
      </c>
      <c r="Q33" s="52">
        <f t="shared" si="14"/>
        <v>0.22638502361329385</v>
      </c>
      <c r="R33" s="247">
        <f t="shared" si="31"/>
        <v>0.87460049815671292</v>
      </c>
      <c r="S33" s="52">
        <f t="shared" si="32"/>
        <v>0.78512927903426977</v>
      </c>
      <c r="T33" s="277">
        <f t="shared" si="33"/>
        <v>7.9934389269317494</v>
      </c>
      <c r="U33" s="601">
        <f t="shared" si="34"/>
        <v>10.579369470775553</v>
      </c>
      <c r="V33" s="177">
        <f t="shared" si="15"/>
        <v>7.5406145370268032</v>
      </c>
      <c r="W33" s="668">
        <f t="shared" si="16"/>
        <v>-1.2934389269317501</v>
      </c>
      <c r="X33" s="658">
        <f t="shared" si="17"/>
        <v>-6.5742764948562229</v>
      </c>
      <c r="Y33" s="59">
        <f t="shared" si="18"/>
        <v>0.75228244362398355</v>
      </c>
      <c r="Z33" s="60">
        <f t="shared" si="19"/>
        <v>0.71262031836843309</v>
      </c>
      <c r="AA33" s="294">
        <f t="shared" si="35"/>
        <v>0.28019477110582258</v>
      </c>
      <c r="AB33" s="56">
        <f t="shared" si="20"/>
        <v>0.40124882001958895</v>
      </c>
      <c r="AC33" s="55">
        <f t="shared" si="21"/>
        <v>0.15447811877543849</v>
      </c>
      <c r="AD33" s="55">
        <f t="shared" si="22"/>
        <v>0.28019477110582258</v>
      </c>
      <c r="AE33" s="61">
        <f t="shared" si="23"/>
        <v>0.91065769491324322</v>
      </c>
      <c r="AF33" s="61">
        <f t="shared" si="24"/>
        <v>0.59390719233472389</v>
      </c>
      <c r="AG33" s="61">
        <f t="shared" si="25"/>
        <v>1.3081748229083356</v>
      </c>
      <c r="AH33" s="61">
        <f t="shared" si="26"/>
        <v>0.19639006433963166</v>
      </c>
      <c r="AI33" s="61">
        <f t="shared" si="27"/>
        <v>1.1497995716190761</v>
      </c>
      <c r="AJ33" s="61">
        <f t="shared" si="28"/>
        <v>0.3547653156288913</v>
      </c>
      <c r="AK33" s="299">
        <f t="shared" si="36"/>
        <v>1.719634392246589E-3</v>
      </c>
      <c r="AL33" s="57">
        <f t="shared" si="29"/>
        <v>6.6999999999999993</v>
      </c>
      <c r="AM33" s="186">
        <f t="shared" si="37"/>
        <v>0.1</v>
      </c>
      <c r="AN33" s="189">
        <f t="shared" si="43"/>
        <v>9</v>
      </c>
      <c r="AO33" s="58">
        <f t="shared" si="38"/>
        <v>0</v>
      </c>
      <c r="AP33" s="340">
        <f t="shared" si="39"/>
        <v>0</v>
      </c>
      <c r="AQ33" s="505">
        <f t="shared" si="40"/>
        <v>0</v>
      </c>
      <c r="AR33" s="341">
        <f t="shared" si="41"/>
        <v>0</v>
      </c>
    </row>
    <row r="34" spans="1:49" s="74" customFormat="1" ht="15" customHeight="1">
      <c r="A34" s="63">
        <f t="shared" si="42"/>
        <v>0.13000000000000006</v>
      </c>
      <c r="B34" s="64">
        <f t="shared" si="0"/>
        <v>0.47093736550114407</v>
      </c>
      <c r="C34" s="64">
        <f t="shared" si="1"/>
        <v>1.9709373655011442</v>
      </c>
      <c r="D34" s="179">
        <f t="shared" si="2"/>
        <v>-14.093531396388894</v>
      </c>
      <c r="E34" s="64">
        <f t="shared" si="3"/>
        <v>5.6101500000000012E-3</v>
      </c>
      <c r="F34" s="65">
        <f t="shared" si="4"/>
        <v>22114.162391816521</v>
      </c>
      <c r="G34" s="65">
        <f t="shared" si="5"/>
        <v>33846.153846153829</v>
      </c>
      <c r="H34" s="66">
        <f t="shared" si="6"/>
        <v>41.090894841342994</v>
      </c>
      <c r="I34" s="66">
        <f t="shared" si="7"/>
        <v>44.953320050781137</v>
      </c>
      <c r="J34" s="648">
        <f t="shared" si="8"/>
        <v>3.8407160372462918</v>
      </c>
      <c r="K34" s="586">
        <f t="shared" si="9"/>
        <v>0.25362053471781021</v>
      </c>
      <c r="L34" s="644">
        <f t="shared" si="10"/>
        <v>1.8249649431209907</v>
      </c>
      <c r="M34" s="594">
        <f t="shared" si="11"/>
        <v>4.1929771880101496</v>
      </c>
      <c r="N34" s="736">
        <f t="shared" si="30"/>
        <v>0</v>
      </c>
      <c r="O34" s="64">
        <f t="shared" si="12"/>
        <v>-0.72057815294102812</v>
      </c>
      <c r="P34" s="64">
        <f t="shared" si="13"/>
        <v>8.5918396475745049E-2</v>
      </c>
      <c r="Q34" s="64">
        <f t="shared" si="14"/>
        <v>0.2572834331458827</v>
      </c>
      <c r="R34" s="644">
        <f t="shared" si="31"/>
        <v>0.91767013709903389</v>
      </c>
      <c r="S34" s="64">
        <f t="shared" si="32"/>
        <v>0.90795822465546139</v>
      </c>
      <c r="T34" s="334">
        <f t="shared" si="33"/>
        <v>8.3486301407688046</v>
      </c>
      <c r="U34" s="602">
        <f t="shared" si="34"/>
        <v>10.970262920375774</v>
      </c>
      <c r="V34" s="164">
        <f t="shared" si="15"/>
        <v>7.8776927752676604</v>
      </c>
      <c r="W34" s="669">
        <f t="shared" si="16"/>
        <v>-1.6486301407688053</v>
      </c>
      <c r="X34" s="659">
        <f t="shared" si="17"/>
        <v>-6.7277719917379262</v>
      </c>
      <c r="Y34" s="72">
        <f t="shared" si="18"/>
        <v>0.74278217891250375</v>
      </c>
      <c r="Z34" s="73">
        <f t="shared" si="19"/>
        <v>0.70648970347337914</v>
      </c>
      <c r="AA34" s="295">
        <f t="shared" si="35"/>
        <v>0.27128882337883153</v>
      </c>
      <c r="AB34" s="69">
        <f t="shared" si="20"/>
        <v>0.38955281122684982</v>
      </c>
      <c r="AC34" s="68">
        <f t="shared" si="21"/>
        <v>0.14834353501482012</v>
      </c>
      <c r="AD34" s="68">
        <f t="shared" si="22"/>
        <v>0.27128882337883153</v>
      </c>
      <c r="AE34" s="23">
        <f t="shared" si="23"/>
        <v>0.89915737447303079</v>
      </c>
      <c r="AF34" s="23">
        <f t="shared" si="24"/>
        <v>0.58640698335197672</v>
      </c>
      <c r="AG34" s="23">
        <f t="shared" si="25"/>
        <v>1.2916544226094098</v>
      </c>
      <c r="AH34" s="23">
        <f t="shared" si="26"/>
        <v>0.19390993521559799</v>
      </c>
      <c r="AI34" s="23">
        <f t="shared" si="27"/>
        <v>1.1352792270488825</v>
      </c>
      <c r="AJ34" s="23">
        <f t="shared" si="28"/>
        <v>0.35028513077612505</v>
      </c>
      <c r="AK34" s="289">
        <f t="shared" si="36"/>
        <v>1.6758887565719055E-3</v>
      </c>
      <c r="AL34" s="70">
        <f t="shared" si="29"/>
        <v>6.6999999999999993</v>
      </c>
      <c r="AM34" s="187">
        <f t="shared" si="37"/>
        <v>0.1</v>
      </c>
      <c r="AN34" s="188">
        <f t="shared" si="43"/>
        <v>9</v>
      </c>
      <c r="AO34" s="71">
        <f t="shared" si="38"/>
        <v>0</v>
      </c>
      <c r="AP34" s="342">
        <f t="shared" si="39"/>
        <v>0</v>
      </c>
      <c r="AQ34" s="506">
        <f t="shared" si="40"/>
        <v>0</v>
      </c>
      <c r="AR34" s="343">
        <f t="shared" si="41"/>
        <v>0</v>
      </c>
    </row>
    <row r="35" spans="1:49" s="74" customFormat="1" ht="15" customHeight="1">
      <c r="A35" s="63">
        <f t="shared" si="42"/>
        <v>0.13500000000000006</v>
      </c>
      <c r="B35" s="64">
        <f t="shared" si="0"/>
        <v>0.48905034109734191</v>
      </c>
      <c r="C35" s="64">
        <f t="shared" si="1"/>
        <v>1.9890503410973419</v>
      </c>
      <c r="D35" s="179">
        <f t="shared" si="2"/>
        <v>-14.635590296250005</v>
      </c>
      <c r="E35" s="64">
        <f t="shared" si="3"/>
        <v>5.8259250000000018E-3</v>
      </c>
      <c r="F35" s="65">
        <f t="shared" si="4"/>
        <v>21295.11934026776</v>
      </c>
      <c r="G35" s="65">
        <f t="shared" si="5"/>
        <v>32592.592592592577</v>
      </c>
      <c r="H35" s="66">
        <f t="shared" si="6"/>
        <v>41.727305242239488</v>
      </c>
      <c r="I35" s="66">
        <f t="shared" si="7"/>
        <v>45.535780958545999</v>
      </c>
      <c r="J35" s="648">
        <f t="shared" si="8"/>
        <v>3.9735112292636972</v>
      </c>
      <c r="K35" s="586">
        <f t="shared" si="9"/>
        <v>0.25521030579400961</v>
      </c>
      <c r="L35" s="644">
        <f t="shared" si="10"/>
        <v>1.8398449332646774</v>
      </c>
      <c r="M35" s="594">
        <f t="shared" si="11"/>
        <v>4.2466894309258425</v>
      </c>
      <c r="N35" s="736">
        <f t="shared" si="30"/>
        <v>0</v>
      </c>
      <c r="O35" s="64">
        <f t="shared" si="12"/>
        <v>-0.74829269728491377</v>
      </c>
      <c r="P35" s="64">
        <f t="shared" si="13"/>
        <v>9.0953260685366216E-2</v>
      </c>
      <c r="Q35" s="64">
        <f t="shared" si="14"/>
        <v>0.29048694102871675</v>
      </c>
      <c r="R35" s="644">
        <f t="shared" si="31"/>
        <v>0.96790713813652185</v>
      </c>
      <c r="S35" s="64">
        <f t="shared" si="32"/>
        <v>1.0653349665118097</v>
      </c>
      <c r="T35" s="334">
        <f t="shared" si="33"/>
        <v>8.755235549302764</v>
      </c>
      <c r="U35" s="602">
        <f t="shared" si="34"/>
        <v>11.417290352757941</v>
      </c>
      <c r="V35" s="164">
        <f t="shared" si="15"/>
        <v>8.2661852082054228</v>
      </c>
      <c r="W35" s="669">
        <f t="shared" si="16"/>
        <v>-2.0552355493027648</v>
      </c>
      <c r="X35" s="659">
        <f t="shared" si="17"/>
        <v>-6.9080138471826205</v>
      </c>
      <c r="Y35" s="72">
        <f t="shared" si="18"/>
        <v>0.73328104435208419</v>
      </c>
      <c r="Z35" s="73">
        <f t="shared" si="19"/>
        <v>0.70027137585364918</v>
      </c>
      <c r="AA35" s="295">
        <f t="shared" si="35"/>
        <v>0.26221913700933297</v>
      </c>
      <c r="AB35" s="69">
        <f t="shared" si="20"/>
        <v>0.37768335601874581</v>
      </c>
      <c r="AC35" s="68">
        <f t="shared" si="21"/>
        <v>0.14205577813688586</v>
      </c>
      <c r="AD35" s="68">
        <f t="shared" si="22"/>
        <v>0.26221913700933297</v>
      </c>
      <c r="AE35" s="23">
        <f t="shared" si="23"/>
        <v>0.88765600105778619</v>
      </c>
      <c r="AF35" s="23">
        <f t="shared" si="24"/>
        <v>0.57890608764638229</v>
      </c>
      <c r="AG35" s="23">
        <f t="shared" si="25"/>
        <v>1.2751325096944546</v>
      </c>
      <c r="AH35" s="23">
        <f t="shared" si="26"/>
        <v>0.19142957900971405</v>
      </c>
      <c r="AI35" s="23">
        <f t="shared" si="27"/>
        <v>1.1207575529887526</v>
      </c>
      <c r="AJ35" s="23">
        <f t="shared" si="28"/>
        <v>0.34580453571541592</v>
      </c>
      <c r="AK35" s="289">
        <f t="shared" si="36"/>
        <v>1.633788858556707E-3</v>
      </c>
      <c r="AL35" s="70">
        <f t="shared" si="29"/>
        <v>6.6999999999999993</v>
      </c>
      <c r="AM35" s="187">
        <f t="shared" si="37"/>
        <v>0.1</v>
      </c>
      <c r="AN35" s="188">
        <f t="shared" si="43"/>
        <v>9</v>
      </c>
      <c r="AO35" s="71">
        <f t="shared" si="38"/>
        <v>0</v>
      </c>
      <c r="AP35" s="342">
        <f t="shared" si="39"/>
        <v>0</v>
      </c>
      <c r="AQ35" s="506">
        <f t="shared" si="40"/>
        <v>0</v>
      </c>
      <c r="AR35" s="343">
        <f t="shared" si="41"/>
        <v>0</v>
      </c>
    </row>
    <row r="36" spans="1:49" s="74" customFormat="1" ht="15" customHeight="1">
      <c r="A36" s="63">
        <f t="shared" si="42"/>
        <v>0.14000000000000007</v>
      </c>
      <c r="B36" s="64">
        <f t="shared" si="0"/>
        <v>0.50716331669353976</v>
      </c>
      <c r="C36" s="64">
        <f t="shared" si="1"/>
        <v>2.0071633166935396</v>
      </c>
      <c r="D36" s="179">
        <f t="shared" si="2"/>
        <v>-15.177649196111116</v>
      </c>
      <c r="E36" s="64">
        <f t="shared" si="3"/>
        <v>6.0417000000000023E-3</v>
      </c>
      <c r="F36" s="65">
        <f t="shared" si="4"/>
        <v>20534.579363829627</v>
      </c>
      <c r="G36" s="65">
        <f t="shared" si="5"/>
        <v>31428.571428571413</v>
      </c>
      <c r="H36" s="66">
        <f t="shared" si="6"/>
        <v>42.377627188043817</v>
      </c>
      <c r="I36" s="66">
        <f t="shared" si="7"/>
        <v>46.132446616394454</v>
      </c>
      <c r="J36" s="648">
        <f t="shared" si="8"/>
        <v>4.1121947577800739</v>
      </c>
      <c r="K36" s="586">
        <f t="shared" si="9"/>
        <v>0.2569993607556702</v>
      </c>
      <c r="L36" s="644">
        <f t="shared" si="10"/>
        <v>1.8565932045523219</v>
      </c>
      <c r="M36" s="594">
        <f t="shared" si="11"/>
        <v>4.3074841942297128</v>
      </c>
      <c r="N36" s="736">
        <f t="shared" si="30"/>
        <v>0</v>
      </c>
      <c r="O36" s="64">
        <f t="shared" si="12"/>
        <v>-0.77600724162879942</v>
      </c>
      <c r="P36" s="64">
        <f t="shared" si="13"/>
        <v>9.5965866765384697E-2</v>
      </c>
      <c r="Q36" s="64">
        <f t="shared" si="14"/>
        <v>0.32597842669832255</v>
      </c>
      <c r="R36" s="644">
        <f t="shared" si="31"/>
        <v>1.0267187571972589</v>
      </c>
      <c r="S36" s="64">
        <f t="shared" si="32"/>
        <v>1.2728288685373264</v>
      </c>
      <c r="T36" s="334">
        <f t="shared" si="33"/>
        <v>9.2305773314588428</v>
      </c>
      <c r="U36" s="602">
        <f t="shared" si="34"/>
        <v>11.938467681891904</v>
      </c>
      <c r="V36" s="164">
        <f t="shared" si="15"/>
        <v>8.7234140147653036</v>
      </c>
      <c r="W36" s="669">
        <f t="shared" si="16"/>
        <v>-2.5305773314588436</v>
      </c>
      <c r="X36" s="659">
        <f t="shared" si="17"/>
        <v>-7.1241768785219186</v>
      </c>
      <c r="Y36" s="72">
        <f t="shared" si="18"/>
        <v>0.72379696863517529</v>
      </c>
      <c r="Z36" s="73">
        <f t="shared" si="19"/>
        <v>0.69397712961800218</v>
      </c>
      <c r="AA36" s="295">
        <f t="shared" si="35"/>
        <v>0.25300039764641591</v>
      </c>
      <c r="AB36" s="69">
        <f t="shared" si="20"/>
        <v>0.36566263806651578</v>
      </c>
      <c r="AC36" s="68">
        <f t="shared" si="21"/>
        <v>0.13562263210576209</v>
      </c>
      <c r="AD36" s="68">
        <f t="shared" si="22"/>
        <v>0.25300039764641591</v>
      </c>
      <c r="AE36" s="23">
        <f t="shared" si="23"/>
        <v>0.87617527782152804</v>
      </c>
      <c r="AF36" s="23">
        <f t="shared" si="24"/>
        <v>0.57141865944882264</v>
      </c>
      <c r="AG36" s="23">
        <f t="shared" si="25"/>
        <v>1.258640261102757</v>
      </c>
      <c r="AH36" s="23">
        <f t="shared" si="26"/>
        <v>0.18895367616759393</v>
      </c>
      <c r="AI36" s="23">
        <f t="shared" si="27"/>
        <v>1.1062619519164041</v>
      </c>
      <c r="AJ36" s="23">
        <f t="shared" si="28"/>
        <v>0.3413319853539466</v>
      </c>
      <c r="AK36" s="289">
        <f t="shared" si="36"/>
        <v>1.5932899567761935E-3</v>
      </c>
      <c r="AL36" s="70">
        <f t="shared" si="29"/>
        <v>6.6999999999999993</v>
      </c>
      <c r="AM36" s="187">
        <f t="shared" si="37"/>
        <v>0.1</v>
      </c>
      <c r="AN36" s="188">
        <f t="shared" si="43"/>
        <v>9</v>
      </c>
      <c r="AO36" s="71">
        <f t="shared" si="38"/>
        <v>0</v>
      </c>
      <c r="AP36" s="342">
        <f t="shared" si="39"/>
        <v>0</v>
      </c>
      <c r="AQ36" s="506">
        <f t="shared" si="40"/>
        <v>0</v>
      </c>
      <c r="AR36" s="343">
        <f t="shared" si="41"/>
        <v>0</v>
      </c>
    </row>
    <row r="37" spans="1:49" s="74" customFormat="1" ht="15" customHeight="1">
      <c r="A37" s="63">
        <f t="shared" si="42"/>
        <v>0.14500000000000007</v>
      </c>
      <c r="B37" s="64">
        <f t="shared" si="0"/>
        <v>0.5252762922897376</v>
      </c>
      <c r="C37" s="64">
        <f t="shared" si="1"/>
        <v>2.0252762922897376</v>
      </c>
      <c r="D37" s="179">
        <f t="shared" si="2"/>
        <v>-15.719708095972228</v>
      </c>
      <c r="E37" s="64">
        <f t="shared" si="3"/>
        <v>6.2574750000000019E-3</v>
      </c>
      <c r="F37" s="65">
        <f t="shared" si="4"/>
        <v>19826.490420249294</v>
      </c>
      <c r="G37" s="65">
        <f t="shared" si="5"/>
        <v>30344.82758620688</v>
      </c>
      <c r="H37" s="66">
        <f t="shared" si="6"/>
        <v>43.041230103143164</v>
      </c>
      <c r="I37" s="66">
        <f t="shared" si="7"/>
        <v>46.74277306191162</v>
      </c>
      <c r="J37" s="648">
        <f t="shared" si="8"/>
        <v>4.256942470847104</v>
      </c>
      <c r="K37" s="586">
        <f t="shared" si="9"/>
        <v>0.25901623091552661</v>
      </c>
      <c r="L37" s="644">
        <f t="shared" si="10"/>
        <v>1.8754467587921155</v>
      </c>
      <c r="M37" s="594">
        <f t="shared" si="11"/>
        <v>4.3763946800760936</v>
      </c>
      <c r="N37" s="736">
        <f t="shared" si="30"/>
        <v>0</v>
      </c>
      <c r="O37" s="64">
        <f t="shared" si="12"/>
        <v>-0.80372178597268529</v>
      </c>
      <c r="P37" s="64">
        <f t="shared" si="13"/>
        <v>0.1009420648871832</v>
      </c>
      <c r="Q37" s="64">
        <f t="shared" si="14"/>
        <v>0.3637261723379378</v>
      </c>
      <c r="R37" s="644">
        <f t="shared" si="31"/>
        <v>1.0959310520989898</v>
      </c>
      <c r="S37" s="64">
        <f t="shared" si="32"/>
        <v>1.5576432356391348</v>
      </c>
      <c r="T37" s="334">
        <f t="shared" si="33"/>
        <v>9.8040659820050191</v>
      </c>
      <c r="U37" s="602">
        <f t="shared" si="34"/>
        <v>12.564030134204526</v>
      </c>
      <c r="V37" s="164">
        <f t="shared" si="15"/>
        <v>9.278789689715282</v>
      </c>
      <c r="W37" s="669">
        <f t="shared" si="16"/>
        <v>-3.1040659820050198</v>
      </c>
      <c r="X37" s="659">
        <f t="shared" si="17"/>
        <v>-7.3916570782103665</v>
      </c>
      <c r="Y37" s="72">
        <f t="shared" si="18"/>
        <v>0.71434625781495731</v>
      </c>
      <c r="Z37" s="73">
        <f t="shared" si="19"/>
        <v>0.68761854223837804</v>
      </c>
      <c r="AA37" s="295">
        <f t="shared" si="35"/>
        <v>0.24364700488552771</v>
      </c>
      <c r="AB37" s="69">
        <f t="shared" si="20"/>
        <v>0.35351197498703479</v>
      </c>
      <c r="AC37" s="68">
        <f t="shared" si="21"/>
        <v>0.12905197692587334</v>
      </c>
      <c r="AD37" s="68">
        <f t="shared" si="22"/>
        <v>0.24364700488552771</v>
      </c>
      <c r="AE37" s="23">
        <f t="shared" si="23"/>
        <v>0.86473494367073767</v>
      </c>
      <c r="AF37" s="23">
        <f t="shared" si="24"/>
        <v>0.56395757195917684</v>
      </c>
      <c r="AG37" s="23">
        <f t="shared" si="25"/>
        <v>1.2422060320995658</v>
      </c>
      <c r="AH37" s="23">
        <f t="shared" si="26"/>
        <v>0.1864864835303488</v>
      </c>
      <c r="AI37" s="23">
        <f t="shared" si="27"/>
        <v>1.0918173462437855</v>
      </c>
      <c r="AJ37" s="23">
        <f t="shared" si="28"/>
        <v>0.33687516938612921</v>
      </c>
      <c r="AK37" s="289">
        <f t="shared" si="36"/>
        <v>1.5543422018667746E-3</v>
      </c>
      <c r="AL37" s="70">
        <f t="shared" si="29"/>
        <v>6.6999999999999993</v>
      </c>
      <c r="AM37" s="187">
        <f t="shared" si="37"/>
        <v>0.1</v>
      </c>
      <c r="AN37" s="188">
        <f t="shared" si="43"/>
        <v>9</v>
      </c>
      <c r="AO37" s="71">
        <f t="shared" si="38"/>
        <v>0</v>
      </c>
      <c r="AP37" s="342">
        <f t="shared" si="39"/>
        <v>0</v>
      </c>
      <c r="AQ37" s="506">
        <f t="shared" si="40"/>
        <v>0</v>
      </c>
      <c r="AR37" s="343">
        <f t="shared" si="41"/>
        <v>0</v>
      </c>
    </row>
    <row r="38" spans="1:49" s="85" customFormat="1" ht="15" customHeight="1">
      <c r="A38" s="75">
        <f t="shared" si="42"/>
        <v>0.15000000000000008</v>
      </c>
      <c r="B38" s="76">
        <f t="shared" si="0"/>
        <v>0.54338926788593545</v>
      </c>
      <c r="C38" s="76">
        <f t="shared" si="1"/>
        <v>2.0433892678859356</v>
      </c>
      <c r="D38" s="181">
        <f t="shared" si="2"/>
        <v>-16.261766995833341</v>
      </c>
      <c r="E38" s="76">
        <f t="shared" si="3"/>
        <v>6.4732500000000024E-3</v>
      </c>
      <c r="F38" s="77">
        <f t="shared" si="4"/>
        <v>19165.607406240983</v>
      </c>
      <c r="G38" s="77">
        <f t="shared" si="5"/>
        <v>29333.333333333318</v>
      </c>
      <c r="H38" s="78">
        <f t="shared" si="6"/>
        <v>43.717509202694615</v>
      </c>
      <c r="I38" s="78">
        <f t="shared" si="7"/>
        <v>47.366232229441067</v>
      </c>
      <c r="J38" s="249">
        <f t="shared" si="8"/>
        <v>4.4079553022376601</v>
      </c>
      <c r="K38" s="588">
        <f t="shared" si="9"/>
        <v>0.26129181959586312</v>
      </c>
      <c r="L38" s="249">
        <f t="shared" si="10"/>
        <v>1.8966774303818115</v>
      </c>
      <c r="M38" s="596">
        <f t="shared" si="11"/>
        <v>4.4546514944064182</v>
      </c>
      <c r="N38" s="735">
        <f t="shared" si="30"/>
        <v>0</v>
      </c>
      <c r="O38" s="76">
        <f t="shared" si="12"/>
        <v>-0.83143633031657105</v>
      </c>
      <c r="P38" s="76">
        <f t="shared" si="13"/>
        <v>0.10586846481188156</v>
      </c>
      <c r="Q38" s="76">
        <f t="shared" si="14"/>
        <v>0.40368404525400281</v>
      </c>
      <c r="R38" s="249">
        <f t="shared" si="31"/>
        <v>1.1779594101950617</v>
      </c>
      <c r="S38" s="76">
        <f t="shared" si="32"/>
        <v>1.9731481857696471</v>
      </c>
      <c r="T38" s="278">
        <f t="shared" si="33"/>
        <v>10.531913641724117</v>
      </c>
      <c r="U38" s="604">
        <f t="shared" si="34"/>
        <v>13.351179525344588</v>
      </c>
      <c r="V38" s="182">
        <f t="shared" si="15"/>
        <v>9.9885243738381817</v>
      </c>
      <c r="W38" s="670">
        <f t="shared" si="16"/>
        <v>-3.8319136417241175</v>
      </c>
      <c r="X38" s="660">
        <f t="shared" si="17"/>
        <v>-7.7395087598839574</v>
      </c>
      <c r="Y38" s="80">
        <f t="shared" si="18"/>
        <v>0.70494365806693959</v>
      </c>
      <c r="Z38" s="83">
        <f t="shared" si="19"/>
        <v>0.68120679292785868</v>
      </c>
      <c r="AA38" s="294">
        <f t="shared" si="35"/>
        <v>0.23417294985222115</v>
      </c>
      <c r="AB38" s="79">
        <f t="shared" si="20"/>
        <v>0.34125206479364589</v>
      </c>
      <c r="AC38" s="80">
        <f t="shared" si="21"/>
        <v>0.12235173673621391</v>
      </c>
      <c r="AD38" s="80">
        <f t="shared" si="22"/>
        <v>0.23417294985222115</v>
      </c>
      <c r="AE38" s="84">
        <f t="shared" si="23"/>
        <v>0.85335284923892685</v>
      </c>
      <c r="AF38" s="84">
        <f t="shared" si="24"/>
        <v>0.55653446689495234</v>
      </c>
      <c r="AG38" s="84">
        <f t="shared" si="25"/>
        <v>1.2258554654148153</v>
      </c>
      <c r="AH38" s="84">
        <f t="shared" si="26"/>
        <v>0.18403185071906392</v>
      </c>
      <c r="AI38" s="84">
        <f t="shared" si="27"/>
        <v>1.0774462742428281</v>
      </c>
      <c r="AJ38" s="84">
        <f t="shared" si="28"/>
        <v>0.33244104189105111</v>
      </c>
      <c r="AK38" s="364">
        <f t="shared" si="36"/>
        <v>1.5168923205726023E-3</v>
      </c>
      <c r="AL38" s="81">
        <f t="shared" si="29"/>
        <v>6.6999999999999993</v>
      </c>
      <c r="AM38" s="190">
        <f t="shared" si="37"/>
        <v>0.1</v>
      </c>
      <c r="AN38" s="191">
        <f>ROUNDUP(L6,0)</f>
        <v>9</v>
      </c>
      <c r="AO38" s="82">
        <f t="shared" si="38"/>
        <v>0</v>
      </c>
      <c r="AP38" s="344">
        <f t="shared" si="39"/>
        <v>0</v>
      </c>
      <c r="AQ38" s="505">
        <f t="shared" si="40"/>
        <v>0</v>
      </c>
      <c r="AR38" s="341">
        <f t="shared" si="41"/>
        <v>0</v>
      </c>
    </row>
    <row r="39" spans="1:49" s="74" customFormat="1" ht="15" customHeight="1">
      <c r="A39" s="451" t="s">
        <v>206</v>
      </c>
      <c r="B39" s="452"/>
      <c r="C39" s="452"/>
      <c r="D39" s="452"/>
      <c r="E39" s="452"/>
      <c r="F39" s="452"/>
      <c r="G39" s="452"/>
      <c r="H39" s="452"/>
      <c r="J39" s="126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-1.1980563358653384E-3</v>
      </c>
      <c r="AP39" s="345">
        <f>SUM(AP18:AP38)</f>
        <v>41.789114699194137</v>
      </c>
      <c r="AQ39" s="346">
        <f>SUM(AQ18:AQ38)</f>
        <v>1.2364981983095391</v>
      </c>
      <c r="AR39" s="346">
        <f>SUM(AR18:AR38)</f>
        <v>0.38151577407542081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607" t="s">
        <v>436</v>
      </c>
      <c r="B40" s="607" t="s">
        <v>445</v>
      </c>
      <c r="C40" s="553"/>
      <c r="D40" s="558"/>
      <c r="E40" s="556" t="s">
        <v>437</v>
      </c>
      <c r="F40" s="710">
        <v>0.11</v>
      </c>
      <c r="G40" s="554">
        <f>F40*10^6/$C$4</f>
        <v>4.2666666666666666</v>
      </c>
      <c r="H40" s="553" t="s">
        <v>453</v>
      </c>
      <c r="I40" s="711"/>
      <c r="J40" s="369"/>
      <c r="K40" s="605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607" t="s">
        <v>446</v>
      </c>
      <c r="B41" s="607" t="s">
        <v>232</v>
      </c>
      <c r="C41" s="553"/>
      <c r="D41" s="553"/>
      <c r="E41" s="556" t="s">
        <v>449</v>
      </c>
      <c r="F41" s="715">
        <f>F40/(2*A48)</f>
        <v>7.9282707720694234E-3</v>
      </c>
      <c r="G41" s="554">
        <f>F41*10^6/$C$4</f>
        <v>0.30752080570451096</v>
      </c>
      <c r="H41" s="553" t="s">
        <v>219</v>
      </c>
      <c r="I41" s="136"/>
      <c r="K41" s="7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44">0.5+(-0.5+Z41)*$Y$44</f>
        <v>-0.28947368421052633</v>
      </c>
      <c r="AB41" s="288">
        <f t="shared" ref="AB41:AB71" si="45">MAX(MIN(B_1*Tb_eff*($AA41)/(SQRT(2)*$AG$9),10),-10)</f>
        <v>-0.53494805225816733</v>
      </c>
      <c r="AC41" s="288">
        <f t="shared" ref="AC41:AC71" si="46">MAX(MIN(B_1*Tb_eff*(1-$AA41)/(SQRT(2)*$AG$9),10),-10)</f>
        <v>2.3829504146045632</v>
      </c>
      <c r="AD41" s="308" t="e">
        <f t="shared" ref="AD41:AD71" si="47">(ERF(AB41)+1)/2</f>
        <v>#NUM!</v>
      </c>
      <c r="AE41" s="308">
        <f t="shared" ref="AE41:AE71" si="48">(ERF(AC41)+1)/2</f>
        <v>0.9996241601581457</v>
      </c>
      <c r="AF41" s="309" t="e">
        <f t="shared" ref="AF41:AF71" si="49">AD41+AE41-1</f>
        <v>#NUM!</v>
      </c>
      <c r="AG41" s="309" t="e">
        <f t="shared" ref="AG41:AG71" si="50">1-AD41</f>
        <v>#NUM!</v>
      </c>
      <c r="AH41" s="309">
        <f t="shared" ref="AH41:AH71" si="51">1-AE41</f>
        <v>3.7583984185429742E-4</v>
      </c>
      <c r="AI41" s="309" t="e">
        <f t="shared" ref="AI41:AI71" si="52">1-AF41</f>
        <v>#NUM!</v>
      </c>
      <c r="AJ41" s="288">
        <f t="shared" ref="AJ41:AJ71" si="53">Z41-1</f>
        <v>-1.25</v>
      </c>
      <c r="AK41" s="288">
        <f t="shared" ref="AK41:AK71" si="54">Z41+1</f>
        <v>0.75</v>
      </c>
      <c r="AL41" s="288">
        <f t="shared" ref="AL41:AL71" si="55">$Z41-$G$9/(2*$Y$44)</f>
        <v>-0.50099699906335693</v>
      </c>
      <c r="AM41" s="306">
        <f t="shared" ref="AM41:AM71" si="56">$Z41+$G$9/(2*$Y$44)</f>
        <v>9.9699906335692923E-4</v>
      </c>
      <c r="AN41" s="288">
        <f>$C$12</f>
        <v>0.3</v>
      </c>
      <c r="AO41" s="316">
        <v>0.5</v>
      </c>
      <c r="AP41" s="307">
        <f t="shared" ref="AP41:AP69" si="57">MAX(MIN(B_1*Tb_eff*($AA41)/(SQRT(2)*$AP$39),10),-10)</f>
        <v>-0.46259311133412012</v>
      </c>
      <c r="AQ41" s="288">
        <f t="shared" ref="AQ41:AQ69" si="58">MAX(MIN(B_1*Tb_eff*(1-$AA41)/(SQRT(2)*$AP$39),10),-10)</f>
        <v>2.0606420413974442</v>
      </c>
      <c r="AR41" s="308" t="e">
        <f t="shared" ref="AR41:AR69" si="59">(ERF(AP41)+1)/2</f>
        <v>#NUM!</v>
      </c>
      <c r="AS41" s="308">
        <f t="shared" ref="AS41:AS69" si="60">(ERF(AQ41)+1)/2</f>
        <v>0.99821692411002139</v>
      </c>
      <c r="AT41" s="309" t="e">
        <f t="shared" ref="AT41:AT69" si="61">AR41+AS41-1</f>
        <v>#NUM!</v>
      </c>
      <c r="AU41" s="309" t="e">
        <f t="shared" ref="AU41:AU69" si="62">1-AR41</f>
        <v>#NUM!</v>
      </c>
      <c r="AV41" s="309">
        <f t="shared" ref="AV41:AV69" si="63">1-AS41</f>
        <v>1.7830758899786137E-3</v>
      </c>
      <c r="AW41" s="328" t="e">
        <f t="shared" ref="AW41:AW69" si="64">1-AT41</f>
        <v>#NUM!</v>
      </c>
    </row>
    <row r="42" spans="1:49" s="74" customFormat="1" ht="15" customHeight="1">
      <c r="A42" s="608">
        <f>A28*1000</f>
        <v>100.00000000000003</v>
      </c>
      <c r="B42" s="645">
        <f>V28-'BaseOM4(c)'!V28</f>
        <v>2.2089058651686617</v>
      </c>
      <c r="C42" s="553"/>
      <c r="D42" s="553"/>
      <c r="E42" s="556" t="s">
        <v>448</v>
      </c>
      <c r="F42" s="557">
        <f>2*A46*F41</f>
        <v>5.8970478002652371E-2</v>
      </c>
      <c r="G42" s="554">
        <f>F42*10^6/$C$4</f>
        <v>2.2873397528301527</v>
      </c>
      <c r="H42" s="553" t="s">
        <v>219</v>
      </c>
      <c r="I42" s="455"/>
      <c r="J42" s="136"/>
      <c r="K42" s="606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5">Z41+$Y$42</f>
        <v>-0.2</v>
      </c>
      <c r="AA42" s="288">
        <f t="shared" si="44"/>
        <v>-0.23684210526315785</v>
      </c>
      <c r="AB42" s="288">
        <f t="shared" si="45"/>
        <v>-0.43768477002940953</v>
      </c>
      <c r="AC42" s="288">
        <f t="shared" si="46"/>
        <v>2.2856871323758057</v>
      </c>
      <c r="AD42" s="308" t="e">
        <f t="shared" si="47"/>
        <v>#NUM!</v>
      </c>
      <c r="AE42" s="308">
        <f t="shared" si="48"/>
        <v>0.99938633136175103</v>
      </c>
      <c r="AF42" s="309" t="e">
        <f t="shared" si="49"/>
        <v>#NUM!</v>
      </c>
      <c r="AG42" s="309" t="e">
        <f t="shared" si="50"/>
        <v>#NUM!</v>
      </c>
      <c r="AH42" s="309">
        <f t="shared" si="51"/>
        <v>6.1366863824896534E-4</v>
      </c>
      <c r="AI42" s="309" t="e">
        <f t="shared" si="52"/>
        <v>#NUM!</v>
      </c>
      <c r="AJ42" s="288">
        <f t="shared" si="53"/>
        <v>-1.2</v>
      </c>
      <c r="AK42" s="288">
        <f t="shared" si="54"/>
        <v>0.8</v>
      </c>
      <c r="AL42" s="288">
        <f t="shared" si="55"/>
        <v>-0.45099699906335694</v>
      </c>
      <c r="AM42" s="306">
        <f t="shared" si="56"/>
        <v>5.0996999063356918E-2</v>
      </c>
      <c r="AN42" s="288">
        <f>$C$13</f>
        <v>0.4</v>
      </c>
      <c r="AO42" s="316">
        <f>$C$14</f>
        <v>0.25</v>
      </c>
      <c r="AP42" s="307">
        <f t="shared" si="57"/>
        <v>-0.37848527290973455</v>
      </c>
      <c r="AQ42" s="288">
        <f t="shared" si="58"/>
        <v>1.9765342029730588</v>
      </c>
      <c r="AR42" s="308" t="e">
        <f t="shared" si="59"/>
        <v>#NUM!</v>
      </c>
      <c r="AS42" s="308">
        <f t="shared" si="60"/>
        <v>0.99740695172944693</v>
      </c>
      <c r="AT42" s="309" t="e">
        <f t="shared" si="61"/>
        <v>#NUM!</v>
      </c>
      <c r="AU42" s="309" t="e">
        <f t="shared" si="62"/>
        <v>#NUM!</v>
      </c>
      <c r="AV42" s="309">
        <f t="shared" si="63"/>
        <v>2.5930482705530666E-3</v>
      </c>
      <c r="AW42" s="328" t="e">
        <f t="shared" si="64"/>
        <v>#NUM!</v>
      </c>
    </row>
    <row r="43" spans="1:49" s="74" customFormat="1" ht="15" customHeight="1">
      <c r="C43" s="553"/>
      <c r="D43" s="553"/>
      <c r="E43" s="556" t="s">
        <v>438</v>
      </c>
      <c r="F43" s="555">
        <v>0.11</v>
      </c>
      <c r="G43" s="554">
        <f t="shared" ref="G43:G45" si="66">F43*10^6/$C$4</f>
        <v>4.2666666666666666</v>
      </c>
      <c r="H43" s="553" t="s">
        <v>219</v>
      </c>
      <c r="I43" s="136"/>
      <c r="J43" s="136"/>
      <c r="K43" s="16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5"/>
        <v>-0.15000000000000002</v>
      </c>
      <c r="AA43" s="288">
        <f t="shared" si="44"/>
        <v>-0.18421052631578949</v>
      </c>
      <c r="AB43" s="288">
        <f t="shared" si="45"/>
        <v>-0.34042148780065196</v>
      </c>
      <c r="AC43" s="288">
        <f t="shared" si="46"/>
        <v>2.1884238501470477</v>
      </c>
      <c r="AD43" s="308" t="e">
        <f t="shared" si="47"/>
        <v>#NUM!</v>
      </c>
      <c r="AE43" s="308">
        <f t="shared" si="48"/>
        <v>0.9990155993177452</v>
      </c>
      <c r="AF43" s="309" t="e">
        <f t="shared" si="49"/>
        <v>#NUM!</v>
      </c>
      <c r="AG43" s="309" t="e">
        <f t="shared" si="50"/>
        <v>#NUM!</v>
      </c>
      <c r="AH43" s="309">
        <f t="shared" si="51"/>
        <v>9.8440068225480459E-4</v>
      </c>
      <c r="AI43" s="309" t="e">
        <f t="shared" si="52"/>
        <v>#NUM!</v>
      </c>
      <c r="AJ43" s="288">
        <f t="shared" si="53"/>
        <v>-1.1499999999999999</v>
      </c>
      <c r="AK43" s="288">
        <f t="shared" si="54"/>
        <v>0.85</v>
      </c>
      <c r="AL43" s="288">
        <f t="shared" si="55"/>
        <v>-0.40099699906335695</v>
      </c>
      <c r="AM43" s="306">
        <f t="shared" si="56"/>
        <v>0.10099699906335691</v>
      </c>
      <c r="AN43" s="288">
        <f>1-AN42</f>
        <v>0.6</v>
      </c>
      <c r="AO43" s="316">
        <f>$C$14</f>
        <v>0.25</v>
      </c>
      <c r="AP43" s="307">
        <f t="shared" si="57"/>
        <v>-0.2943774344853492</v>
      </c>
      <c r="AQ43" s="288">
        <f t="shared" si="58"/>
        <v>1.892426364548673</v>
      </c>
      <c r="AR43" s="308" t="e">
        <f t="shared" si="59"/>
        <v>#NUM!</v>
      </c>
      <c r="AS43" s="308">
        <f t="shared" si="60"/>
        <v>0.99627794569382178</v>
      </c>
      <c r="AT43" s="309" t="e">
        <f t="shared" si="61"/>
        <v>#NUM!</v>
      </c>
      <c r="AU43" s="309" t="e">
        <f t="shared" si="62"/>
        <v>#NUM!</v>
      </c>
      <c r="AV43" s="309">
        <f t="shared" si="63"/>
        <v>3.7220543061782241E-3</v>
      </c>
      <c r="AW43" s="328" t="e">
        <f t="shared" si="64"/>
        <v>#NUM!</v>
      </c>
    </row>
    <row r="44" spans="1:49" s="74" customFormat="1" ht="15" customHeight="1">
      <c r="A44" s="553" t="s">
        <v>447</v>
      </c>
      <c r="B44" s="642">
        <f>0.5*ERFC(Q/SQRT(2))</f>
        <v>5.0018939344254054E-5</v>
      </c>
      <c r="C44" s="553"/>
      <c r="D44" s="553"/>
      <c r="E44" s="556" t="s">
        <v>439</v>
      </c>
      <c r="F44" s="555">
        <v>0.247</v>
      </c>
      <c r="G44" s="554">
        <f t="shared" si="66"/>
        <v>9.5806060606060601</v>
      </c>
      <c r="H44" s="553" t="s">
        <v>219</v>
      </c>
      <c r="I44" s="136"/>
      <c r="J44" s="136"/>
      <c r="K44" s="16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1.0526315789473684</v>
      </c>
      <c r="Z44" s="288">
        <f t="shared" si="65"/>
        <v>-0.10000000000000002</v>
      </c>
      <c r="AA44" s="288">
        <f t="shared" si="44"/>
        <v>-0.13157894736842102</v>
      </c>
      <c r="AB44" s="288">
        <f t="shared" si="45"/>
        <v>-0.24315820557189416</v>
      </c>
      <c r="AC44" s="288">
        <f t="shared" si="46"/>
        <v>2.0911605679182901</v>
      </c>
      <c r="AD44" s="308" t="e">
        <f t="shared" si="47"/>
        <v>#NUM!</v>
      </c>
      <c r="AE44" s="308">
        <f t="shared" si="48"/>
        <v>0.998448509652621</v>
      </c>
      <c r="AF44" s="309" t="e">
        <f t="shared" si="49"/>
        <v>#NUM!</v>
      </c>
      <c r="AG44" s="309" t="e">
        <f t="shared" si="50"/>
        <v>#NUM!</v>
      </c>
      <c r="AH44" s="309">
        <f t="shared" si="51"/>
        <v>1.5514903473790032E-3</v>
      </c>
      <c r="AI44" s="309" t="e">
        <f t="shared" si="52"/>
        <v>#NUM!</v>
      </c>
      <c r="AJ44" s="288">
        <f t="shared" si="53"/>
        <v>-1.1000000000000001</v>
      </c>
      <c r="AK44" s="288">
        <f t="shared" si="54"/>
        <v>0.9</v>
      </c>
      <c r="AL44" s="288">
        <f t="shared" si="55"/>
        <v>-0.35099699906335696</v>
      </c>
      <c r="AM44" s="306">
        <f t="shared" si="56"/>
        <v>0.1509969990633569</v>
      </c>
      <c r="AN44" s="288">
        <f>1-AN41</f>
        <v>0.7</v>
      </c>
      <c r="AO44" s="316">
        <v>0.5</v>
      </c>
      <c r="AP44" s="307">
        <f t="shared" si="57"/>
        <v>-0.21026959606096363</v>
      </c>
      <c r="AQ44" s="288">
        <f t="shared" si="58"/>
        <v>1.8083185261242876</v>
      </c>
      <c r="AR44" s="308" t="e">
        <f t="shared" si="59"/>
        <v>#NUM!</v>
      </c>
      <c r="AS44" s="308">
        <f t="shared" si="60"/>
        <v>0.99472632640173497</v>
      </c>
      <c r="AT44" s="309" t="e">
        <f t="shared" si="61"/>
        <v>#NUM!</v>
      </c>
      <c r="AU44" s="309" t="e">
        <f t="shared" si="62"/>
        <v>#NUM!</v>
      </c>
      <c r="AV44" s="309">
        <f t="shared" si="63"/>
        <v>5.2736735982650274E-3</v>
      </c>
      <c r="AW44" s="328" t="e">
        <f t="shared" si="64"/>
        <v>#NUM!</v>
      </c>
    </row>
    <row r="45" spans="1:49" s="74" customFormat="1" ht="15" customHeight="1">
      <c r="A45" s="721" t="s">
        <v>454</v>
      </c>
      <c r="B45" s="706"/>
      <c r="C45" s="553"/>
      <c r="D45" s="553"/>
      <c r="E45" s="556" t="s">
        <v>440</v>
      </c>
      <c r="F45" s="555">
        <v>3.1E-2</v>
      </c>
      <c r="G45" s="554">
        <f t="shared" si="66"/>
        <v>1.2024242424242424</v>
      </c>
      <c r="H45" s="553" t="s">
        <v>219</v>
      </c>
      <c r="I45" s="248"/>
      <c r="J45" s="136"/>
      <c r="K45" s="16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5"/>
        <v>-5.0000000000000017E-2</v>
      </c>
      <c r="AA45" s="288">
        <f t="shared" si="44"/>
        <v>-7.8947368421052655E-2</v>
      </c>
      <c r="AB45" s="288">
        <f t="shared" si="45"/>
        <v>-0.14589492334313658</v>
      </c>
      <c r="AC45" s="288">
        <f t="shared" si="46"/>
        <v>1.9938972856895327</v>
      </c>
      <c r="AD45" s="308" t="e">
        <f t="shared" si="47"/>
        <v>#NUM!</v>
      </c>
      <c r="AE45" s="308">
        <f t="shared" si="48"/>
        <v>0.99759729480664761</v>
      </c>
      <c r="AF45" s="309" t="e">
        <f t="shared" si="49"/>
        <v>#NUM!</v>
      </c>
      <c r="AG45" s="309" t="e">
        <f t="shared" si="50"/>
        <v>#NUM!</v>
      </c>
      <c r="AH45" s="309">
        <f t="shared" si="51"/>
        <v>2.4027051933523946E-3</v>
      </c>
      <c r="AI45" s="309" t="e">
        <f t="shared" si="52"/>
        <v>#NUM!</v>
      </c>
      <c r="AJ45" s="288">
        <f t="shared" si="53"/>
        <v>-1.05</v>
      </c>
      <c r="AK45" s="288">
        <f t="shared" si="54"/>
        <v>0.95</v>
      </c>
      <c r="AL45" s="288">
        <f t="shared" si="55"/>
        <v>-0.30099699906335697</v>
      </c>
      <c r="AM45" s="306">
        <f t="shared" si="56"/>
        <v>0.20099699906335691</v>
      </c>
      <c r="AN45" s="288">
        <f>AN43</f>
        <v>0.6</v>
      </c>
      <c r="AO45" s="316">
        <f>1-$C$14</f>
        <v>0.75</v>
      </c>
      <c r="AP45" s="307">
        <f t="shared" si="57"/>
        <v>-0.12616175763657825</v>
      </c>
      <c r="AQ45" s="288">
        <f t="shared" si="58"/>
        <v>1.7242106876999022</v>
      </c>
      <c r="AR45" s="308" t="e">
        <f t="shared" si="59"/>
        <v>#NUM!</v>
      </c>
      <c r="AS45" s="308">
        <f t="shared" si="60"/>
        <v>0.99262382343096034</v>
      </c>
      <c r="AT45" s="309" t="e">
        <f t="shared" si="61"/>
        <v>#NUM!</v>
      </c>
      <c r="AU45" s="309" t="e">
        <f t="shared" si="62"/>
        <v>#NUM!</v>
      </c>
      <c r="AV45" s="309">
        <f t="shared" si="63"/>
        <v>7.3761765690396608E-3</v>
      </c>
      <c r="AW45" s="328" t="e">
        <f t="shared" si="64"/>
        <v>#NUM!</v>
      </c>
    </row>
    <row r="46" spans="1:49" s="74" customFormat="1" ht="15" customHeight="1">
      <c r="A46" s="746">
        <v>3.7189999999999999</v>
      </c>
      <c r="B46" s="707"/>
      <c r="C46" s="553"/>
      <c r="D46" s="558"/>
      <c r="E46" s="712" t="s">
        <v>452</v>
      </c>
      <c r="F46" s="710">
        <v>0.32800000000000001</v>
      </c>
      <c r="G46" s="554">
        <f>F46*10^6/$C$4</f>
        <v>12.722424242424243</v>
      </c>
      <c r="H46" s="553" t="s">
        <v>219</v>
      </c>
      <c r="I46" s="136"/>
      <c r="J46" s="136"/>
      <c r="K46" s="16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5"/>
        <v>0</v>
      </c>
      <c r="AA46" s="288">
        <f t="shared" si="44"/>
        <v>-2.6315789473684181E-2</v>
      </c>
      <c r="AB46" s="288">
        <f t="shared" si="45"/>
        <v>-4.8631641114378787E-2</v>
      </c>
      <c r="AC46" s="288">
        <f t="shared" si="46"/>
        <v>1.8966340034607745</v>
      </c>
      <c r="AD46" s="308" t="e">
        <f t="shared" si="47"/>
        <v>#NUM!</v>
      </c>
      <c r="AE46" s="308">
        <f t="shared" si="48"/>
        <v>0.99634351164966029</v>
      </c>
      <c r="AF46" s="309" t="e">
        <f t="shared" si="49"/>
        <v>#NUM!</v>
      </c>
      <c r="AG46" s="309" t="e">
        <f t="shared" si="50"/>
        <v>#NUM!</v>
      </c>
      <c r="AH46" s="309">
        <f t="shared" si="51"/>
        <v>3.656488350339715E-3</v>
      </c>
      <c r="AI46" s="309" t="e">
        <f t="shared" si="52"/>
        <v>#NUM!</v>
      </c>
      <c r="AJ46" s="288">
        <f t="shared" si="53"/>
        <v>-1</v>
      </c>
      <c r="AK46" s="288">
        <f t="shared" si="54"/>
        <v>1</v>
      </c>
      <c r="AL46" s="288">
        <f t="shared" si="55"/>
        <v>-0.25099699906335693</v>
      </c>
      <c r="AM46" s="306">
        <f t="shared" si="56"/>
        <v>0.25099699906335693</v>
      </c>
      <c r="AN46" s="288">
        <f>AN42</f>
        <v>0.4</v>
      </c>
      <c r="AO46" s="316">
        <f>AO45</f>
        <v>0.75</v>
      </c>
      <c r="AP46" s="307">
        <f t="shared" si="57"/>
        <v>-4.2053919212192689E-2</v>
      </c>
      <c r="AQ46" s="288">
        <f t="shared" si="58"/>
        <v>1.6401028492755165</v>
      </c>
      <c r="AR46" s="308" t="e">
        <f t="shared" si="59"/>
        <v>#NUM!</v>
      </c>
      <c r="AS46" s="308">
        <f t="shared" si="60"/>
        <v>0.98981482856449665</v>
      </c>
      <c r="AT46" s="309" t="e">
        <f t="shared" si="61"/>
        <v>#NUM!</v>
      </c>
      <c r="AU46" s="309" t="e">
        <f t="shared" si="62"/>
        <v>#NUM!</v>
      </c>
      <c r="AV46" s="309">
        <f t="shared" si="63"/>
        <v>1.0185171435503348E-2</v>
      </c>
      <c r="AW46" s="328" t="e">
        <f t="shared" si="64"/>
        <v>#NUM!</v>
      </c>
    </row>
    <row r="47" spans="1:49" s="74" customFormat="1" ht="15" customHeight="1">
      <c r="A47" s="721" t="s">
        <v>455</v>
      </c>
      <c r="B47" s="706"/>
      <c r="C47" s="610"/>
      <c r="D47" s="564"/>
      <c r="E47" s="714" t="s">
        <v>441</v>
      </c>
      <c r="F47" s="566">
        <f>G47/(1000000/$C$4)</f>
        <v>0.4480060018732861</v>
      </c>
      <c r="G47" s="581">
        <f>(1000000/C4)-G7</f>
        <v>17.377202496903219</v>
      </c>
      <c r="H47" s="564" t="s">
        <v>219</v>
      </c>
      <c r="I47" s="136"/>
      <c r="J47" s="136"/>
      <c r="K47" s="16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5"/>
        <v>0.05</v>
      </c>
      <c r="AA47" s="288">
        <f t="shared" si="44"/>
        <v>2.6315789473684237E-2</v>
      </c>
      <c r="AB47" s="288">
        <f t="shared" si="45"/>
        <v>4.8631641114378892E-2</v>
      </c>
      <c r="AC47" s="288">
        <f t="shared" si="46"/>
        <v>1.7993707212320171</v>
      </c>
      <c r="AD47" s="308">
        <f t="shared" si="47"/>
        <v>0.52741585048150197</v>
      </c>
      <c r="AE47" s="308">
        <f t="shared" si="48"/>
        <v>0.99453133019329054</v>
      </c>
      <c r="AF47" s="309">
        <f t="shared" si="49"/>
        <v>0.5219471806747924</v>
      </c>
      <c r="AG47" s="309">
        <f t="shared" si="50"/>
        <v>0.47258414951849803</v>
      </c>
      <c r="AH47" s="309">
        <f t="shared" si="51"/>
        <v>5.4686698067094586E-3</v>
      </c>
      <c r="AI47" s="309">
        <f t="shared" si="52"/>
        <v>0.4780528193252076</v>
      </c>
      <c r="AJ47" s="288">
        <f t="shared" si="53"/>
        <v>-0.95</v>
      </c>
      <c r="AK47" s="288">
        <f t="shared" si="54"/>
        <v>1.05</v>
      </c>
      <c r="AL47" s="288">
        <f t="shared" si="55"/>
        <v>-0.20099699906335694</v>
      </c>
      <c r="AM47" s="306">
        <f t="shared" si="56"/>
        <v>0.30099699906335692</v>
      </c>
      <c r="AN47" s="312">
        <f>AN41</f>
        <v>0.3</v>
      </c>
      <c r="AO47" s="317">
        <v>0.5</v>
      </c>
      <c r="AP47" s="307">
        <f t="shared" si="57"/>
        <v>4.2053919212192779E-2</v>
      </c>
      <c r="AQ47" s="288">
        <f t="shared" si="58"/>
        <v>1.5559950108511311</v>
      </c>
      <c r="AR47" s="308">
        <f t="shared" si="59"/>
        <v>0.52371240362621063</v>
      </c>
      <c r="AS47" s="308">
        <f t="shared" si="60"/>
        <v>0.98611460658027417</v>
      </c>
      <c r="AT47" s="309">
        <f t="shared" si="61"/>
        <v>0.5098270102064848</v>
      </c>
      <c r="AU47" s="309">
        <f t="shared" si="62"/>
        <v>0.47628759637378937</v>
      </c>
      <c r="AV47" s="309">
        <f t="shared" si="63"/>
        <v>1.3885393419725833E-2</v>
      </c>
      <c r="AW47" s="328">
        <f t="shared" si="64"/>
        <v>0.4901729897935152</v>
      </c>
    </row>
    <row r="48" spans="1:49" s="74" customFormat="1" ht="15" customHeight="1">
      <c r="A48" s="722">
        <v>6.9371999999999998</v>
      </c>
      <c r="B48" s="723"/>
      <c r="C48" s="564"/>
      <c r="D48" s="553"/>
      <c r="E48" s="556" t="s">
        <v>442</v>
      </c>
      <c r="F48" s="557">
        <f>G48/(1000000/$C$4)</f>
        <v>0.45187044049190489</v>
      </c>
      <c r="G48" s="560">
        <f>SQRT((G42^2)+(G47^2))</f>
        <v>17.527095873625402</v>
      </c>
      <c r="H48" s="553" t="s">
        <v>219</v>
      </c>
      <c r="I48" s="136"/>
      <c r="J48" s="136"/>
      <c r="K48" s="16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5"/>
        <v>0.1</v>
      </c>
      <c r="AA48" s="288">
        <f t="shared" si="44"/>
        <v>7.8947368421052655E-2</v>
      </c>
      <c r="AB48" s="288">
        <f t="shared" si="45"/>
        <v>0.14589492334313658</v>
      </c>
      <c r="AC48" s="288">
        <f t="shared" si="46"/>
        <v>1.7021074390032596</v>
      </c>
      <c r="AD48" s="308">
        <f t="shared" si="47"/>
        <v>0.58173209103536827</v>
      </c>
      <c r="AE48" s="308">
        <f t="shared" si="48"/>
        <v>0.99196107241913678</v>
      </c>
      <c r="AF48" s="309">
        <f t="shared" si="49"/>
        <v>0.57369316345450505</v>
      </c>
      <c r="AG48" s="309">
        <f t="shared" si="50"/>
        <v>0.41826790896463173</v>
      </c>
      <c r="AH48" s="309">
        <f t="shared" si="51"/>
        <v>8.0389275808632199E-3</v>
      </c>
      <c r="AI48" s="309">
        <f t="shared" si="52"/>
        <v>0.42630683654549495</v>
      </c>
      <c r="AJ48" s="288">
        <f t="shared" si="53"/>
        <v>-0.9</v>
      </c>
      <c r="AK48" s="288">
        <f t="shared" si="54"/>
        <v>1.1000000000000001</v>
      </c>
      <c r="AL48" s="288">
        <f t="shared" si="55"/>
        <v>-0.15099699906335692</v>
      </c>
      <c r="AM48" s="306">
        <f t="shared" si="56"/>
        <v>0.35099699906335691</v>
      </c>
      <c r="AP48" s="307">
        <f t="shared" si="57"/>
        <v>0.12616175763657825</v>
      </c>
      <c r="AQ48" s="288">
        <f t="shared" si="58"/>
        <v>1.4718871724267457</v>
      </c>
      <c r="AR48" s="308">
        <f t="shared" si="59"/>
        <v>0.57080329812855102</v>
      </c>
      <c r="AS48" s="308">
        <f t="shared" si="60"/>
        <v>0.9813087854218685</v>
      </c>
      <c r="AT48" s="309">
        <f t="shared" si="61"/>
        <v>0.55211208355041963</v>
      </c>
      <c r="AU48" s="309">
        <f t="shared" si="62"/>
        <v>0.42919670187144898</v>
      </c>
      <c r="AV48" s="309">
        <f t="shared" si="63"/>
        <v>1.8691214578131499E-2</v>
      </c>
      <c r="AW48" s="328">
        <f t="shared" si="64"/>
        <v>0.44788791644958037</v>
      </c>
    </row>
    <row r="49" spans="1:49" s="74" customFormat="1" ht="15" customHeight="1">
      <c r="A49" s="247" t="s">
        <v>209</v>
      </c>
      <c r="B49" s="561" t="s">
        <v>208</v>
      </c>
      <c r="C49" s="716"/>
      <c r="D49" s="717"/>
      <c r="E49" s="718" t="s">
        <v>450</v>
      </c>
      <c r="F49" s="719">
        <f>G49/(1000000/$C$4)</f>
        <v>0.7798704404919049</v>
      </c>
      <c r="G49" s="720">
        <f>G46+G48</f>
        <v>30.249520116049645</v>
      </c>
      <c r="H49" s="717" t="s">
        <v>219</v>
      </c>
      <c r="I49" s="136"/>
      <c r="J49" s="136"/>
      <c r="K49" s="16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5"/>
        <v>0.15000000000000002</v>
      </c>
      <c r="AA49" s="288">
        <f t="shared" si="44"/>
        <v>0.13157894736842107</v>
      </c>
      <c r="AB49" s="288">
        <f t="shared" si="45"/>
        <v>0.24315820557189427</v>
      </c>
      <c r="AC49" s="288">
        <f t="shared" si="46"/>
        <v>1.604844156774502</v>
      </c>
      <c r="AD49" s="308">
        <f t="shared" si="47"/>
        <v>0.63453084262226622</v>
      </c>
      <c r="AE49" s="308">
        <f t="shared" si="48"/>
        <v>0.98838383498252602</v>
      </c>
      <c r="AF49" s="309">
        <f t="shared" si="49"/>
        <v>0.62291467760479224</v>
      </c>
      <c r="AG49" s="309">
        <f t="shared" si="50"/>
        <v>0.36546915737773378</v>
      </c>
      <c r="AH49" s="309">
        <f t="shared" si="51"/>
        <v>1.1616165017473978E-2</v>
      </c>
      <c r="AI49" s="309">
        <f t="shared" si="52"/>
        <v>0.37708532239520776</v>
      </c>
      <c r="AJ49" s="288">
        <f t="shared" si="53"/>
        <v>-0.85</v>
      </c>
      <c r="AK49" s="288">
        <f t="shared" si="54"/>
        <v>1.1499999999999999</v>
      </c>
      <c r="AL49" s="288">
        <f t="shared" si="55"/>
        <v>-0.10099699906335691</v>
      </c>
      <c r="AM49" s="306">
        <f t="shared" si="56"/>
        <v>0.40099699906335695</v>
      </c>
      <c r="AP49" s="307">
        <f t="shared" si="57"/>
        <v>0.21026959606096374</v>
      </c>
      <c r="AQ49" s="288">
        <f t="shared" si="58"/>
        <v>1.3877793340023605</v>
      </c>
      <c r="AR49" s="308">
        <f t="shared" si="59"/>
        <v>0.61690649447081314</v>
      </c>
      <c r="AS49" s="308">
        <f t="shared" si="60"/>
        <v>0.97515461082556487</v>
      </c>
      <c r="AT49" s="309">
        <f t="shared" si="61"/>
        <v>0.59206110529637801</v>
      </c>
      <c r="AU49" s="309">
        <f t="shared" si="62"/>
        <v>0.38309350552918686</v>
      </c>
      <c r="AV49" s="309">
        <f t="shared" si="63"/>
        <v>2.4845389174435129E-2</v>
      </c>
      <c r="AW49" s="328">
        <f t="shared" si="64"/>
        <v>0.40793889470362199</v>
      </c>
    </row>
    <row r="50" spans="1:49" s="74" customFormat="1" ht="15" customHeight="1">
      <c r="A50" s="778">
        <v>2.5758000000000001</v>
      </c>
      <c r="B50" s="563">
        <v>0.85</v>
      </c>
      <c r="C50" s="553"/>
      <c r="D50" s="564"/>
      <c r="E50" s="565" t="s">
        <v>443</v>
      </c>
      <c r="F50" s="566">
        <f>((G48*(A50/A46))+B50*(G46))/(1000000/$C$4)</f>
        <v>0.59176797005083326</v>
      </c>
      <c r="G50" s="567">
        <f>F50*(1000000/$C$4)</f>
        <v>22.953424292880804</v>
      </c>
      <c r="H50" s="553" t="s">
        <v>219</v>
      </c>
      <c r="I50" s="136"/>
      <c r="J50" s="136"/>
      <c r="K50" s="16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5"/>
        <v>0.2</v>
      </c>
      <c r="AA50" s="288">
        <f t="shared" si="44"/>
        <v>0.18421052631578949</v>
      </c>
      <c r="AB50" s="288">
        <f t="shared" si="45"/>
        <v>0.34042148780065196</v>
      </c>
      <c r="AC50" s="288">
        <f t="shared" si="46"/>
        <v>1.5075808745457442</v>
      </c>
      <c r="AD50" s="308">
        <f t="shared" si="47"/>
        <v>0.68489407295367466</v>
      </c>
      <c r="AE50" s="308">
        <f t="shared" si="48"/>
        <v>0.98349827285550639</v>
      </c>
      <c r="AF50" s="309">
        <f t="shared" si="49"/>
        <v>0.66839234580918117</v>
      </c>
      <c r="AG50" s="309">
        <f t="shared" si="50"/>
        <v>0.31510592704632534</v>
      </c>
      <c r="AH50" s="309">
        <f t="shared" si="51"/>
        <v>1.6501727144493605E-2</v>
      </c>
      <c r="AI50" s="309">
        <f t="shared" si="52"/>
        <v>0.33160765419081883</v>
      </c>
      <c r="AJ50" s="288">
        <f t="shared" si="53"/>
        <v>-0.8</v>
      </c>
      <c r="AK50" s="288">
        <f t="shared" si="54"/>
        <v>1.2</v>
      </c>
      <c r="AL50" s="288">
        <f t="shared" si="55"/>
        <v>-5.0996999063356918E-2</v>
      </c>
      <c r="AM50" s="306">
        <f t="shared" si="56"/>
        <v>0.45099699906335694</v>
      </c>
      <c r="AP50" s="307">
        <f t="shared" si="57"/>
        <v>0.2943774344853492</v>
      </c>
      <c r="AQ50" s="288">
        <f t="shared" si="58"/>
        <v>1.3036714955779749</v>
      </c>
      <c r="AR50" s="308">
        <f t="shared" si="59"/>
        <v>0.66140934857344702</v>
      </c>
      <c r="AS50" s="308">
        <f t="shared" si="60"/>
        <v>0.96738436222968927</v>
      </c>
      <c r="AT50" s="309">
        <f t="shared" si="61"/>
        <v>0.62879371080313629</v>
      </c>
      <c r="AU50" s="309">
        <f t="shared" si="62"/>
        <v>0.33859065142655298</v>
      </c>
      <c r="AV50" s="309">
        <f t="shared" si="63"/>
        <v>3.2615637770310735E-2</v>
      </c>
      <c r="AW50" s="328">
        <f t="shared" si="64"/>
        <v>0.37120628919686371</v>
      </c>
    </row>
    <row r="51" spans="1:49" s="74" customFormat="1" ht="15" customHeight="1">
      <c r="A51" s="778">
        <v>6.1093999999999999</v>
      </c>
      <c r="B51" s="568">
        <v>1</v>
      </c>
      <c r="C51" s="564"/>
      <c r="D51" s="564"/>
      <c r="E51" s="565" t="s">
        <v>476</v>
      </c>
      <c r="F51" s="774">
        <f>((G48*(A52/A46))+B52*(G46))/(1000000/$C$4)</f>
        <v>0.80072039144334639</v>
      </c>
      <c r="G51" s="567">
        <f>F51*(1000000/$C$4)</f>
        <v>31.058245486287376</v>
      </c>
      <c r="H51" s="564" t="s">
        <v>219</v>
      </c>
      <c r="J51" s="136"/>
      <c r="K51" s="16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5"/>
        <v>0.25</v>
      </c>
      <c r="AA51" s="288">
        <f t="shared" si="44"/>
        <v>0.23684210526315791</v>
      </c>
      <c r="AB51" s="288">
        <f t="shared" si="45"/>
        <v>0.43768477002940964</v>
      </c>
      <c r="AC51" s="288">
        <f t="shared" si="46"/>
        <v>1.4103175923169864</v>
      </c>
      <c r="AD51" s="308">
        <f t="shared" si="47"/>
        <v>0.73203514625731669</v>
      </c>
      <c r="AE51" s="308">
        <f t="shared" si="48"/>
        <v>0.97695074518934044</v>
      </c>
      <c r="AF51" s="309">
        <f t="shared" si="49"/>
        <v>0.70898589144665713</v>
      </c>
      <c r="AG51" s="309">
        <f t="shared" si="50"/>
        <v>0.26796485374268331</v>
      </c>
      <c r="AH51" s="309">
        <f t="shared" si="51"/>
        <v>2.3049254810659559E-2</v>
      </c>
      <c r="AI51" s="309">
        <f t="shared" si="52"/>
        <v>0.29101410855334287</v>
      </c>
      <c r="AJ51" s="288">
        <f t="shared" si="53"/>
        <v>-0.75</v>
      </c>
      <c r="AK51" s="288">
        <f t="shared" si="54"/>
        <v>1.25</v>
      </c>
      <c r="AL51" s="288">
        <f t="shared" si="55"/>
        <v>-9.9699906335692923E-4</v>
      </c>
      <c r="AM51" s="306">
        <f t="shared" si="56"/>
        <v>0.50099699906335693</v>
      </c>
      <c r="AP51" s="307">
        <f t="shared" si="57"/>
        <v>0.37848527290973466</v>
      </c>
      <c r="AQ51" s="288">
        <f t="shared" si="58"/>
        <v>1.2195636571535893</v>
      </c>
      <c r="AR51" s="308">
        <f t="shared" si="59"/>
        <v>0.7037646146789871</v>
      </c>
      <c r="AS51" s="308">
        <f t="shared" si="60"/>
        <v>0.9577113269962102</v>
      </c>
      <c r="AT51" s="309">
        <f t="shared" si="61"/>
        <v>0.66147594167519719</v>
      </c>
      <c r="AU51" s="309">
        <f t="shared" si="62"/>
        <v>0.2962353853210129</v>
      </c>
      <c r="AV51" s="309">
        <f t="shared" si="63"/>
        <v>4.2288673003789801E-2</v>
      </c>
      <c r="AW51" s="328">
        <f t="shared" si="64"/>
        <v>0.33852405832480281</v>
      </c>
    </row>
    <row r="52" spans="1:49" s="74" customFormat="1" ht="15" customHeight="1">
      <c r="A52" s="778">
        <v>3.8906000000000001</v>
      </c>
      <c r="B52" s="568">
        <v>1</v>
      </c>
      <c r="C52" s="564"/>
      <c r="D52" s="564"/>
      <c r="E52" s="565" t="s">
        <v>444</v>
      </c>
      <c r="F52" s="566">
        <f>((G48*(A51/A46))+G46)/(1000000/$C$4)</f>
        <v>1.0703117152840127</v>
      </c>
      <c r="G52" s="567">
        <f>F52*(1000000/$C$4)</f>
        <v>41.51512107768292</v>
      </c>
      <c r="H52" s="564" t="s">
        <v>219</v>
      </c>
      <c r="J52" s="7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5"/>
        <v>0.3</v>
      </c>
      <c r="AA52" s="288">
        <f t="shared" si="44"/>
        <v>0.28947368421052633</v>
      </c>
      <c r="AB52" s="288">
        <f t="shared" si="45"/>
        <v>0.53494805225816733</v>
      </c>
      <c r="AC52" s="288">
        <f t="shared" si="46"/>
        <v>1.3130543100882288</v>
      </c>
      <c r="AD52" s="308">
        <f t="shared" si="47"/>
        <v>0.77533448827920881</v>
      </c>
      <c r="AE52" s="308">
        <f t="shared" si="48"/>
        <v>0.96834009217269856</v>
      </c>
      <c r="AF52" s="309">
        <f t="shared" si="49"/>
        <v>0.74367458045190737</v>
      </c>
      <c r="AG52" s="309">
        <f t="shared" si="50"/>
        <v>0.22466551172079119</v>
      </c>
      <c r="AH52" s="309">
        <f t="shared" si="51"/>
        <v>3.1659907827301437E-2</v>
      </c>
      <c r="AI52" s="309">
        <f t="shared" si="52"/>
        <v>0.25632541954809263</v>
      </c>
      <c r="AJ52" s="288">
        <f t="shared" si="53"/>
        <v>-0.7</v>
      </c>
      <c r="AK52" s="288">
        <f t="shared" si="54"/>
        <v>1.3</v>
      </c>
      <c r="AL52" s="288">
        <f t="shared" si="55"/>
        <v>4.900300093664306E-2</v>
      </c>
      <c r="AM52" s="306">
        <f t="shared" si="56"/>
        <v>0.55099699906335697</v>
      </c>
      <c r="AP52" s="307">
        <f t="shared" si="57"/>
        <v>0.46259311133412012</v>
      </c>
      <c r="AQ52" s="288">
        <f t="shared" si="58"/>
        <v>1.1354558187292039</v>
      </c>
      <c r="AR52" s="308">
        <f t="shared" si="59"/>
        <v>0.7435102749087048</v>
      </c>
      <c r="AS52" s="308">
        <f t="shared" si="60"/>
        <v>0.94583853011160046</v>
      </c>
      <c r="AT52" s="309">
        <f t="shared" si="61"/>
        <v>0.68934880502030538</v>
      </c>
      <c r="AU52" s="309">
        <f t="shared" si="62"/>
        <v>0.2564897250912952</v>
      </c>
      <c r="AV52" s="309">
        <f t="shared" si="63"/>
        <v>5.4161469888399538E-2</v>
      </c>
      <c r="AW52" s="328">
        <f t="shared" si="64"/>
        <v>0.31065119497969462</v>
      </c>
    </row>
    <row r="53" spans="1:49" s="74" customFormat="1" ht="15" customHeight="1">
      <c r="A53" s="7"/>
      <c r="C53" s="553"/>
      <c r="D53" s="390"/>
      <c r="E53" s="556" t="s">
        <v>473</v>
      </c>
      <c r="F53" s="557">
        <f>G53/(1000000/C4)</f>
        <v>0.22012955950809512</v>
      </c>
      <c r="G53" s="560">
        <f>(1000000/C4)-G49</f>
        <v>8.538358671829144</v>
      </c>
      <c r="H53" s="553" t="s">
        <v>219</v>
      </c>
      <c r="K53" s="100"/>
      <c r="L53" s="100"/>
      <c r="M53" s="100"/>
      <c r="N53" s="100"/>
      <c r="O53" s="69"/>
      <c r="P53" s="69"/>
      <c r="R53" s="206"/>
      <c r="U53" s="569"/>
      <c r="V53" s="570"/>
      <c r="X53" s="96"/>
      <c r="Y53" s="310"/>
      <c r="Z53" s="288">
        <f>Z52+$Y$42</f>
        <v>0.35</v>
      </c>
      <c r="AA53" s="288">
        <f t="shared" si="44"/>
        <v>0.34210526315789469</v>
      </c>
      <c r="AB53" s="288">
        <f>MAX(MIN(B_1*Tb_eff*($AA53)/(SQRT(2)*$AG$9),10),-10)</f>
        <v>0.6322113344869249</v>
      </c>
      <c r="AC53" s="288">
        <f>MAX(MIN(B_1*Tb_eff*(1-$AA53)/(SQRT(2)*$AG$9),10),-10)</f>
        <v>1.2157910278594712</v>
      </c>
      <c r="AD53" s="308">
        <f t="shared" si="47"/>
        <v>0.81436094726634933</v>
      </c>
      <c r="AE53" s="308">
        <f t="shared" si="48"/>
        <v>0.95722812813514591</v>
      </c>
      <c r="AF53" s="309">
        <f t="shared" si="49"/>
        <v>0.77158907540149535</v>
      </c>
      <c r="AG53" s="309">
        <f t="shared" si="50"/>
        <v>0.18563905273365067</v>
      </c>
      <c r="AH53" s="309">
        <f t="shared" si="51"/>
        <v>4.2771871864854094E-2</v>
      </c>
      <c r="AI53" s="309">
        <f t="shared" si="52"/>
        <v>0.22841092459850465</v>
      </c>
      <c r="AJ53" s="288">
        <f t="shared" si="53"/>
        <v>-0.65</v>
      </c>
      <c r="AK53" s="288">
        <f t="shared" si="54"/>
        <v>1.35</v>
      </c>
      <c r="AL53" s="288">
        <f>$Z53-$G$9/(2*$Y$44)</f>
        <v>9.9003000936643049E-2</v>
      </c>
      <c r="AM53" s="306">
        <f>$Z53+$G$9/(2*$Y$44)</f>
        <v>0.60099699906335691</v>
      </c>
      <c r="AP53" s="307">
        <f>MAX(MIN(B_1*Tb_eff*($AA53)/(SQRT(2)*$AP$39),10),-10)</f>
        <v>0.54670094975850547</v>
      </c>
      <c r="AQ53" s="288">
        <f>MAX(MIN(B_1*Tb_eff*(1-$AA53)/(SQRT(2)*$AP$39),10),-10)</f>
        <v>1.0513479803048185</v>
      </c>
      <c r="AR53" s="308">
        <f t="shared" si="59"/>
        <v>0.78028375174542797</v>
      </c>
      <c r="AS53" s="308">
        <f t="shared" si="60"/>
        <v>0.93147019838218426</v>
      </c>
      <c r="AT53" s="309">
        <f t="shared" si="61"/>
        <v>0.71175395012761222</v>
      </c>
      <c r="AU53" s="309">
        <f t="shared" si="62"/>
        <v>0.21971624825457203</v>
      </c>
      <c r="AV53" s="309">
        <f t="shared" si="63"/>
        <v>6.8529801617815744E-2</v>
      </c>
      <c r="AW53" s="328">
        <f t="shared" si="64"/>
        <v>0.28824604987238778</v>
      </c>
    </row>
    <row r="54" spans="1:49" s="74" customFormat="1" ht="15" customHeight="1">
      <c r="K54" s="613"/>
      <c r="L54" s="91" t="s">
        <v>310</v>
      </c>
      <c r="M54" s="100"/>
      <c r="N54" s="100"/>
      <c r="Q54" s="86"/>
      <c r="R54" s="207"/>
      <c r="S54" s="93" t="s">
        <v>379</v>
      </c>
      <c r="T54" s="86"/>
      <c r="U54" s="69"/>
      <c r="V54" s="86"/>
      <c r="W54" s="86"/>
      <c r="X54" s="94"/>
      <c r="Y54" s="310"/>
      <c r="Z54" s="288">
        <f t="shared" si="65"/>
        <v>0.39999999999999997</v>
      </c>
      <c r="AA54" s="288">
        <f t="shared" si="44"/>
        <v>0.39473684210526311</v>
      </c>
      <c r="AB54" s="288">
        <f>MAX(MIN(B_1*Tb_eff*($AA54)/(SQRT(2)*$AG$9),10),-10)</f>
        <v>0.72947461671568259</v>
      </c>
      <c r="AC54" s="288">
        <f>MAX(MIN(B_1*Tb_eff*(1-$AA54)/(SQRT(2)*$AG$9),10),-10)</f>
        <v>1.1185277456307137</v>
      </c>
      <c r="AD54" s="308">
        <f t="shared" si="47"/>
        <v>0.84887781717177191</v>
      </c>
      <c r="AE54" s="308">
        <f t="shared" si="48"/>
        <v>0.94315660099403797</v>
      </c>
      <c r="AF54" s="309">
        <f t="shared" si="49"/>
        <v>0.79203441816580988</v>
      </c>
      <c r="AG54" s="309">
        <f t="shared" si="50"/>
        <v>0.15112218282822809</v>
      </c>
      <c r="AH54" s="309">
        <f t="shared" si="51"/>
        <v>5.6843399005962025E-2</v>
      </c>
      <c r="AI54" s="309">
        <f t="shared" si="52"/>
        <v>0.20796558183419012</v>
      </c>
      <c r="AJ54" s="288">
        <f t="shared" si="53"/>
        <v>-0.60000000000000009</v>
      </c>
      <c r="AK54" s="288">
        <f t="shared" si="54"/>
        <v>1.4</v>
      </c>
      <c r="AL54" s="288">
        <f>$Z54-$G$9/(2*$Y$44)</f>
        <v>0.14900300093664304</v>
      </c>
      <c r="AM54" s="306">
        <f>$Z54+$G$9/(2*$Y$44)</f>
        <v>0.65099699906335684</v>
      </c>
      <c r="AP54" s="307">
        <f>MAX(MIN(B_1*Tb_eff*($AA54)/(SQRT(2)*$AP$39),10),-10)</f>
        <v>0.63080878818289099</v>
      </c>
      <c r="AQ54" s="288">
        <f>MAX(MIN(B_1*Tb_eff*(1-$AA54)/(SQRT(2)*$AP$39),10),-10)</f>
        <v>0.96724014188043317</v>
      </c>
      <c r="AR54" s="308">
        <f t="shared" si="59"/>
        <v>0.81382988746366514</v>
      </c>
      <c r="AS54" s="308">
        <f t="shared" si="60"/>
        <v>0.91432579252255197</v>
      </c>
      <c r="AT54" s="309">
        <f t="shared" si="61"/>
        <v>0.72815567998621722</v>
      </c>
      <c r="AU54" s="309">
        <f t="shared" si="62"/>
        <v>0.18617011253633486</v>
      </c>
      <c r="AV54" s="309">
        <f t="shared" si="63"/>
        <v>8.5674207477448028E-2</v>
      </c>
      <c r="AW54" s="328">
        <f t="shared" si="64"/>
        <v>0.27184432001378278</v>
      </c>
    </row>
    <row r="55" spans="1:49" s="74" customFormat="1" ht="15" customHeight="1">
      <c r="A55" s="609"/>
      <c r="B55" s="610"/>
      <c r="C55" s="610"/>
      <c r="D55" s="713"/>
      <c r="E55" s="713"/>
      <c r="F55" s="615"/>
      <c r="G55" s="610"/>
      <c r="H55" s="616"/>
      <c r="I55" s="611"/>
      <c r="J55" s="612"/>
      <c r="K55" s="614"/>
      <c r="L55" s="86" t="s">
        <v>456</v>
      </c>
      <c r="M55" s="100"/>
      <c r="N55" s="100"/>
      <c r="Q55" s="86"/>
      <c r="R55" s="86"/>
      <c r="S55" s="93" t="s">
        <v>61</v>
      </c>
      <c r="T55" s="86"/>
      <c r="U55" s="69"/>
      <c r="V55" s="86"/>
      <c r="W55" s="86"/>
      <c r="X55" s="94"/>
      <c r="Y55" s="310"/>
      <c r="Z55" s="288">
        <f>Z54+$Y$42</f>
        <v>0.44999999999999996</v>
      </c>
      <c r="AA55" s="288">
        <f t="shared" si="44"/>
        <v>0.44736842105263153</v>
      </c>
      <c r="AB55" s="288">
        <f t="shared" si="45"/>
        <v>0.82673789894444027</v>
      </c>
      <c r="AC55" s="288">
        <f t="shared" si="46"/>
        <v>1.0212644634019559</v>
      </c>
      <c r="AD55" s="308">
        <f t="shared" si="47"/>
        <v>0.87883516647285798</v>
      </c>
      <c r="AE55" s="308">
        <f t="shared" si="48"/>
        <v>0.92567070448369426</v>
      </c>
      <c r="AF55" s="309">
        <f t="shared" si="49"/>
        <v>0.80450587095655224</v>
      </c>
      <c r="AG55" s="309">
        <f t="shared" si="50"/>
        <v>0.12116483352714202</v>
      </c>
      <c r="AH55" s="309">
        <f t="shared" si="51"/>
        <v>7.4329295516305738E-2</v>
      </c>
      <c r="AI55" s="309">
        <f t="shared" si="52"/>
        <v>0.19549412904344776</v>
      </c>
      <c r="AJ55" s="288">
        <f t="shared" si="53"/>
        <v>-0.55000000000000004</v>
      </c>
      <c r="AK55" s="288">
        <f t="shared" si="54"/>
        <v>1.45</v>
      </c>
      <c r="AL55" s="288">
        <f t="shared" si="55"/>
        <v>0.19900300093664303</v>
      </c>
      <c r="AM55" s="306">
        <f t="shared" si="56"/>
        <v>0.70099699906335688</v>
      </c>
      <c r="AP55" s="307">
        <f t="shared" si="57"/>
        <v>0.7149166266072764</v>
      </c>
      <c r="AQ55" s="288">
        <f t="shared" si="58"/>
        <v>0.88313230345604754</v>
      </c>
      <c r="AR55" s="308">
        <f t="shared" si="59"/>
        <v>0.84400237505903131</v>
      </c>
      <c r="AS55" s="308">
        <f t="shared" si="60"/>
        <v>0.89415601890753693</v>
      </c>
      <c r="AT55" s="309">
        <f t="shared" si="61"/>
        <v>0.73815839396656813</v>
      </c>
      <c r="AU55" s="309">
        <f t="shared" si="62"/>
        <v>0.15599762494096869</v>
      </c>
      <c r="AV55" s="309">
        <f t="shared" si="63"/>
        <v>0.10584398109246307</v>
      </c>
      <c r="AW55" s="328">
        <f t="shared" si="64"/>
        <v>0.26184160603343187</v>
      </c>
    </row>
    <row r="56" spans="1:49" s="74" customFormat="1" ht="15" customHeight="1">
      <c r="C56" s="610"/>
      <c r="D56" s="615"/>
      <c r="E56" s="615"/>
      <c r="F56" s="615"/>
      <c r="G56" s="610"/>
      <c r="H56" s="616"/>
      <c r="I56" s="617"/>
      <c r="J56" s="616"/>
      <c r="K56" s="87"/>
      <c r="L56" s="87"/>
      <c r="M56" s="69"/>
      <c r="N56" s="86"/>
      <c r="O56" s="69"/>
      <c r="P56" s="69"/>
      <c r="X56" s="94"/>
      <c r="Y56" s="310"/>
      <c r="Z56" s="288">
        <f t="shared" si="65"/>
        <v>0.49999999999999994</v>
      </c>
      <c r="AA56" s="288">
        <f t="shared" si="44"/>
        <v>0.49999999999999994</v>
      </c>
      <c r="AB56" s="288">
        <f t="shared" si="45"/>
        <v>0.92400118117319796</v>
      </c>
      <c r="AC56" s="288">
        <f t="shared" si="46"/>
        <v>0.92400118117319807</v>
      </c>
      <c r="AD56" s="308">
        <f t="shared" si="47"/>
        <v>0.90434858926932171</v>
      </c>
      <c r="AE56" s="308">
        <f t="shared" si="48"/>
        <v>0.90434858926932171</v>
      </c>
      <c r="AF56" s="309">
        <f t="shared" si="49"/>
        <v>0.80869717853864342</v>
      </c>
      <c r="AG56" s="309">
        <f t="shared" si="50"/>
        <v>9.5651410730678288E-2</v>
      </c>
      <c r="AH56" s="309">
        <f t="shared" si="51"/>
        <v>9.5651410730678288E-2</v>
      </c>
      <c r="AI56" s="309">
        <f t="shared" si="52"/>
        <v>0.19130282146135658</v>
      </c>
      <c r="AJ56" s="288">
        <f t="shared" si="53"/>
        <v>-0.5</v>
      </c>
      <c r="AK56" s="288">
        <f t="shared" si="54"/>
        <v>1.5</v>
      </c>
      <c r="AL56" s="288">
        <f t="shared" si="55"/>
        <v>0.24900300093664302</v>
      </c>
      <c r="AM56" s="306">
        <f t="shared" si="56"/>
        <v>0.75099699906335693</v>
      </c>
      <c r="AP56" s="307">
        <f t="shared" si="57"/>
        <v>0.79902446503166191</v>
      </c>
      <c r="AQ56" s="288">
        <f t="shared" si="58"/>
        <v>0.79902446503166202</v>
      </c>
      <c r="AR56" s="308">
        <f t="shared" si="59"/>
        <v>0.8707599522060443</v>
      </c>
      <c r="AS56" s="308">
        <f t="shared" si="60"/>
        <v>0.8707599522060443</v>
      </c>
      <c r="AT56" s="309">
        <f t="shared" si="61"/>
        <v>0.74151990441208859</v>
      </c>
      <c r="AU56" s="309">
        <f t="shared" si="62"/>
        <v>0.1292400477939557</v>
      </c>
      <c r="AV56" s="309">
        <f t="shared" si="63"/>
        <v>0.1292400477939557</v>
      </c>
      <c r="AW56" s="328">
        <f t="shared" si="64"/>
        <v>0.25848009558791141</v>
      </c>
    </row>
    <row r="57" spans="1:49" s="74" customFormat="1" ht="15" customHeight="1">
      <c r="C57" s="610"/>
      <c r="D57" s="615"/>
      <c r="E57" s="615"/>
      <c r="F57" s="546"/>
      <c r="G57" s="544"/>
      <c r="H57" s="547"/>
      <c r="I57" s="618"/>
      <c r="J57" s="101"/>
      <c r="K57" s="69"/>
      <c r="L57" s="69"/>
      <c r="M57" s="69"/>
      <c r="N57" s="86"/>
      <c r="O57" s="69"/>
      <c r="P57" s="69"/>
      <c r="R57" s="86"/>
      <c r="Y57" s="310"/>
      <c r="Z57" s="288">
        <f t="shared" si="65"/>
        <v>0.54999999999999993</v>
      </c>
      <c r="AA57" s="288">
        <f t="shared" si="44"/>
        <v>0.55263157894736836</v>
      </c>
      <c r="AB57" s="288">
        <f t="shared" si="45"/>
        <v>1.0212644634019556</v>
      </c>
      <c r="AC57" s="288">
        <f t="shared" si="46"/>
        <v>0.8267378989444405</v>
      </c>
      <c r="AD57" s="308">
        <f t="shared" si="47"/>
        <v>0.92567070448369426</v>
      </c>
      <c r="AE57" s="308">
        <f t="shared" si="48"/>
        <v>0.87883516647285798</v>
      </c>
      <c r="AF57" s="309">
        <f t="shared" si="49"/>
        <v>0.80450587095655224</v>
      </c>
      <c r="AG57" s="309">
        <f t="shared" si="50"/>
        <v>7.4329295516305738E-2</v>
      </c>
      <c r="AH57" s="309">
        <f t="shared" si="51"/>
        <v>0.12116483352714202</v>
      </c>
      <c r="AI57" s="309">
        <f t="shared" si="52"/>
        <v>0.19549412904344776</v>
      </c>
      <c r="AJ57" s="288">
        <f t="shared" si="53"/>
        <v>-0.45000000000000007</v>
      </c>
      <c r="AK57" s="288">
        <f t="shared" si="54"/>
        <v>1.5499999999999998</v>
      </c>
      <c r="AL57" s="288">
        <f t="shared" si="55"/>
        <v>0.299003000936643</v>
      </c>
      <c r="AM57" s="306">
        <f t="shared" si="56"/>
        <v>0.80099699906335686</v>
      </c>
      <c r="AP57" s="307">
        <f t="shared" si="57"/>
        <v>0.88313230345604732</v>
      </c>
      <c r="AQ57" s="288">
        <f t="shared" si="58"/>
        <v>0.71491662660727662</v>
      </c>
      <c r="AR57" s="308">
        <f t="shared" si="59"/>
        <v>0.89415601890753693</v>
      </c>
      <c r="AS57" s="308">
        <f t="shared" si="60"/>
        <v>0.84400237505903131</v>
      </c>
      <c r="AT57" s="309">
        <f t="shared" si="61"/>
        <v>0.73815839396656813</v>
      </c>
      <c r="AU57" s="309">
        <f t="shared" si="62"/>
        <v>0.10584398109246307</v>
      </c>
      <c r="AV57" s="309">
        <f t="shared" si="63"/>
        <v>0.15599762494096869</v>
      </c>
      <c r="AW57" s="328">
        <f t="shared" si="64"/>
        <v>0.26184160603343187</v>
      </c>
    </row>
    <row r="58" spans="1:49" s="74" customFormat="1" ht="15" customHeight="1">
      <c r="C58" s="610"/>
      <c r="D58" s="615"/>
      <c r="E58" s="615"/>
      <c r="F58" s="546"/>
      <c r="G58" s="544"/>
      <c r="H58" s="547"/>
      <c r="I58" s="548"/>
      <c r="J58" s="14"/>
      <c r="K58" s="69"/>
      <c r="L58" s="69"/>
      <c r="M58" s="69"/>
      <c r="N58" s="86"/>
      <c r="O58" s="69"/>
      <c r="P58" s="69"/>
      <c r="R58" s="86"/>
      <c r="Y58" s="310"/>
      <c r="Z58" s="288">
        <f t="shared" si="65"/>
        <v>0.6</v>
      </c>
      <c r="AA58" s="288">
        <f t="shared" si="44"/>
        <v>0.60526315789473684</v>
      </c>
      <c r="AB58" s="288">
        <f t="shared" si="45"/>
        <v>1.1185277456307134</v>
      </c>
      <c r="AC58" s="288">
        <f t="shared" si="46"/>
        <v>0.7294746167156827</v>
      </c>
      <c r="AD58" s="308">
        <f t="shared" si="47"/>
        <v>0.94315660099403786</v>
      </c>
      <c r="AE58" s="308">
        <f t="shared" si="48"/>
        <v>0.84887781717177213</v>
      </c>
      <c r="AF58" s="309">
        <f t="shared" si="49"/>
        <v>0.79203441816581011</v>
      </c>
      <c r="AG58" s="309">
        <f t="shared" si="50"/>
        <v>5.6843399005962136E-2</v>
      </c>
      <c r="AH58" s="309">
        <f t="shared" si="51"/>
        <v>0.15112218282822787</v>
      </c>
      <c r="AI58" s="309">
        <f t="shared" si="52"/>
        <v>0.20796558183418989</v>
      </c>
      <c r="AJ58" s="288">
        <f t="shared" si="53"/>
        <v>-0.4</v>
      </c>
      <c r="AK58" s="288">
        <f t="shared" si="54"/>
        <v>1.6</v>
      </c>
      <c r="AL58" s="288">
        <f t="shared" si="55"/>
        <v>0.34900300093664305</v>
      </c>
      <c r="AM58" s="306">
        <f t="shared" si="56"/>
        <v>0.85099699906335691</v>
      </c>
      <c r="AP58" s="307">
        <f t="shared" si="57"/>
        <v>0.96724014188043295</v>
      </c>
      <c r="AQ58" s="288">
        <f t="shared" si="58"/>
        <v>0.6308087881828911</v>
      </c>
      <c r="AR58" s="308">
        <f t="shared" si="59"/>
        <v>0.91432579252255186</v>
      </c>
      <c r="AS58" s="308">
        <f t="shared" si="60"/>
        <v>0.81382988746366514</v>
      </c>
      <c r="AT58" s="309">
        <f t="shared" si="61"/>
        <v>0.728155679986217</v>
      </c>
      <c r="AU58" s="309">
        <f t="shared" si="62"/>
        <v>8.5674207477448139E-2</v>
      </c>
      <c r="AV58" s="309">
        <f t="shared" si="63"/>
        <v>0.18617011253633486</v>
      </c>
      <c r="AW58" s="328">
        <f t="shared" si="64"/>
        <v>0.271844320013783</v>
      </c>
    </row>
    <row r="59" spans="1:49" s="74" customFormat="1" ht="15" customHeight="1">
      <c r="A59" s="545"/>
      <c r="B59" s="544"/>
      <c r="C59" s="544"/>
      <c r="D59" s="546"/>
      <c r="E59" s="546"/>
      <c r="F59" s="546"/>
      <c r="G59" s="544"/>
      <c r="H59" s="547"/>
      <c r="I59" s="548"/>
      <c r="J59" s="14"/>
      <c r="R59" s="206"/>
      <c r="U59" s="574"/>
      <c r="V59" s="575"/>
      <c r="X59" s="96"/>
      <c r="Y59" s="310"/>
      <c r="Z59" s="288">
        <f t="shared" si="65"/>
        <v>0.65</v>
      </c>
      <c r="AA59" s="288">
        <f t="shared" si="44"/>
        <v>0.65789473684210531</v>
      </c>
      <c r="AB59" s="288">
        <f t="shared" si="45"/>
        <v>1.2157910278594712</v>
      </c>
      <c r="AC59" s="288">
        <f t="shared" si="46"/>
        <v>0.6322113344869249</v>
      </c>
      <c r="AD59" s="308">
        <f t="shared" si="47"/>
        <v>0.95722812813514591</v>
      </c>
      <c r="AE59" s="308">
        <f t="shared" si="48"/>
        <v>0.81436094726634933</v>
      </c>
      <c r="AF59" s="309">
        <f t="shared" si="49"/>
        <v>0.77158907540149535</v>
      </c>
      <c r="AG59" s="309">
        <f t="shared" si="50"/>
        <v>4.2771871864854094E-2</v>
      </c>
      <c r="AH59" s="309">
        <f t="shared" si="51"/>
        <v>0.18563905273365067</v>
      </c>
      <c r="AI59" s="309">
        <f t="shared" si="52"/>
        <v>0.22841092459850465</v>
      </c>
      <c r="AJ59" s="288">
        <f t="shared" si="53"/>
        <v>-0.35</v>
      </c>
      <c r="AK59" s="288">
        <f t="shared" si="54"/>
        <v>1.65</v>
      </c>
      <c r="AL59" s="288">
        <f t="shared" si="55"/>
        <v>0.39900300093664309</v>
      </c>
      <c r="AM59" s="306">
        <f t="shared" si="56"/>
        <v>0.90099699906335695</v>
      </c>
      <c r="AP59" s="307">
        <f t="shared" si="57"/>
        <v>1.0513479803048185</v>
      </c>
      <c r="AQ59" s="288">
        <f t="shared" si="58"/>
        <v>0.54670094975850547</v>
      </c>
      <c r="AR59" s="308">
        <f t="shared" si="59"/>
        <v>0.93147019838218426</v>
      </c>
      <c r="AS59" s="308">
        <f t="shared" si="60"/>
        <v>0.78028375174542797</v>
      </c>
      <c r="AT59" s="309">
        <f t="shared" si="61"/>
        <v>0.71175395012761222</v>
      </c>
      <c r="AU59" s="309">
        <f t="shared" si="62"/>
        <v>6.8529801617815744E-2</v>
      </c>
      <c r="AV59" s="309">
        <f t="shared" si="63"/>
        <v>0.21971624825457203</v>
      </c>
      <c r="AW59" s="328">
        <f t="shared" si="64"/>
        <v>0.28824604987238778</v>
      </c>
    </row>
    <row r="60" spans="1:49" s="74" customFormat="1" ht="15" customHeight="1">
      <c r="A60" s="545"/>
      <c r="B60" s="544"/>
      <c r="C60" s="14"/>
      <c r="D60" s="14"/>
      <c r="E60" s="14"/>
      <c r="F60" s="14"/>
      <c r="G60" s="14"/>
      <c r="H60" s="14"/>
      <c r="I60" s="548"/>
      <c r="J60" s="14"/>
      <c r="R60" s="206"/>
      <c r="U60" s="574"/>
      <c r="V60" s="575"/>
      <c r="X60" s="96"/>
      <c r="Y60" s="310"/>
      <c r="Z60" s="288">
        <f t="shared" si="65"/>
        <v>0.70000000000000007</v>
      </c>
      <c r="AA60" s="288">
        <f t="shared" si="44"/>
        <v>0.71052631578947378</v>
      </c>
      <c r="AB60" s="288">
        <f t="shared" si="45"/>
        <v>1.3130543100882288</v>
      </c>
      <c r="AC60" s="288">
        <f t="shared" si="46"/>
        <v>0.53494805225816711</v>
      </c>
      <c r="AD60" s="308">
        <f t="shared" si="47"/>
        <v>0.96834009217269856</v>
      </c>
      <c r="AE60" s="308">
        <f t="shared" si="48"/>
        <v>0.77533448827920881</v>
      </c>
      <c r="AF60" s="309">
        <f t="shared" si="49"/>
        <v>0.74367458045190737</v>
      </c>
      <c r="AG60" s="309">
        <f t="shared" si="50"/>
        <v>3.1659907827301437E-2</v>
      </c>
      <c r="AH60" s="309">
        <f t="shared" si="51"/>
        <v>0.22466551172079119</v>
      </c>
      <c r="AI60" s="309">
        <f t="shared" si="52"/>
        <v>0.25632541954809263</v>
      </c>
      <c r="AJ60" s="288">
        <f t="shared" si="53"/>
        <v>-0.29999999999999993</v>
      </c>
      <c r="AK60" s="288">
        <f t="shared" si="54"/>
        <v>1.7000000000000002</v>
      </c>
      <c r="AL60" s="288">
        <f t="shared" si="55"/>
        <v>0.44900300093664314</v>
      </c>
      <c r="AM60" s="306">
        <f t="shared" si="56"/>
        <v>0.950996999063357</v>
      </c>
      <c r="AP60" s="307">
        <f t="shared" si="57"/>
        <v>1.1354558187292039</v>
      </c>
      <c r="AQ60" s="288">
        <f t="shared" si="58"/>
        <v>0.46259311133411996</v>
      </c>
      <c r="AR60" s="308">
        <f t="shared" si="59"/>
        <v>0.94583853011160046</v>
      </c>
      <c r="AS60" s="308">
        <f t="shared" si="60"/>
        <v>0.7435102749087048</v>
      </c>
      <c r="AT60" s="309">
        <f t="shared" si="61"/>
        <v>0.68934880502030538</v>
      </c>
      <c r="AU60" s="309">
        <f t="shared" si="62"/>
        <v>5.4161469888399538E-2</v>
      </c>
      <c r="AV60" s="309">
        <f t="shared" si="63"/>
        <v>0.2564897250912952</v>
      </c>
      <c r="AW60" s="328">
        <f t="shared" si="64"/>
        <v>0.31065119497969462</v>
      </c>
    </row>
    <row r="61" spans="1:49" s="74" customFormat="1" ht="15" customHeight="1">
      <c r="B61" s="14"/>
      <c r="C61" s="14"/>
      <c r="D61" s="14"/>
      <c r="E61" s="14"/>
      <c r="F61" s="14"/>
      <c r="G61" s="14"/>
      <c r="H61" s="14"/>
      <c r="I61" s="14"/>
      <c r="J61" s="14"/>
      <c r="R61" s="206"/>
      <c r="U61" s="572"/>
      <c r="V61" s="573"/>
      <c r="X61" s="96"/>
      <c r="Y61" s="310"/>
      <c r="Z61" s="288">
        <f t="shared" si="65"/>
        <v>0.75000000000000011</v>
      </c>
      <c r="AA61" s="288">
        <f t="shared" si="44"/>
        <v>0.76315789473684226</v>
      </c>
      <c r="AB61" s="288">
        <f t="shared" si="45"/>
        <v>1.4103175923169866</v>
      </c>
      <c r="AC61" s="288">
        <f t="shared" si="46"/>
        <v>0.43768477002940931</v>
      </c>
      <c r="AD61" s="308">
        <f t="shared" si="47"/>
        <v>0.97695074518934044</v>
      </c>
      <c r="AE61" s="308">
        <f t="shared" si="48"/>
        <v>0.73203514625731658</v>
      </c>
      <c r="AF61" s="309">
        <f t="shared" si="49"/>
        <v>0.70898589144665713</v>
      </c>
      <c r="AG61" s="309">
        <f t="shared" si="50"/>
        <v>2.3049254810659559E-2</v>
      </c>
      <c r="AH61" s="309">
        <f t="shared" si="51"/>
        <v>0.26796485374268342</v>
      </c>
      <c r="AI61" s="309">
        <f t="shared" si="52"/>
        <v>0.29101410855334287</v>
      </c>
      <c r="AJ61" s="288">
        <f t="shared" si="53"/>
        <v>-0.24999999999999989</v>
      </c>
      <c r="AK61" s="288">
        <f t="shared" si="54"/>
        <v>1.75</v>
      </c>
      <c r="AL61" s="288">
        <f t="shared" si="55"/>
        <v>0.49900300093664318</v>
      </c>
      <c r="AM61" s="306">
        <f t="shared" si="56"/>
        <v>1.0009969990633572</v>
      </c>
      <c r="AP61" s="307">
        <f t="shared" si="57"/>
        <v>1.2195636571535895</v>
      </c>
      <c r="AQ61" s="288">
        <f t="shared" si="58"/>
        <v>0.37848527290973438</v>
      </c>
      <c r="AR61" s="308">
        <f t="shared" si="59"/>
        <v>0.95771132699621031</v>
      </c>
      <c r="AS61" s="308">
        <f t="shared" si="60"/>
        <v>0.70376461467898699</v>
      </c>
      <c r="AT61" s="309">
        <f t="shared" si="61"/>
        <v>0.66147594167519719</v>
      </c>
      <c r="AU61" s="309">
        <f t="shared" si="62"/>
        <v>4.228867300378969E-2</v>
      </c>
      <c r="AV61" s="309">
        <f t="shared" si="63"/>
        <v>0.29623538532101301</v>
      </c>
      <c r="AW61" s="328">
        <f t="shared" si="64"/>
        <v>0.33852405832480281</v>
      </c>
    </row>
    <row r="62" spans="1:49" s="74" customFormat="1" ht="15" customHeight="1">
      <c r="B62" s="14"/>
      <c r="C62" s="14"/>
      <c r="D62" s="14"/>
      <c r="E62" s="14"/>
      <c r="F62" s="14"/>
      <c r="G62" s="14"/>
      <c r="H62" s="14"/>
      <c r="I62" s="14"/>
      <c r="J62" s="14"/>
      <c r="R62" s="206"/>
      <c r="U62" s="572"/>
      <c r="V62" s="573"/>
      <c r="X62" s="96"/>
      <c r="Y62" s="310"/>
      <c r="Z62" s="288">
        <f t="shared" si="65"/>
        <v>0.80000000000000016</v>
      </c>
      <c r="AA62" s="288">
        <f t="shared" si="44"/>
        <v>0.81578947368421062</v>
      </c>
      <c r="AB62" s="288">
        <f t="shared" si="45"/>
        <v>1.5075808745457444</v>
      </c>
      <c r="AC62" s="288">
        <f t="shared" si="46"/>
        <v>0.34042148780065179</v>
      </c>
      <c r="AD62" s="308">
        <f t="shared" si="47"/>
        <v>0.98349827285550639</v>
      </c>
      <c r="AE62" s="308">
        <f t="shared" si="48"/>
        <v>0.68489407295367455</v>
      </c>
      <c r="AF62" s="309">
        <f t="shared" si="49"/>
        <v>0.66839234580918094</v>
      </c>
      <c r="AG62" s="309">
        <f t="shared" si="50"/>
        <v>1.6501727144493605E-2</v>
      </c>
      <c r="AH62" s="309">
        <f t="shared" si="51"/>
        <v>0.31510592704632545</v>
      </c>
      <c r="AI62" s="309">
        <f t="shared" si="52"/>
        <v>0.33160765419081906</v>
      </c>
      <c r="AJ62" s="288">
        <f t="shared" si="53"/>
        <v>-0.19999999999999984</v>
      </c>
      <c r="AK62" s="288">
        <f t="shared" si="54"/>
        <v>1.8000000000000003</v>
      </c>
      <c r="AL62" s="288">
        <f t="shared" si="55"/>
        <v>0.54900300093664323</v>
      </c>
      <c r="AM62" s="306">
        <f t="shared" si="56"/>
        <v>1.050996999063357</v>
      </c>
      <c r="AP62" s="307">
        <f t="shared" si="57"/>
        <v>1.3036714955779751</v>
      </c>
      <c r="AQ62" s="288">
        <f t="shared" si="58"/>
        <v>0.29437743448534903</v>
      </c>
      <c r="AR62" s="308">
        <f t="shared" si="59"/>
        <v>0.96738436222968927</v>
      </c>
      <c r="AS62" s="308">
        <f t="shared" si="60"/>
        <v>0.66140934857344691</v>
      </c>
      <c r="AT62" s="309">
        <f t="shared" si="61"/>
        <v>0.62879371080313629</v>
      </c>
      <c r="AU62" s="309">
        <f t="shared" si="62"/>
        <v>3.2615637770310735E-2</v>
      </c>
      <c r="AV62" s="309">
        <f t="shared" si="63"/>
        <v>0.33859065142655309</v>
      </c>
      <c r="AW62" s="328">
        <f t="shared" si="64"/>
        <v>0.37120628919686371</v>
      </c>
    </row>
    <row r="63" spans="1:49" s="74" customFormat="1" ht="15" customHeight="1">
      <c r="B63" s="14"/>
      <c r="C63" s="14"/>
      <c r="D63" s="14"/>
      <c r="E63" s="14"/>
      <c r="F63" s="14"/>
      <c r="G63" s="14"/>
      <c r="H63" s="14"/>
      <c r="I63" s="14"/>
      <c r="J63" s="14"/>
      <c r="R63" s="206"/>
      <c r="T63" s="89"/>
      <c r="U63" s="572"/>
      <c r="V63" s="573"/>
      <c r="X63" s="96"/>
      <c r="Y63" s="310"/>
      <c r="Z63" s="288">
        <f t="shared" si="65"/>
        <v>0.8500000000000002</v>
      </c>
      <c r="AA63" s="288">
        <f t="shared" si="44"/>
        <v>0.8684210526315792</v>
      </c>
      <c r="AB63" s="288">
        <f t="shared" si="45"/>
        <v>1.6048441567745022</v>
      </c>
      <c r="AC63" s="288">
        <f t="shared" si="46"/>
        <v>0.24315820557189374</v>
      </c>
      <c r="AD63" s="308">
        <f t="shared" si="47"/>
        <v>0.98838383498252602</v>
      </c>
      <c r="AE63" s="308">
        <f t="shared" si="48"/>
        <v>0.634530842622266</v>
      </c>
      <c r="AF63" s="309">
        <f t="shared" si="49"/>
        <v>0.62291467760479202</v>
      </c>
      <c r="AG63" s="309">
        <f t="shared" si="50"/>
        <v>1.1616165017473978E-2</v>
      </c>
      <c r="AH63" s="309">
        <f t="shared" si="51"/>
        <v>0.365469157377734</v>
      </c>
      <c r="AI63" s="309">
        <f t="shared" si="52"/>
        <v>0.37708532239520798</v>
      </c>
      <c r="AJ63" s="288">
        <f t="shared" si="53"/>
        <v>-0.1499999999999998</v>
      </c>
      <c r="AK63" s="288">
        <f t="shared" si="54"/>
        <v>1.85</v>
      </c>
      <c r="AL63" s="288">
        <f t="shared" si="55"/>
        <v>0.59900300093664327</v>
      </c>
      <c r="AM63" s="306">
        <f t="shared" si="56"/>
        <v>1.1009969990633572</v>
      </c>
      <c r="AP63" s="307">
        <f t="shared" si="57"/>
        <v>1.3877793340023608</v>
      </c>
      <c r="AQ63" s="288">
        <f t="shared" si="58"/>
        <v>0.21026959606096327</v>
      </c>
      <c r="AR63" s="308">
        <f t="shared" si="59"/>
        <v>0.97515461082556487</v>
      </c>
      <c r="AS63" s="308">
        <f t="shared" si="60"/>
        <v>0.61690649447081292</v>
      </c>
      <c r="AT63" s="309">
        <f t="shared" si="61"/>
        <v>0.59206110529637779</v>
      </c>
      <c r="AU63" s="309">
        <f t="shared" si="62"/>
        <v>2.4845389174435129E-2</v>
      </c>
      <c r="AV63" s="309">
        <f t="shared" si="63"/>
        <v>0.38309350552918708</v>
      </c>
      <c r="AW63" s="328">
        <f t="shared" si="64"/>
        <v>0.40793889470362221</v>
      </c>
    </row>
    <row r="64" spans="1:49" s="74" customFormat="1" ht="15" customHeight="1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01"/>
      <c r="S64" s="14"/>
      <c r="T64" s="98"/>
      <c r="U64" s="572"/>
      <c r="V64" s="573"/>
      <c r="X64" s="96"/>
      <c r="Y64" s="310"/>
      <c r="Z64" s="288">
        <f t="shared" si="65"/>
        <v>0.90000000000000024</v>
      </c>
      <c r="AA64" s="288">
        <f t="shared" si="44"/>
        <v>0.92105263157894757</v>
      </c>
      <c r="AB64" s="288">
        <f t="shared" si="45"/>
        <v>1.7021074390032598</v>
      </c>
      <c r="AC64" s="288">
        <f t="shared" si="46"/>
        <v>0.14589492334313617</v>
      </c>
      <c r="AD64" s="308">
        <f t="shared" si="47"/>
        <v>0.99196107241913678</v>
      </c>
      <c r="AE64" s="308">
        <f t="shared" si="48"/>
        <v>0.58173209103536805</v>
      </c>
      <c r="AF64" s="309">
        <f t="shared" si="49"/>
        <v>0.57369316345450483</v>
      </c>
      <c r="AG64" s="309">
        <f t="shared" si="50"/>
        <v>8.0389275808632199E-3</v>
      </c>
      <c r="AH64" s="309">
        <f t="shared" si="51"/>
        <v>0.41826790896463195</v>
      </c>
      <c r="AI64" s="309">
        <f t="shared" si="52"/>
        <v>0.42630683654549517</v>
      </c>
      <c r="AJ64" s="288">
        <f t="shared" si="53"/>
        <v>-9.9999999999999756E-2</v>
      </c>
      <c r="AK64" s="288">
        <f t="shared" si="54"/>
        <v>1.9000000000000004</v>
      </c>
      <c r="AL64" s="288">
        <f t="shared" si="55"/>
        <v>0.64900300093664332</v>
      </c>
      <c r="AM64" s="306">
        <f t="shared" si="56"/>
        <v>1.1509969990633571</v>
      </c>
      <c r="AP64" s="307">
        <f t="shared" si="57"/>
        <v>1.4718871724267459</v>
      </c>
      <c r="AQ64" s="288">
        <f t="shared" si="58"/>
        <v>0.12616175763657789</v>
      </c>
      <c r="AR64" s="308">
        <f t="shared" si="59"/>
        <v>0.9813087854218685</v>
      </c>
      <c r="AS64" s="308">
        <f t="shared" si="60"/>
        <v>0.5708032981285508</v>
      </c>
      <c r="AT64" s="309">
        <f t="shared" si="61"/>
        <v>0.55211208355041919</v>
      </c>
      <c r="AU64" s="309">
        <f t="shared" si="62"/>
        <v>1.8691214578131499E-2</v>
      </c>
      <c r="AV64" s="309">
        <f t="shared" si="63"/>
        <v>0.4291967018714492</v>
      </c>
      <c r="AW64" s="328">
        <f t="shared" si="64"/>
        <v>0.44788791644958081</v>
      </c>
    </row>
    <row r="65" spans="2:49" s="74" customFormat="1" ht="15" customHeight="1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01"/>
      <c r="S65" s="14"/>
      <c r="T65" s="98"/>
      <c r="U65" s="572"/>
      <c r="V65" s="573"/>
      <c r="X65" s="96"/>
      <c r="Y65" s="310"/>
      <c r="Z65" s="288">
        <f t="shared" si="65"/>
        <v>0.95000000000000029</v>
      </c>
      <c r="AA65" s="288">
        <f t="shared" si="44"/>
        <v>0.97368421052631604</v>
      </c>
      <c r="AB65" s="288">
        <f t="shared" si="45"/>
        <v>1.7993707212320176</v>
      </c>
      <c r="AC65" s="288">
        <f t="shared" si="46"/>
        <v>4.8631641114378385E-2</v>
      </c>
      <c r="AD65" s="308">
        <f t="shared" si="47"/>
        <v>0.99453133019329054</v>
      </c>
      <c r="AE65" s="308">
        <f t="shared" si="48"/>
        <v>0.52741585048150164</v>
      </c>
      <c r="AF65" s="309">
        <f t="shared" si="49"/>
        <v>0.52194718067479218</v>
      </c>
      <c r="AG65" s="309">
        <f t="shared" si="50"/>
        <v>5.4686698067094586E-3</v>
      </c>
      <c r="AH65" s="309">
        <f t="shared" si="51"/>
        <v>0.47258414951849836</v>
      </c>
      <c r="AI65" s="309">
        <f t="shared" si="52"/>
        <v>0.47805281932520782</v>
      </c>
      <c r="AJ65" s="288">
        <f t="shared" si="53"/>
        <v>-4.9999999999999711E-2</v>
      </c>
      <c r="AK65" s="288">
        <f t="shared" si="54"/>
        <v>1.9500000000000002</v>
      </c>
      <c r="AL65" s="288">
        <f t="shared" si="55"/>
        <v>0.69900300093664336</v>
      </c>
      <c r="AM65" s="306">
        <f t="shared" si="56"/>
        <v>1.2009969990633573</v>
      </c>
      <c r="AP65" s="307">
        <f t="shared" si="57"/>
        <v>1.5559950108511316</v>
      </c>
      <c r="AQ65" s="288">
        <f t="shared" si="58"/>
        <v>4.2053919212192335E-2</v>
      </c>
      <c r="AR65" s="308">
        <f t="shared" si="59"/>
        <v>0.98611460658027417</v>
      </c>
      <c r="AS65" s="308">
        <f t="shared" si="60"/>
        <v>0.52371240362621041</v>
      </c>
      <c r="AT65" s="309">
        <f t="shared" si="61"/>
        <v>0.50982701020648458</v>
      </c>
      <c r="AU65" s="309">
        <f t="shared" si="62"/>
        <v>1.3885393419725833E-2</v>
      </c>
      <c r="AV65" s="309">
        <f t="shared" si="63"/>
        <v>0.47628759637378959</v>
      </c>
      <c r="AW65" s="328">
        <f t="shared" si="64"/>
        <v>0.49017298979351542</v>
      </c>
    </row>
    <row r="66" spans="2:49" s="74" customFormat="1" ht="15" customHeight="1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01"/>
      <c r="S66" s="14"/>
      <c r="T66" s="98"/>
      <c r="U66" s="572"/>
      <c r="V66" s="573"/>
      <c r="X66" s="96"/>
      <c r="Y66" s="310"/>
      <c r="Z66" s="288">
        <f t="shared" si="65"/>
        <v>1.0000000000000002</v>
      </c>
      <c r="AA66" s="288">
        <f t="shared" si="44"/>
        <v>1.0263157894736845</v>
      </c>
      <c r="AB66" s="288">
        <f t="shared" si="45"/>
        <v>1.8966340034607754</v>
      </c>
      <c r="AC66" s="288">
        <f t="shared" si="46"/>
        <v>-4.8631641114379405E-2</v>
      </c>
      <c r="AD66" s="308">
        <f t="shared" si="47"/>
        <v>0.9963435116496604</v>
      </c>
      <c r="AE66" s="308" t="e">
        <f t="shared" si="48"/>
        <v>#NUM!</v>
      </c>
      <c r="AF66" s="309" t="e">
        <f t="shared" si="49"/>
        <v>#NUM!</v>
      </c>
      <c r="AG66" s="309">
        <f t="shared" si="50"/>
        <v>3.656488350339604E-3</v>
      </c>
      <c r="AH66" s="309" t="e">
        <f t="shared" si="51"/>
        <v>#NUM!</v>
      </c>
      <c r="AI66" s="309" t="e">
        <f t="shared" si="52"/>
        <v>#NUM!</v>
      </c>
      <c r="AJ66" s="288">
        <f t="shared" si="53"/>
        <v>0</v>
      </c>
      <c r="AK66" s="288">
        <f t="shared" si="54"/>
        <v>2</v>
      </c>
      <c r="AL66" s="288">
        <f t="shared" si="55"/>
        <v>0.74900300093664329</v>
      </c>
      <c r="AM66" s="306">
        <f t="shared" si="56"/>
        <v>1.2509969990633572</v>
      </c>
      <c r="AP66" s="307">
        <f t="shared" si="57"/>
        <v>1.6401028492755172</v>
      </c>
      <c r="AQ66" s="288">
        <f t="shared" si="58"/>
        <v>-4.2053919212193223E-2</v>
      </c>
      <c r="AR66" s="308">
        <f t="shared" si="59"/>
        <v>0.98981482856449665</v>
      </c>
      <c r="AS66" s="308" t="e">
        <f t="shared" si="60"/>
        <v>#NUM!</v>
      </c>
      <c r="AT66" s="309" t="e">
        <f t="shared" si="61"/>
        <v>#NUM!</v>
      </c>
      <c r="AU66" s="309">
        <f t="shared" si="62"/>
        <v>1.0185171435503348E-2</v>
      </c>
      <c r="AV66" s="309" t="e">
        <f t="shared" si="63"/>
        <v>#NUM!</v>
      </c>
      <c r="AW66" s="328" t="e">
        <f t="shared" si="64"/>
        <v>#NUM!</v>
      </c>
    </row>
    <row r="67" spans="2:49" s="74" customFormat="1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01"/>
      <c r="S67" s="14"/>
      <c r="T67" s="98"/>
      <c r="U67" s="576"/>
      <c r="V67" s="571"/>
      <c r="X67" s="96"/>
      <c r="Y67" s="310"/>
      <c r="Z67" s="288">
        <f t="shared" si="65"/>
        <v>1.0500000000000003</v>
      </c>
      <c r="AA67" s="288">
        <f t="shared" si="44"/>
        <v>1.0789473684210529</v>
      </c>
      <c r="AB67" s="288">
        <f t="shared" si="45"/>
        <v>1.9938972856895329</v>
      </c>
      <c r="AC67" s="288">
        <f t="shared" si="46"/>
        <v>-0.145894923343137</v>
      </c>
      <c r="AD67" s="308">
        <f t="shared" si="47"/>
        <v>0.99759729480664761</v>
      </c>
      <c r="AE67" s="308" t="e">
        <f t="shared" si="48"/>
        <v>#NUM!</v>
      </c>
      <c r="AF67" s="309" t="e">
        <f t="shared" si="49"/>
        <v>#NUM!</v>
      </c>
      <c r="AG67" s="309">
        <f t="shared" si="50"/>
        <v>2.4027051933523946E-3</v>
      </c>
      <c r="AH67" s="309" t="e">
        <f t="shared" si="51"/>
        <v>#NUM!</v>
      </c>
      <c r="AI67" s="309" t="e">
        <f t="shared" si="52"/>
        <v>#NUM!</v>
      </c>
      <c r="AJ67" s="288">
        <f t="shared" si="53"/>
        <v>5.0000000000000266E-2</v>
      </c>
      <c r="AK67" s="288">
        <f t="shared" si="54"/>
        <v>2.0500000000000003</v>
      </c>
      <c r="AL67" s="288">
        <f t="shared" si="55"/>
        <v>0.79900300093664334</v>
      </c>
      <c r="AM67" s="306">
        <f t="shared" si="56"/>
        <v>1.3009969990633572</v>
      </c>
      <c r="AP67" s="307">
        <f t="shared" si="57"/>
        <v>1.7242106876999024</v>
      </c>
      <c r="AQ67" s="288">
        <f t="shared" si="58"/>
        <v>-0.12616175763657861</v>
      </c>
      <c r="AR67" s="308">
        <f t="shared" si="59"/>
        <v>0.99262382343096034</v>
      </c>
      <c r="AS67" s="308" t="e">
        <f t="shared" si="60"/>
        <v>#NUM!</v>
      </c>
      <c r="AT67" s="309" t="e">
        <f t="shared" si="61"/>
        <v>#NUM!</v>
      </c>
      <c r="AU67" s="309">
        <f t="shared" si="62"/>
        <v>7.3761765690396608E-3</v>
      </c>
      <c r="AV67" s="309" t="e">
        <f t="shared" si="63"/>
        <v>#NUM!</v>
      </c>
      <c r="AW67" s="328" t="e">
        <f t="shared" si="64"/>
        <v>#NUM!</v>
      </c>
    </row>
    <row r="68" spans="2:49" s="74" customForma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01"/>
      <c r="S68" s="14"/>
      <c r="T68" s="98"/>
      <c r="U68" s="576"/>
      <c r="V68" s="579"/>
      <c r="X68" s="96"/>
      <c r="Y68" s="310"/>
      <c r="Z68" s="288">
        <f t="shared" si="65"/>
        <v>1.1000000000000003</v>
      </c>
      <c r="AA68" s="288">
        <f t="shared" si="44"/>
        <v>1.1315789473684212</v>
      </c>
      <c r="AB68" s="288">
        <f t="shared" si="45"/>
        <v>2.091160567918291</v>
      </c>
      <c r="AC68" s="288">
        <f t="shared" si="46"/>
        <v>-0.24315820557189458</v>
      </c>
      <c r="AD68" s="308">
        <f t="shared" si="47"/>
        <v>0.998448509652621</v>
      </c>
      <c r="AE68" s="308" t="e">
        <f t="shared" si="48"/>
        <v>#NUM!</v>
      </c>
      <c r="AF68" s="309" t="e">
        <f t="shared" si="49"/>
        <v>#NUM!</v>
      </c>
      <c r="AG68" s="309">
        <f t="shared" si="50"/>
        <v>1.5514903473790032E-3</v>
      </c>
      <c r="AH68" s="309" t="e">
        <f t="shared" si="51"/>
        <v>#NUM!</v>
      </c>
      <c r="AI68" s="309" t="e">
        <f t="shared" si="52"/>
        <v>#NUM!</v>
      </c>
      <c r="AJ68" s="288">
        <f t="shared" si="53"/>
        <v>0.10000000000000031</v>
      </c>
      <c r="AK68" s="288">
        <f t="shared" si="54"/>
        <v>2.1000000000000005</v>
      </c>
      <c r="AL68" s="288">
        <f t="shared" si="55"/>
        <v>0.84900300093664338</v>
      </c>
      <c r="AM68" s="306">
        <f t="shared" si="56"/>
        <v>1.3509969990633572</v>
      </c>
      <c r="AP68" s="307">
        <f t="shared" si="57"/>
        <v>1.808318526124288</v>
      </c>
      <c r="AQ68" s="288">
        <f t="shared" si="58"/>
        <v>-0.21026959606096399</v>
      </c>
      <c r="AR68" s="308">
        <f t="shared" si="59"/>
        <v>0.99472632640173497</v>
      </c>
      <c r="AS68" s="308" t="e">
        <f t="shared" si="60"/>
        <v>#NUM!</v>
      </c>
      <c r="AT68" s="309" t="e">
        <f t="shared" si="61"/>
        <v>#NUM!</v>
      </c>
      <c r="AU68" s="309">
        <f t="shared" si="62"/>
        <v>5.2736735982650274E-3</v>
      </c>
      <c r="AV68" s="309" t="e">
        <f t="shared" si="63"/>
        <v>#NUM!</v>
      </c>
      <c r="AW68" s="328" t="e">
        <f t="shared" si="64"/>
        <v>#NUM!</v>
      </c>
    </row>
    <row r="69" spans="2:49" s="74" customForma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01"/>
      <c r="S69" s="14"/>
      <c r="T69" s="98"/>
      <c r="U69" s="574"/>
      <c r="V69" s="578"/>
      <c r="X69" s="96"/>
      <c r="Y69" s="310"/>
      <c r="Z69" s="288">
        <f t="shared" si="65"/>
        <v>1.1500000000000004</v>
      </c>
      <c r="AA69" s="288">
        <f t="shared" si="44"/>
        <v>1.1842105263157898</v>
      </c>
      <c r="AB69" s="288">
        <f t="shared" si="45"/>
        <v>2.1884238501470485</v>
      </c>
      <c r="AC69" s="288">
        <f t="shared" si="46"/>
        <v>-0.34042148780065251</v>
      </c>
      <c r="AD69" s="308">
        <f t="shared" si="47"/>
        <v>0.9990155993177452</v>
      </c>
      <c r="AE69" s="308" t="e">
        <f t="shared" si="48"/>
        <v>#NUM!</v>
      </c>
      <c r="AF69" s="309" t="e">
        <f t="shared" si="49"/>
        <v>#NUM!</v>
      </c>
      <c r="AG69" s="309">
        <f t="shared" si="50"/>
        <v>9.8440068225480459E-4</v>
      </c>
      <c r="AH69" s="309" t="e">
        <f t="shared" si="51"/>
        <v>#NUM!</v>
      </c>
      <c r="AI69" s="309" t="e">
        <f t="shared" si="52"/>
        <v>#NUM!</v>
      </c>
      <c r="AJ69" s="288">
        <f t="shared" si="53"/>
        <v>0.15000000000000036</v>
      </c>
      <c r="AK69" s="288">
        <f t="shared" si="54"/>
        <v>2.1500000000000004</v>
      </c>
      <c r="AL69" s="288">
        <f t="shared" si="55"/>
        <v>0.89900300093664343</v>
      </c>
      <c r="AM69" s="306">
        <f t="shared" si="56"/>
        <v>1.4009969990633573</v>
      </c>
      <c r="AP69" s="329">
        <f t="shared" si="57"/>
        <v>1.8924263645486736</v>
      </c>
      <c r="AQ69" s="312">
        <f t="shared" si="58"/>
        <v>-0.2943774344853497</v>
      </c>
      <c r="AR69" s="313">
        <f t="shared" si="59"/>
        <v>0.99627794569382178</v>
      </c>
      <c r="AS69" s="313" t="e">
        <f t="shared" si="60"/>
        <v>#NUM!</v>
      </c>
      <c r="AT69" s="314" t="e">
        <f t="shared" si="61"/>
        <v>#NUM!</v>
      </c>
      <c r="AU69" s="314">
        <f t="shared" si="62"/>
        <v>3.7220543061782241E-3</v>
      </c>
      <c r="AV69" s="314" t="e">
        <f t="shared" si="63"/>
        <v>#NUM!</v>
      </c>
      <c r="AW69" s="330" t="e">
        <f t="shared" si="64"/>
        <v>#NUM!</v>
      </c>
    </row>
    <row r="70" spans="2:49" s="74" customForma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01"/>
      <c r="S70" s="14"/>
      <c r="T70" s="98"/>
      <c r="U70" s="577"/>
      <c r="V70" s="577"/>
      <c r="X70" s="96"/>
      <c r="Y70" s="310"/>
      <c r="Z70" s="288">
        <f t="shared" si="65"/>
        <v>1.2000000000000004</v>
      </c>
      <c r="AA70" s="288">
        <f t="shared" si="44"/>
        <v>1.2368421052631584</v>
      </c>
      <c r="AB70" s="288">
        <f t="shared" si="45"/>
        <v>2.2856871323758066</v>
      </c>
      <c r="AC70" s="288">
        <f t="shared" si="46"/>
        <v>-0.43768477002941053</v>
      </c>
      <c r="AD70" s="308">
        <f t="shared" si="47"/>
        <v>0.99938633136175103</v>
      </c>
      <c r="AE70" s="308" t="e">
        <f t="shared" si="48"/>
        <v>#NUM!</v>
      </c>
      <c r="AF70" s="309" t="e">
        <f t="shared" si="49"/>
        <v>#NUM!</v>
      </c>
      <c r="AG70" s="309">
        <f t="shared" si="50"/>
        <v>6.1366863824896534E-4</v>
      </c>
      <c r="AH70" s="309" t="e">
        <f t="shared" si="51"/>
        <v>#NUM!</v>
      </c>
      <c r="AI70" s="309" t="e">
        <f t="shared" si="52"/>
        <v>#NUM!</v>
      </c>
      <c r="AJ70" s="288">
        <f t="shared" si="53"/>
        <v>0.2000000000000004</v>
      </c>
      <c r="AK70" s="288">
        <f t="shared" si="54"/>
        <v>2.2000000000000002</v>
      </c>
      <c r="AL70" s="288">
        <f t="shared" si="55"/>
        <v>0.94900300093664347</v>
      </c>
      <c r="AM70" s="306">
        <f t="shared" si="56"/>
        <v>1.4509969990633573</v>
      </c>
    </row>
    <row r="71" spans="2:49" s="74" customForma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01"/>
      <c r="S71" s="14"/>
      <c r="T71" s="98"/>
      <c r="U71" s="89"/>
      <c r="X71" s="96"/>
      <c r="Y71" s="311"/>
      <c r="Z71" s="312">
        <f t="shared" si="65"/>
        <v>1.2500000000000004</v>
      </c>
      <c r="AA71" s="312">
        <f t="shared" si="44"/>
        <v>1.2894736842105268</v>
      </c>
      <c r="AB71" s="312">
        <f t="shared" si="45"/>
        <v>2.3829504146045641</v>
      </c>
      <c r="AC71" s="312">
        <f t="shared" si="46"/>
        <v>-0.53494805225816811</v>
      </c>
      <c r="AD71" s="313">
        <f t="shared" si="47"/>
        <v>0.9996241601581457</v>
      </c>
      <c r="AE71" s="313" t="e">
        <f t="shared" si="48"/>
        <v>#NUM!</v>
      </c>
      <c r="AF71" s="314" t="e">
        <f t="shared" si="49"/>
        <v>#NUM!</v>
      </c>
      <c r="AG71" s="314">
        <f t="shared" si="50"/>
        <v>3.7583984185429742E-4</v>
      </c>
      <c r="AH71" s="314" t="e">
        <f t="shared" si="51"/>
        <v>#NUM!</v>
      </c>
      <c r="AI71" s="314" t="e">
        <f t="shared" si="52"/>
        <v>#NUM!</v>
      </c>
      <c r="AJ71" s="312">
        <f t="shared" si="53"/>
        <v>0.25000000000000044</v>
      </c>
      <c r="AK71" s="312">
        <f t="shared" si="54"/>
        <v>2.2500000000000004</v>
      </c>
      <c r="AL71" s="312">
        <f t="shared" si="55"/>
        <v>0.99900300093664351</v>
      </c>
      <c r="AM71" s="315">
        <f t="shared" si="56"/>
        <v>1.5009969990633574</v>
      </c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conditionalFormatting sqref="G7">
    <cfRule type="cellIs" dxfId="5" priority="3" stopIfTrue="1" operator="lessThan">
      <formula>$G$8</formula>
    </cfRule>
  </conditionalFormatting>
  <conditionalFormatting sqref="G7">
    <cfRule type="cellIs" dxfId="4" priority="1" stopIfTrue="1" operator="lessThan">
      <formula>$G$8</formula>
    </cfRule>
  </conditionalFormatting>
  <hyperlinks>
    <hyperlink ref="V11" location="Notes!A193" display="Notes!A193"/>
  </hyperlinks>
  <printOptions horizontalCentered="1"/>
  <pageMargins left="0.5" right="0.5" top="0.45" bottom="0.55000000000000004" header="0.3" footer="0.4"/>
  <pageSetup scale="67" orientation="landscape" r:id="rId1"/>
  <headerFooter alignWithMargins="0">
    <oddHeader xml:space="preserve">&amp;CSpreadsheet by Avago Technologies&amp;R </oddHeader>
    <oddFooter>&amp;L&amp;F   &amp;A &amp;CAvago Technologies&amp;RPrinted &amp;T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autoPageBreaks="0" fitToPage="1"/>
  </sheetPr>
  <dimension ref="A1:AW72"/>
  <sheetViews>
    <sheetView showGridLines="0" showOutlineSymbols="0" zoomScale="67" zoomScaleNormal="70" workbookViewId="0">
      <pane ySplit="3300" topLeftCell="A28"/>
      <selection activeCell="G7" sqref="G7"/>
      <selection pane="bottomLeft" activeCell="F44" sqref="F44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6.8554687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7.710937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5703125" style="14" bestFit="1" customWidth="1"/>
    <col min="45" max="45" width="7.140625" style="14" bestFit="1" customWidth="1"/>
    <col min="46" max="46" width="9.5703125" style="14" bestFit="1" customWidth="1"/>
    <col min="47" max="48" width="5.85546875" style="14" bestFit="1" customWidth="1"/>
    <col min="49" max="49" width="9.570312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2" t="str">
        <f>'10GbE Notes'!A1</f>
        <v>10GEPBud3_1_16a.xls</v>
      </c>
      <c r="S1" s="753"/>
      <c r="T1" s="753"/>
      <c r="U1" s="753"/>
      <c r="V1" s="167" t="s">
        <v>221</v>
      </c>
      <c r="W1" s="750">
        <f>'10GbE Notes'!E2</f>
        <v>37181</v>
      </c>
      <c r="X1" s="751"/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1.1156098471638507</v>
      </c>
    </row>
    <row r="2" spans="1:44">
      <c r="A2" s="117" t="s">
        <v>337</v>
      </c>
      <c r="B2" s="118" t="s">
        <v>215</v>
      </c>
      <c r="C2" s="458" t="s">
        <v>216</v>
      </c>
      <c r="D2" s="459"/>
      <c r="E2" s="5"/>
      <c r="F2" s="460" t="s">
        <v>341</v>
      </c>
      <c r="G2" s="529">
        <f>BaseOM4!G2</f>
        <v>21</v>
      </c>
      <c r="H2" s="459" t="s">
        <v>219</v>
      </c>
      <c r="I2" s="351" t="s">
        <v>211</v>
      </c>
      <c r="J2" s="759" t="s">
        <v>39</v>
      </c>
      <c r="K2" s="759"/>
      <c r="L2" s="760" t="s">
        <v>195</v>
      </c>
      <c r="M2" s="761"/>
      <c r="N2" s="140"/>
      <c r="O2" s="461" t="s">
        <v>348</v>
      </c>
      <c r="P2" s="530">
        <f>BaseOM4!P2</f>
        <v>3.5</v>
      </c>
      <c r="Q2" s="130" t="s">
        <v>349</v>
      </c>
      <c r="R2" s="110"/>
      <c r="S2" s="359"/>
      <c r="T2" s="145" t="s">
        <v>220</v>
      </c>
      <c r="U2" s="146" t="str">
        <f>'10GbE Notes'!F16</f>
        <v>3.1.16a</v>
      </c>
      <c r="V2" s="248" t="s">
        <v>221</v>
      </c>
      <c r="W2" s="757">
        <f>'10GbE Notes'!D16</f>
        <v>37195</v>
      </c>
      <c r="X2" s="758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0.73239251518254533</v>
      </c>
    </row>
    <row r="3" spans="1:44" ht="15" customHeight="1">
      <c r="A3" s="120"/>
      <c r="B3" s="121" t="s">
        <v>237</v>
      </c>
      <c r="C3" s="525">
        <f>BaseOM4!Q</f>
        <v>3.8904999999999998</v>
      </c>
      <c r="D3" s="122"/>
      <c r="E3" s="7"/>
      <c r="F3" s="196" t="s">
        <v>342</v>
      </c>
      <c r="G3" s="514">
        <f>G2*1.518</f>
        <v>31.878</v>
      </c>
      <c r="H3" s="463" t="s">
        <v>219</v>
      </c>
      <c r="I3" s="241" t="s">
        <v>308</v>
      </c>
      <c r="J3" s="5"/>
      <c r="K3" s="461" t="s">
        <v>217</v>
      </c>
      <c r="L3" s="526">
        <f>BaseOM4!L3</f>
        <v>0.1</v>
      </c>
      <c r="M3" s="130" t="s">
        <v>218</v>
      </c>
      <c r="N3" s="149" t="s">
        <v>347</v>
      </c>
      <c r="O3" s="134" t="s">
        <v>350</v>
      </c>
      <c r="P3" s="549">
        <f>IF(Uc&lt;1000,850,1310)</f>
        <v>850</v>
      </c>
      <c r="Q3" s="122" t="s">
        <v>334</v>
      </c>
      <c r="R3" s="464"/>
      <c r="S3" s="366" t="s">
        <v>70</v>
      </c>
      <c r="T3" s="522">
        <f>BaseOM4!T3</f>
        <v>-11.2</v>
      </c>
      <c r="U3" s="465" t="s">
        <v>326</v>
      </c>
      <c r="V3" s="168" t="s">
        <v>242</v>
      </c>
      <c r="W3" s="532">
        <f>0*AO39</f>
        <v>0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1.8316073099569907</v>
      </c>
      <c r="AH3" s="21" t="s">
        <v>239</v>
      </c>
      <c r="AI3" s="86"/>
      <c r="AJ3" s="126" t="s">
        <v>73</v>
      </c>
      <c r="AK3" s="369">
        <f>ERF(AK1)+ERF(AK2)-1</f>
        <v>0.58505322925942771</v>
      </c>
    </row>
    <row r="4" spans="1:44" ht="15" customHeight="1">
      <c r="A4" s="11"/>
      <c r="B4" s="123" t="s">
        <v>247</v>
      </c>
      <c r="C4" s="519">
        <f>BaseOM4!C4</f>
        <v>25781.25</v>
      </c>
      <c r="D4" s="466" t="s">
        <v>248</v>
      </c>
      <c r="E4" s="7"/>
      <c r="F4" s="134" t="s">
        <v>340</v>
      </c>
      <c r="G4" s="523">
        <f>BaseOM4!G4</f>
        <v>-128</v>
      </c>
      <c r="H4" s="467" t="s">
        <v>246</v>
      </c>
      <c r="I4" s="468" t="s">
        <v>344</v>
      </c>
      <c r="J4" s="7"/>
      <c r="K4" s="196" t="s">
        <v>226</v>
      </c>
      <c r="L4" s="527">
        <f>BaseOM4!L4</f>
        <v>0.05</v>
      </c>
      <c r="M4" s="463" t="s">
        <v>218</v>
      </c>
      <c r="N4" s="120"/>
      <c r="O4" s="196" t="s">
        <v>227</v>
      </c>
      <c r="P4" s="550">
        <f>IF(Uc&gt;1000,$P$2/1.4846,$P$2/3.5)</f>
        <v>1</v>
      </c>
      <c r="Q4" s="122"/>
      <c r="R4" s="367" t="s">
        <v>266</v>
      </c>
      <c r="S4" s="198" t="s">
        <v>236</v>
      </c>
      <c r="T4" s="515">
        <v>-12</v>
      </c>
      <c r="U4" s="469" t="s">
        <v>232</v>
      </c>
      <c r="V4" s="170" t="s">
        <v>355</v>
      </c>
      <c r="W4" s="360"/>
      <c r="X4" s="209" t="str">
        <f>$L$3&amp;" km"</f>
        <v>0.1 km</v>
      </c>
      <c r="Y4" s="96"/>
      <c r="AA4" s="126" t="s">
        <v>233</v>
      </c>
      <c r="AB4" s="200">
        <f>0.7*$P$8*$C$7</f>
        <v>4.3154999999999992E-2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0.9904103184782308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0.58505322925942771</v>
      </c>
    </row>
    <row r="5" spans="1:44" ht="15" customHeight="1">
      <c r="A5" s="117" t="s">
        <v>338</v>
      </c>
      <c r="B5" s="7"/>
      <c r="C5" s="136"/>
      <c r="D5" s="7"/>
      <c r="E5" s="7"/>
      <c r="F5" s="196" t="s">
        <v>251</v>
      </c>
      <c r="G5" s="456">
        <f>G4-2*C11</f>
        <v>-135.32059991327961</v>
      </c>
      <c r="H5" s="470" t="s">
        <v>246</v>
      </c>
      <c r="I5" s="471" t="s">
        <v>345</v>
      </c>
      <c r="J5" s="110"/>
      <c r="K5" s="472" t="s">
        <v>230</v>
      </c>
      <c r="L5" s="528">
        <f>BaseOM4!L5</f>
        <v>5.0000000000000001E-3</v>
      </c>
      <c r="M5" s="133" t="s">
        <v>218</v>
      </c>
      <c r="N5" s="120"/>
      <c r="O5" s="473" t="s">
        <v>348</v>
      </c>
      <c r="P5" s="550">
        <f>$P$4*((1/(0.00094*Uc)^4)+1.05)</f>
        <v>3.622595119239568</v>
      </c>
      <c r="Q5" s="122" t="s">
        <v>349</v>
      </c>
      <c r="R5" s="474"/>
      <c r="S5" s="473" t="s">
        <v>252</v>
      </c>
      <c r="T5" s="524">
        <f>BaseOM4!T5</f>
        <v>18047</v>
      </c>
      <c r="U5" s="463" t="s">
        <v>253</v>
      </c>
      <c r="V5" s="475" t="s">
        <v>43</v>
      </c>
      <c r="W5" s="731">
        <f>BaseOM4!W5</f>
        <v>19335.9375</v>
      </c>
      <c r="X5" s="476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0.95742630021911834</v>
      </c>
      <c r="AH5" s="194" t="s">
        <v>239</v>
      </c>
      <c r="AI5" s="86"/>
    </row>
    <row r="6" spans="1:44" ht="15" customHeight="1">
      <c r="A6" s="120"/>
      <c r="B6" s="121" t="s">
        <v>346</v>
      </c>
      <c r="C6" s="520">
        <f>BaseOM4!Uc</f>
        <v>840</v>
      </c>
      <c r="D6" s="198" t="s">
        <v>334</v>
      </c>
      <c r="E6" s="7"/>
      <c r="F6" s="196" t="s">
        <v>235</v>
      </c>
      <c r="G6" s="376">
        <v>0.7</v>
      </c>
      <c r="H6" s="122"/>
      <c r="I6" s="7"/>
      <c r="J6" s="7"/>
      <c r="K6" s="473" t="s">
        <v>343</v>
      </c>
      <c r="L6" s="197">
        <f>C8-T3</f>
        <v>8.1999999999999993</v>
      </c>
      <c r="M6" s="136" t="s">
        <v>232</v>
      </c>
      <c r="N6" s="120"/>
      <c r="O6" s="134" t="s">
        <v>350</v>
      </c>
      <c r="P6" s="549">
        <f>Uc</f>
        <v>840</v>
      </c>
      <c r="Q6" s="122" t="s">
        <v>334</v>
      </c>
      <c r="R6" s="478"/>
      <c r="S6" s="134" t="s">
        <v>260</v>
      </c>
      <c r="T6" s="27">
        <v>329</v>
      </c>
      <c r="U6" s="318" t="s">
        <v>255</v>
      </c>
      <c r="V6" s="479"/>
      <c r="W6" s="403"/>
      <c r="X6" s="480"/>
      <c r="Y6" s="96"/>
      <c r="AA6" s="196" t="s">
        <v>222</v>
      </c>
      <c r="AB6" s="197">
        <f>10^(C9/10)</f>
        <v>2.5118332385550612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3.1051785283822812E-3</v>
      </c>
      <c r="AH6" s="288" t="s">
        <v>140</v>
      </c>
      <c r="AI6" s="86"/>
    </row>
    <row r="7" spans="1:44" ht="15" customHeight="1">
      <c r="A7" s="120"/>
      <c r="B7" s="410" t="s">
        <v>179</v>
      </c>
      <c r="C7" s="521">
        <f>BaseOM4!C7</f>
        <v>0.6</v>
      </c>
      <c r="D7" s="198" t="s">
        <v>334</v>
      </c>
      <c r="E7" s="543"/>
      <c r="F7" s="542" t="s">
        <v>464</v>
      </c>
      <c r="G7" s="539">
        <f>G44</f>
        <v>9.5806060606060601</v>
      </c>
      <c r="H7" s="318" t="str">
        <f>IF(G9&lt;0,"should not be &lt; DCD!","ps inc. DCD")</f>
        <v>ps inc. DCD</v>
      </c>
      <c r="I7" s="7"/>
      <c r="J7" s="7"/>
      <c r="K7" s="481" t="s">
        <v>65</v>
      </c>
      <c r="L7" s="521">
        <f>BaseOM4!L7</f>
        <v>1.5</v>
      </c>
      <c r="M7" s="136" t="s">
        <v>232</v>
      </c>
      <c r="N7" s="120"/>
      <c r="O7" s="473" t="s">
        <v>333</v>
      </c>
      <c r="P7" s="523">
        <f>BaseOM4!P7</f>
        <v>1316</v>
      </c>
      <c r="Q7" s="122" t="s">
        <v>334</v>
      </c>
      <c r="R7" s="478"/>
      <c r="S7" s="134" t="s">
        <v>256</v>
      </c>
      <c r="T7" s="456">
        <f>$T$6*1000/$T$5</f>
        <v>18.230176760680447</v>
      </c>
      <c r="U7" s="122" t="s">
        <v>219</v>
      </c>
      <c r="V7" s="482" t="s">
        <v>331</v>
      </c>
      <c r="W7" s="7"/>
      <c r="X7" s="161"/>
      <c r="Y7" s="96"/>
      <c r="AA7" s="196" t="s">
        <v>228</v>
      </c>
      <c r="AB7" s="197">
        <f>(ER+1)/(ER-1)</f>
        <v>2.3228972276806834</v>
      </c>
      <c r="AC7" s="198" t="s">
        <v>214</v>
      </c>
      <c r="AD7" s="21"/>
      <c r="AF7" s="282" t="s">
        <v>315</v>
      </c>
      <c r="AG7" s="289">
        <f>(1-10^(-Pmn/5))/(Q*Q)</f>
        <v>3.8134235714390409E-3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521">
        <f>BaseOM4!C8</f>
        <v>-3</v>
      </c>
      <c r="D8" s="7" t="s">
        <v>326</v>
      </c>
      <c r="E8" s="7"/>
      <c r="F8" s="473" t="s">
        <v>249</v>
      </c>
      <c r="G8" s="523">
        <f>BaseOM4!G8</f>
        <v>1.9393939393939394</v>
      </c>
      <c r="H8" s="122" t="s">
        <v>131</v>
      </c>
      <c r="I8" s="7"/>
      <c r="J8" s="7"/>
      <c r="K8" s="483" t="s">
        <v>238</v>
      </c>
      <c r="L8" s="198">
        <f>$L$6-$L$7</f>
        <v>6.6999999999999993</v>
      </c>
      <c r="M8" s="136" t="s">
        <v>232</v>
      </c>
      <c r="N8" s="484"/>
      <c r="O8" s="473" t="s">
        <v>130</v>
      </c>
      <c r="P8" s="704">
        <f>BaseOM4!P8</f>
        <v>0.10274999999999999</v>
      </c>
      <c r="Q8" s="122" t="s">
        <v>354</v>
      </c>
      <c r="R8" s="478"/>
      <c r="S8" s="485" t="s">
        <v>54</v>
      </c>
      <c r="T8" s="154">
        <f>$G$14*10^6/$C$4</f>
        <v>7.7575757575757551</v>
      </c>
      <c r="U8" s="122" t="s">
        <v>219</v>
      </c>
      <c r="V8" s="149" t="s">
        <v>356</v>
      </c>
      <c r="W8" s="486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17.014949494949494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513">
        <f>10*LOG10((2*AB12+AB11)/(2*AB12-AB11))</f>
        <v>3.9999080306699346</v>
      </c>
      <c r="D9" s="198" t="s">
        <v>232</v>
      </c>
      <c r="E9" s="7"/>
      <c r="F9" s="196" t="s">
        <v>339</v>
      </c>
      <c r="G9" s="487">
        <f>(10^-6)*($G$7-$G$8)*$L$11</f>
        <v>0.20736842105263156</v>
      </c>
      <c r="H9" s="470" t="s">
        <v>332</v>
      </c>
      <c r="I9" s="7"/>
      <c r="J9" s="7"/>
      <c r="K9" s="196" t="s">
        <v>254</v>
      </c>
      <c r="L9" s="488">
        <v>480</v>
      </c>
      <c r="M9" s="7" t="s">
        <v>255</v>
      </c>
      <c r="N9" s="120"/>
      <c r="O9" s="196" t="s">
        <v>129</v>
      </c>
      <c r="P9" s="550">
        <f>0.25*$P$8*Uc*(1-(Uo/Uc)^4)</f>
        <v>-108.41177997222221</v>
      </c>
      <c r="Q9" s="470" t="s">
        <v>223</v>
      </c>
      <c r="R9" s="478"/>
      <c r="S9" s="485" t="s">
        <v>52</v>
      </c>
      <c r="T9" s="489"/>
      <c r="U9" s="318" t="s">
        <v>53</v>
      </c>
      <c r="V9" s="490" t="s">
        <v>51</v>
      </c>
      <c r="W9" s="197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1.682272440868382</v>
      </c>
      <c r="AC9" s="197" t="s">
        <v>229</v>
      </c>
      <c r="AD9" s="194"/>
      <c r="AE9" s="74"/>
      <c r="AF9" s="74" t="s">
        <v>45</v>
      </c>
      <c r="AG9" s="322">
        <f>SQRT(H17^2+$AG$8^2)</f>
        <v>36.136885641503874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521">
        <f>BaseOM4!C10</f>
        <v>-2.35</v>
      </c>
      <c r="D10" s="7" t="s">
        <v>326</v>
      </c>
      <c r="E10" s="7"/>
      <c r="F10" s="196" t="s">
        <v>258</v>
      </c>
      <c r="G10" s="352">
        <v>0.3</v>
      </c>
      <c r="H10" s="122"/>
      <c r="I10" s="7"/>
      <c r="J10" s="7"/>
      <c r="K10" s="26" t="s">
        <v>336</v>
      </c>
      <c r="L10" s="141">
        <v>0</v>
      </c>
      <c r="M10" s="469" t="s">
        <v>239</v>
      </c>
      <c r="N10" s="120"/>
      <c r="O10" s="491"/>
      <c r="P10" s="9"/>
      <c r="Q10" s="318"/>
      <c r="R10" s="478"/>
      <c r="S10" s="483" t="s">
        <v>353</v>
      </c>
      <c r="T10" s="525">
        <f>BaseOM4!T10</f>
        <v>2.5000000000000001E-2</v>
      </c>
      <c r="U10" s="492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1.3101364116213658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197">
        <f>10*LOG10(AB7)</f>
        <v>3.660299956639808</v>
      </c>
      <c r="D11" s="7" t="s">
        <v>229</v>
      </c>
      <c r="E11" s="7"/>
      <c r="F11" s="196" t="s">
        <v>259</v>
      </c>
      <c r="G11" s="493">
        <f>$AG$12-2.519*SQRT($AG$6)</f>
        <v>0.34885991715152898</v>
      </c>
      <c r="H11" s="494"/>
      <c r="I11" s="7"/>
      <c r="J11" s="7"/>
      <c r="K11" s="481" t="s">
        <v>351</v>
      </c>
      <c r="L11" s="462">
        <f>1/((1/$C$4)-$G$8*10^-6)</f>
        <v>27138.15789473684</v>
      </c>
      <c r="M11" s="198" t="s">
        <v>248</v>
      </c>
      <c r="N11" s="120"/>
      <c r="O11" s="481" t="str">
        <f>IF(L2="SMF","PolMD DGDmax","(not in use)")</f>
        <v>(not in use)</v>
      </c>
      <c r="P11" s="352">
        <v>10</v>
      </c>
      <c r="Q11" s="495" t="str">
        <f>IF(L2="SMF","ps at target "&amp;L3&amp;M3,"")</f>
        <v/>
      </c>
      <c r="R11" s="478"/>
      <c r="S11" s="7"/>
      <c r="T11" s="27"/>
      <c r="U11" s="496"/>
      <c r="V11" s="535" t="s">
        <v>135</v>
      </c>
      <c r="W11" s="508">
        <f>-10*LOG10(ERF(AQ39)+ERF(AR39) - 1)</f>
        <v>3.2943021312729046</v>
      </c>
      <c r="X11" s="133" t="s">
        <v>229</v>
      </c>
      <c r="Y11" s="96"/>
      <c r="AA11" s="134" t="s">
        <v>62</v>
      </c>
      <c r="AB11" s="10">
        <f>10^(($C$8/10)+3)</f>
        <v>501.18723362727269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0.53786595072503007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114">
        <v>-12</v>
      </c>
      <c r="H12" s="127" t="s">
        <v>232</v>
      </c>
      <c r="I12" s="7"/>
      <c r="J12" s="7"/>
      <c r="K12" s="121" t="s">
        <v>317</v>
      </c>
      <c r="L12" s="10">
        <f>1000000/$L$11</f>
        <v>36.848484848484851</v>
      </c>
      <c r="M12" s="7" t="s">
        <v>219</v>
      </c>
      <c r="N12" s="120"/>
      <c r="O12" s="116" t="s">
        <v>224</v>
      </c>
      <c r="P12" s="524">
        <f>BaseOM4!P12</f>
        <v>4400</v>
      </c>
      <c r="Q12" s="318" t="s">
        <v>225</v>
      </c>
      <c r="R12" s="153"/>
      <c r="S12" s="151" t="s">
        <v>352</v>
      </c>
      <c r="T12" s="19">
        <f>10*LOG10(1/SQRT(1-(Q*SD_blw)^2))</f>
        <v>2.0639897068902759E-2</v>
      </c>
      <c r="U12" s="155" t="s">
        <v>232</v>
      </c>
      <c r="V12" s="536"/>
      <c r="W12" s="537">
        <f>Pmn+Q28+R28+S28/2</f>
        <v>0.64927224362366986</v>
      </c>
      <c r="X12" s="416" t="s">
        <v>261</v>
      </c>
      <c r="Y12" s="70"/>
      <c r="AA12" s="94" t="s">
        <v>244</v>
      </c>
      <c r="AB12" s="193">
        <f>1000*10^(C10/10)</f>
        <v>582.10321777087142</v>
      </c>
      <c r="AC12" s="86" t="s">
        <v>245</v>
      </c>
      <c r="AD12" s="74"/>
      <c r="AE12" s="74"/>
      <c r="AF12" s="126" t="s">
        <v>48</v>
      </c>
      <c r="AG12" s="321">
        <f>ERF(AG10)+ERF(AG11)-1</f>
        <v>0.48922899755043425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525">
        <f>BaseOM4!G13</f>
        <v>0.12909999999999999</v>
      </c>
      <c r="H13" s="125" t="s">
        <v>232</v>
      </c>
      <c r="I13" s="110"/>
      <c r="J13" s="110"/>
      <c r="K13" s="123" t="s">
        <v>357</v>
      </c>
      <c r="L13" s="30">
        <f>(10^-6)*$T$8*$L$11</f>
        <v>0.21052631578947359</v>
      </c>
      <c r="M13" s="240" t="s">
        <v>325</v>
      </c>
      <c r="N13" s="11"/>
      <c r="O13" s="138" t="s">
        <v>241</v>
      </c>
      <c r="P13" s="705">
        <f>IF(L2="SMF",1000000*L3/(3*P11),P12)</f>
        <v>4400</v>
      </c>
      <c r="Q13" s="133" t="s">
        <v>225</v>
      </c>
      <c r="R13" s="157"/>
      <c r="S13" s="143" t="s">
        <v>265</v>
      </c>
      <c r="T13" s="31">
        <f>10*LOG10(1/SQRT(1-(Q*SD_blw/$AG$5)^2))</f>
        <v>2.2526054156101684E-2</v>
      </c>
      <c r="U13" s="144" t="s">
        <v>232</v>
      </c>
      <c r="V13" s="538"/>
      <c r="W13" s="738">
        <f>W11+((3.2905/Q)*W12)</f>
        <v>3.8434424262590725</v>
      </c>
      <c r="X13" s="417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8" t="s">
        <v>270</v>
      </c>
      <c r="AH13" s="749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110">
        <f>2*(0.5-$C$13)</f>
        <v>0.19999999999999996</v>
      </c>
      <c r="H14" s="133" t="s">
        <v>325</v>
      </c>
      <c r="I14" s="96"/>
      <c r="J14" s="701" t="s">
        <v>267</v>
      </c>
      <c r="K14" s="582" t="s">
        <v>25</v>
      </c>
      <c r="L14" s="703" t="s">
        <v>316</v>
      </c>
      <c r="M14" s="589" t="s">
        <v>316</v>
      </c>
      <c r="N14" s="355" t="s">
        <v>67</v>
      </c>
      <c r="O14" s="361"/>
      <c r="P14" s="361"/>
      <c r="Q14" s="361"/>
      <c r="R14" s="652"/>
      <c r="S14" s="32" t="s">
        <v>283</v>
      </c>
      <c r="T14" s="203" t="s">
        <v>284</v>
      </c>
      <c r="U14" s="597" t="s">
        <v>66</v>
      </c>
      <c r="V14" s="32" t="s">
        <v>286</v>
      </c>
      <c r="W14" s="358"/>
      <c r="X14" s="418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582" t="s">
        <v>268</v>
      </c>
      <c r="L15" s="20" t="s">
        <v>288</v>
      </c>
      <c r="M15" s="590" t="s">
        <v>268</v>
      </c>
      <c r="N15" s="256" t="s">
        <v>288</v>
      </c>
      <c r="O15" s="70" t="s">
        <v>279</v>
      </c>
      <c r="P15" s="64" t="s">
        <v>280</v>
      </c>
      <c r="Q15" s="64" t="s">
        <v>281</v>
      </c>
      <c r="R15" s="644" t="s">
        <v>282</v>
      </c>
      <c r="S15" s="356" t="s">
        <v>288</v>
      </c>
      <c r="T15" s="276" t="s">
        <v>288</v>
      </c>
      <c r="U15" s="598" t="s">
        <v>268</v>
      </c>
      <c r="V15" s="256" t="s">
        <v>288</v>
      </c>
      <c r="W15" s="357" t="s">
        <v>242</v>
      </c>
      <c r="X15" s="533" t="s">
        <v>207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702" t="s">
        <v>305</v>
      </c>
      <c r="K16" s="583" t="s">
        <v>302</v>
      </c>
      <c r="L16" s="650" t="s">
        <v>302</v>
      </c>
      <c r="M16" s="591" t="s">
        <v>302</v>
      </c>
      <c r="N16" s="258" t="s">
        <v>302</v>
      </c>
      <c r="O16" s="147"/>
      <c r="P16" s="158"/>
      <c r="Q16" s="158" t="s">
        <v>302</v>
      </c>
      <c r="R16" s="650" t="s">
        <v>302</v>
      </c>
      <c r="S16" s="158" t="s">
        <v>302</v>
      </c>
      <c r="T16" s="204" t="s">
        <v>302</v>
      </c>
      <c r="U16" s="599" t="s">
        <v>303</v>
      </c>
      <c r="V16" s="158" t="s">
        <v>303</v>
      </c>
      <c r="W16" s="172" t="s">
        <v>302</v>
      </c>
      <c r="X16" s="142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4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-0.21682355994444441</v>
      </c>
      <c r="E17" s="44">
        <f t="shared" ref="E17:E38" si="3">A17*$AB$4</f>
        <v>8.6309999999999992E-5</v>
      </c>
      <c r="F17" s="129">
        <f t="shared" ref="F17:F38" si="4">(0.187/$C$7)*10^6/(SQRT(D17^2+E17^2))</f>
        <v>1437420.5554680745</v>
      </c>
      <c r="G17" s="45">
        <f t="shared" ref="G17:G38" si="5">$P$13/A17</f>
        <v>2200000</v>
      </c>
      <c r="H17" s="46">
        <f t="shared" ref="H17:H38" si="6">SQRT((1000*C_1/F17)^2+(1000*C_1/G17)^2+$G$3^2)</f>
        <v>31.880495566277617</v>
      </c>
      <c r="I17" s="46">
        <f t="shared" ref="I17:I38" si="7">SQRT(H17^2+$T$7^2)</f>
        <v>36.724723855695636</v>
      </c>
      <c r="J17" s="646">
        <f t="shared" ref="J17:J38" si="8">-10*LOG10(2*Z17 - 1)</f>
        <v>2.196919903437037</v>
      </c>
      <c r="K17" s="584">
        <f t="shared" ref="K17:K38" si="9">-10*LOG10(AB17)-J17</f>
        <v>0.24154426915812</v>
      </c>
      <c r="L17" s="646">
        <f t="shared" ref="L17:L38" si="10">-10*LOG10(AD17)-J17</f>
        <v>0.23421438591616539</v>
      </c>
      <c r="M17" s="592">
        <f t="shared" ref="M17:M38" si="11">-10*LOG10(AC17)-J17-K17</f>
        <v>0.77134265484388909</v>
      </c>
      <c r="N17" s="262"/>
      <c r="O17" s="129">
        <f t="shared" ref="O17:O38" si="12">(10^-6)*3.14*$L$11*D17*$C$7</f>
        <v>-1.1085817737554274E-2</v>
      </c>
      <c r="P17" s="44">
        <f t="shared" ref="P17:P38" si="13">($G$10/SQRT(2))*(1-EXP(-1*O17^2))</f>
        <v>2.606843977212655E-5</v>
      </c>
      <c r="Q17" s="44">
        <f t="shared" ref="Q17:Q38" si="14">10*LOG10(1/SQRT(1-(Q*P17)^2))</f>
        <v>2.2335476925216865E-8</v>
      </c>
      <c r="R17" s="646"/>
      <c r="S17" s="44">
        <f>-10*LOG10(SQRT(1-Q*Q*(((SD_blw/AC17)^2)+AK17+Vmn+(P17*P17))))-$T$13-Q17-R17-Pmn</f>
        <v>7.5235023340748164E-2</v>
      </c>
      <c r="T17" s="205">
        <f>J17+L17+B17+Q17+S17+Pmn</f>
        <v>2.6427145252679063</v>
      </c>
      <c r="U17" s="600">
        <f>J17+K17+B17+Q17+S17+Pmn+M17</f>
        <v>3.42138706335375</v>
      </c>
      <c r="V17" s="174">
        <f t="shared" ref="V17:V38" si="15">T17-B17</f>
        <v>2.6354693350294274</v>
      </c>
      <c r="W17" s="175">
        <f t="shared" ref="W17:W38" si="16">$L$8-T17</f>
        <v>4.057285474732093</v>
      </c>
      <c r="X17" s="412">
        <f t="shared" ref="X17:X38" si="17">$C$8-C17-(Q17+N17+R17+S17/2+Pmn) -$W$3</f>
        <v>-4.6739627242443307</v>
      </c>
      <c r="Y17" s="47">
        <f t="shared" ref="Y17:Y38" si="18">B_1*Tb_eff/(SQRT(8)*I17)</f>
        <v>0.90921105759361143</v>
      </c>
      <c r="Z17" s="49">
        <f t="shared" ref="Z17:Z38" si="19">IF(ABS(Y17)&lt;10,SIGN(Y17)*ERF(ABS(Y17)),SIGN(Y17))</f>
        <v>0.80149354201132783</v>
      </c>
      <c r="AA17" s="370">
        <f>$AD17</f>
        <v>0.57132939749976597</v>
      </c>
      <c r="AB17" s="43">
        <f t="shared" ref="AB17:AB38" si="20">ERF(AE17)+ERF(AF17)-1</f>
        <v>0.57036593930735546</v>
      </c>
      <c r="AC17" s="47">
        <f t="shared" ref="AC17:AC38" si="21">ERF(AG17)+ERF(AH17)-1</f>
        <v>0.47755051445353813</v>
      </c>
      <c r="AD17" s="47">
        <f t="shared" ref="AD17:AD38" si="22">ERF(AI17)+ERF(AJ17)-1</f>
        <v>0.57132939749976597</v>
      </c>
      <c r="AE17" s="50">
        <f t="shared" ref="AE17:AE38" si="23">MAX(MIN(B_1*Tb_eff*($L$13+1)/(SQRT(8)*$I17),10),-10)</f>
        <v>1.1006239118238454</v>
      </c>
      <c r="AF17" s="50">
        <f t="shared" ref="AF17:AF38" si="24">MAX(MIN(B_1*Tb_eff*(1-$L$13)/(SQRT(8)*$I17),10),-10)</f>
        <v>0.71779820336337752</v>
      </c>
      <c r="AG17" s="50">
        <f t="shared" ref="AG17:AG38" si="25">MAX(MIN(B_1*Tb_eff*($L$13+$G$9+1)/(SQRT(8)*$I17),10),-10)</f>
        <v>1.2891655732406258</v>
      </c>
      <c r="AH17" s="50">
        <f t="shared" ref="AH17:AH38" si="26">MAX(MIN(B_1*Tb_eff*(1-$L$13-$G$9)/(SQRT(8)*$I17),10),-10)</f>
        <v>0.5292565419465971</v>
      </c>
      <c r="AI17" s="50">
        <f t="shared" ref="AI17:AI38" si="27">MAX(MIN(B_1*Tb_eff*($G$9+1)/(SQRT(8)*$I17),10),-10)</f>
        <v>1.097752719010392</v>
      </c>
      <c r="AJ17" s="50">
        <f t="shared" ref="AJ17:AJ38" si="28">MAX(MIN(B_1*Tb_eff*(1-$G$9)/(SQRT(8)*$I17),10),-10)</f>
        <v>0.7206693961768309</v>
      </c>
      <c r="AK17" s="298"/>
      <c r="AL17" s="48">
        <f t="shared" ref="AL17:AL38" si="29">$L$6-$L$7</f>
        <v>6.6999999999999993</v>
      </c>
      <c r="AM17" s="185"/>
      <c r="AN17" s="185"/>
      <c r="AO17" s="2"/>
      <c r="AP17" s="293"/>
      <c r="AQ17" s="293"/>
    </row>
    <row r="18" spans="1:44" s="62" customFormat="1" ht="15" customHeight="1">
      <c r="A18" s="51">
        <f>$L$4</f>
        <v>0.05</v>
      </c>
      <c r="B18" s="52">
        <f t="shared" si="0"/>
        <v>0.18112975596197842</v>
      </c>
      <c r="C18" s="52">
        <f t="shared" si="1"/>
        <v>1.6811297559619784</v>
      </c>
      <c r="D18" s="176">
        <f t="shared" si="2"/>
        <v>-5.4205889986111107</v>
      </c>
      <c r="E18" s="52">
        <f t="shared" si="3"/>
        <v>2.1577499999999995E-3</v>
      </c>
      <c r="F18" s="53">
        <f t="shared" si="4"/>
        <v>57496.822218722977</v>
      </c>
      <c r="G18" s="53">
        <f t="shared" si="5"/>
        <v>88000</v>
      </c>
      <c r="H18" s="54">
        <f t="shared" si="6"/>
        <v>33.401389995839807</v>
      </c>
      <c r="I18" s="54">
        <f t="shared" si="7"/>
        <v>38.052492669729808</v>
      </c>
      <c r="J18" s="647">
        <f t="shared" si="8"/>
        <v>2.4355168498933892</v>
      </c>
      <c r="K18" s="585">
        <f t="shared" si="9"/>
        <v>0.24278730433143458</v>
      </c>
      <c r="L18" s="247">
        <f t="shared" si="10"/>
        <v>0.23541870980641599</v>
      </c>
      <c r="M18" s="593">
        <f t="shared" si="11"/>
        <v>0.77565699969752444</v>
      </c>
      <c r="N18" s="265">
        <f t="shared" ref="N18:N38" si="30">-10*LOG10(1-2*$L$10*10^(-$C18/10)*$AB$5*SQRT(2*ER*($AD18*(ER-1)+ER+1))/($AD18*(ER-1)))</f>
        <v>0</v>
      </c>
      <c r="O18" s="52">
        <f t="shared" si="12"/>
        <v>-0.27714544343885683</v>
      </c>
      <c r="P18" s="52">
        <f t="shared" si="13"/>
        <v>1.5683735300545235E-2</v>
      </c>
      <c r="Q18" s="52">
        <f t="shared" si="14"/>
        <v>8.0997924448331926E-3</v>
      </c>
      <c r="R18" s="247">
        <f t="shared" ref="R18:R38" si="31">10*LOG10(1/SQRT(1-AK18*(Q/AA18)^2))</f>
        <v>0.30723525683201397</v>
      </c>
      <c r="S18" s="52">
        <f t="shared" ref="S18:S38" si="32">-10*LOG10(AA18*SQRT(1-Q*Q*((SD_blw^2+AK18)/AA18^2+Vmn+(P18*P18))))-$T$13-J18-L18-Q18-N18-R18-Pmn</f>
        <v>8.8609989643510023E-2</v>
      </c>
      <c r="T18" s="277">
        <f t="shared" ref="T18:T38" si="33">J18+L18+B18+Q18+N18+R18+S18+Pmn</f>
        <v>3.3851103545821406</v>
      </c>
      <c r="U18" s="601">
        <f t="shared" ref="U18:U38" si="34">J18+K18+B18+Q18+N18+R18+S18+Pmn+M18</f>
        <v>4.1681359488046841</v>
      </c>
      <c r="V18" s="177">
        <f t="shared" si="15"/>
        <v>3.2039805986201624</v>
      </c>
      <c r="W18" s="178">
        <f t="shared" si="16"/>
        <v>3.3148896454178587</v>
      </c>
      <c r="X18" s="413">
        <f t="shared" si="17"/>
        <v>-5.1698698000605807</v>
      </c>
      <c r="Y18" s="59">
        <f t="shared" si="18"/>
        <v>0.87748588000470273</v>
      </c>
      <c r="Z18" s="60">
        <f t="shared" si="19"/>
        <v>0.78537657365974378</v>
      </c>
      <c r="AA18" s="294">
        <f t="shared" ref="AA18:AA38" si="35">$AD18*(1-2*$L$10*10^(-$C18/10)*$AB$5*SQRT(2*ER*($AD18*(ER-1)+ER+1))/($AD18*(ER-1)))</f>
        <v>0.54063784588092956</v>
      </c>
      <c r="AB18" s="56">
        <f t="shared" si="20"/>
        <v>0.53972133333529371</v>
      </c>
      <c r="AC18" s="55">
        <f t="shared" si="21"/>
        <v>0.45144399925291401</v>
      </c>
      <c r="AD18" s="55">
        <f t="shared" si="22"/>
        <v>0.54063784588092956</v>
      </c>
      <c r="AE18" s="61">
        <f t="shared" si="23"/>
        <v>1.062219749479377</v>
      </c>
      <c r="AF18" s="61">
        <f t="shared" si="24"/>
        <v>0.69275201053002855</v>
      </c>
      <c r="AG18" s="61">
        <f t="shared" si="25"/>
        <v>1.2441826109119309</v>
      </c>
      <c r="AH18" s="61">
        <f t="shared" si="26"/>
        <v>0.51078914909747442</v>
      </c>
      <c r="AI18" s="61">
        <f t="shared" si="27"/>
        <v>1.0594487414372569</v>
      </c>
      <c r="AJ18" s="61">
        <f t="shared" si="28"/>
        <v>0.6955230185721486</v>
      </c>
      <c r="AK18" s="299">
        <f t="shared" ref="AK18:AK38" si="36">kRIN*10^6*$AK$7*$AK$7/(SQRT((1/F18)^2+(1/G18)^2+0.477*(1/$T$5)^2))*10^($G$4/10)</f>
        <v>2.5477537367456556E-3</v>
      </c>
      <c r="AL18" s="57">
        <f t="shared" si="29"/>
        <v>6.6999999999999993</v>
      </c>
      <c r="AM18" s="186">
        <f t="shared" ref="AM18:AM38" si="37">$L$3</f>
        <v>0.1</v>
      </c>
      <c r="AN18" s="186">
        <v>0</v>
      </c>
      <c r="AO18" s="58">
        <f t="shared" ref="AO18:AO38" si="38">IF(A18=$L$3,W18,0)</f>
        <v>0</v>
      </c>
      <c r="AP18" s="340">
        <f t="shared" ref="AP18:AP38" si="39">IF($A18=$L$3,I18,0)</f>
        <v>0</v>
      </c>
      <c r="AQ18" s="505">
        <f t="shared" ref="AQ18:AQ38" si="40">IF($A18=$L$3,B_1*Tb_eff*(1+$G$9)/(SQRT(8)*SQRT($H18^2+$AG$8^2)),0)</f>
        <v>0</v>
      </c>
      <c r="AR18" s="341">
        <f t="shared" ref="AR18:AR38" si="41">IF($A18=$L$3,B_1*Tb_eff*(1-$G$9)/(SQRT(8)*SQRT($H18^2+$AG$8^2)),0)</f>
        <v>0</v>
      </c>
    </row>
    <row r="19" spans="1:44" s="74" customFormat="1" ht="15" customHeight="1">
      <c r="A19" s="63">
        <f t="shared" ref="A19:A38" si="42">A18+$L$5</f>
        <v>5.5E-2</v>
      </c>
      <c r="B19" s="64">
        <f t="shared" si="0"/>
        <v>0.19924273155817623</v>
      </c>
      <c r="C19" s="64">
        <f t="shared" si="1"/>
        <v>1.6992427315581762</v>
      </c>
      <c r="D19" s="179">
        <f t="shared" si="2"/>
        <v>-5.9626478984722215</v>
      </c>
      <c r="E19" s="64">
        <f t="shared" si="3"/>
        <v>2.3735249999999996E-3</v>
      </c>
      <c r="F19" s="65">
        <f t="shared" si="4"/>
        <v>52269.83838065726</v>
      </c>
      <c r="G19" s="65">
        <f t="shared" si="5"/>
        <v>80000</v>
      </c>
      <c r="H19" s="66">
        <f t="shared" si="6"/>
        <v>33.712557115733105</v>
      </c>
      <c r="I19" s="66">
        <f t="shared" si="7"/>
        <v>38.32591619266551</v>
      </c>
      <c r="J19" s="648">
        <f t="shared" si="8"/>
        <v>2.4858558105062936</v>
      </c>
      <c r="K19" s="586">
        <f t="shared" si="9"/>
        <v>0.24305060292951453</v>
      </c>
      <c r="L19" s="644">
        <f t="shared" si="10"/>
        <v>0.23567379871931271</v>
      </c>
      <c r="M19" s="594">
        <f t="shared" si="11"/>
        <v>0.77660806566265927</v>
      </c>
      <c r="N19" s="251">
        <f t="shared" si="30"/>
        <v>0</v>
      </c>
      <c r="O19" s="64">
        <f t="shared" si="12"/>
        <v>-0.30485998778274254</v>
      </c>
      <c r="P19" s="64">
        <f t="shared" si="13"/>
        <v>1.8827030525264108E-2</v>
      </c>
      <c r="Q19" s="64">
        <f t="shared" si="14"/>
        <v>1.1681441244420377E-2</v>
      </c>
      <c r="R19" s="644">
        <f t="shared" si="31"/>
        <v>0.30721950579581375</v>
      </c>
      <c r="S19" s="64">
        <f t="shared" si="32"/>
        <v>9.1781501679411515E-2</v>
      </c>
      <c r="T19" s="334">
        <f t="shared" si="33"/>
        <v>3.4605547895034281</v>
      </c>
      <c r="U19" s="602">
        <f t="shared" si="34"/>
        <v>4.2445396593762883</v>
      </c>
      <c r="V19" s="164">
        <f t="shared" si="15"/>
        <v>3.2613120579452519</v>
      </c>
      <c r="W19" s="180">
        <f t="shared" si="16"/>
        <v>3.2394452104965712</v>
      </c>
      <c r="X19" s="414">
        <f t="shared" si="17"/>
        <v>-5.1931344294381159</v>
      </c>
      <c r="Y19" s="72">
        <f t="shared" si="18"/>
        <v>0.87122574836346256</v>
      </c>
      <c r="Z19" s="73">
        <f t="shared" si="19"/>
        <v>0.78208787762055509</v>
      </c>
      <c r="AA19" s="295">
        <f t="shared" si="35"/>
        <v>0.53437611602017876</v>
      </c>
      <c r="AB19" s="69">
        <f t="shared" si="20"/>
        <v>0.53346921018410409</v>
      </c>
      <c r="AC19" s="68">
        <f t="shared" si="21"/>
        <v>0.44611677303437425</v>
      </c>
      <c r="AD19" s="68">
        <f t="shared" si="22"/>
        <v>0.53437611602017876</v>
      </c>
      <c r="AE19" s="23">
        <f t="shared" si="23"/>
        <v>1.0546416953873494</v>
      </c>
      <c r="AF19" s="23">
        <f t="shared" si="24"/>
        <v>0.68780980133957581</v>
      </c>
      <c r="AG19" s="23">
        <f t="shared" si="25"/>
        <v>1.2353064032058778</v>
      </c>
      <c r="AH19" s="23">
        <f t="shared" si="26"/>
        <v>0.50714509352104731</v>
      </c>
      <c r="AI19" s="23">
        <f t="shared" si="27"/>
        <v>1.0518904561819913</v>
      </c>
      <c r="AJ19" s="23">
        <f t="shared" si="28"/>
        <v>0.69056104054493406</v>
      </c>
      <c r="AK19" s="289">
        <f t="shared" si="36"/>
        <v>2.4889599576882575E-3</v>
      </c>
      <c r="AL19" s="70">
        <f t="shared" si="29"/>
        <v>6.6999999999999993</v>
      </c>
      <c r="AM19" s="187">
        <f t="shared" si="37"/>
        <v>0.1</v>
      </c>
      <c r="AN19" s="188">
        <f t="shared" ref="AN19:AN37" si="43">AN20</f>
        <v>9</v>
      </c>
      <c r="AO19" s="71">
        <f t="shared" si="38"/>
        <v>0</v>
      </c>
      <c r="AP19" s="342">
        <f t="shared" si="39"/>
        <v>0</v>
      </c>
      <c r="AQ19" s="506">
        <f t="shared" si="40"/>
        <v>0</v>
      </c>
      <c r="AR19" s="343">
        <f t="shared" si="41"/>
        <v>0</v>
      </c>
    </row>
    <row r="20" spans="1:44" s="74" customFormat="1" ht="15" customHeight="1">
      <c r="A20" s="63">
        <f t="shared" si="42"/>
        <v>0.06</v>
      </c>
      <c r="B20" s="64">
        <f t="shared" si="0"/>
        <v>0.21735570715437408</v>
      </c>
      <c r="C20" s="64">
        <f t="shared" si="1"/>
        <v>1.7173557071543741</v>
      </c>
      <c r="D20" s="179">
        <f t="shared" si="2"/>
        <v>-6.5047067983333324</v>
      </c>
      <c r="E20" s="64">
        <f t="shared" si="3"/>
        <v>2.5892999999999992E-3</v>
      </c>
      <c r="F20" s="65">
        <f t="shared" si="4"/>
        <v>47914.018515602489</v>
      </c>
      <c r="G20" s="65">
        <f t="shared" si="5"/>
        <v>73333.333333333343</v>
      </c>
      <c r="H20" s="66">
        <f t="shared" si="6"/>
        <v>34.050096626911795</v>
      </c>
      <c r="I20" s="66">
        <f t="shared" si="7"/>
        <v>38.623159179793717</v>
      </c>
      <c r="J20" s="648">
        <f t="shared" si="8"/>
        <v>2.5410504272182632</v>
      </c>
      <c r="K20" s="586">
        <f t="shared" si="9"/>
        <v>0.24334298749070316</v>
      </c>
      <c r="L20" s="644">
        <f t="shared" si="10"/>
        <v>0.23595705195181571</v>
      </c>
      <c r="M20" s="594">
        <f t="shared" si="11"/>
        <v>0.77767572162686083</v>
      </c>
      <c r="N20" s="251">
        <f t="shared" si="30"/>
        <v>0</v>
      </c>
      <c r="O20" s="64">
        <f t="shared" si="12"/>
        <v>-0.33257453212662819</v>
      </c>
      <c r="P20" s="64">
        <f t="shared" si="13"/>
        <v>2.2212008888521467E-2</v>
      </c>
      <c r="Q20" s="64">
        <f t="shared" si="14"/>
        <v>1.6276742376211573E-2</v>
      </c>
      <c r="R20" s="644">
        <f t="shared" si="31"/>
        <v>0.307605796307719</v>
      </c>
      <c r="S20" s="64">
        <f t="shared" si="32"/>
        <v>9.5579160790739026E-2</v>
      </c>
      <c r="T20" s="334">
        <f t="shared" si="33"/>
        <v>3.5429248857991231</v>
      </c>
      <c r="U20" s="602">
        <f t="shared" si="34"/>
        <v>4.3279865429648714</v>
      </c>
      <c r="V20" s="164">
        <f t="shared" si="15"/>
        <v>3.325569178644749</v>
      </c>
      <c r="W20" s="180">
        <f t="shared" si="16"/>
        <v>3.1570751142008762</v>
      </c>
      <c r="X20" s="414">
        <f t="shared" si="17"/>
        <v>-5.2181278262336734</v>
      </c>
      <c r="Y20" s="72">
        <f t="shared" si="18"/>
        <v>0.86452081408553216</v>
      </c>
      <c r="Z20" s="73">
        <f t="shared" si="19"/>
        <v>0.77852549940995497</v>
      </c>
      <c r="AA20" s="295">
        <f t="shared" si="35"/>
        <v>0.52759327613538121</v>
      </c>
      <c r="AB20" s="69">
        <f t="shared" si="20"/>
        <v>0.52669677424564476</v>
      </c>
      <c r="AC20" s="68">
        <f t="shared" si="21"/>
        <v>0.44034501719341157</v>
      </c>
      <c r="AD20" s="68">
        <f t="shared" si="22"/>
        <v>0.52759327613538121</v>
      </c>
      <c r="AE20" s="23">
        <f t="shared" si="23"/>
        <v>1.0465251959982758</v>
      </c>
      <c r="AF20" s="23">
        <f t="shared" si="24"/>
        <v>0.68251643217278857</v>
      </c>
      <c r="AG20" s="23">
        <f t="shared" si="25"/>
        <v>1.2257995121823282</v>
      </c>
      <c r="AH20" s="23">
        <f t="shared" si="26"/>
        <v>0.50324211598873625</v>
      </c>
      <c r="AI20" s="23">
        <f t="shared" si="27"/>
        <v>1.0437951302695847</v>
      </c>
      <c r="AJ20" s="23">
        <f t="shared" si="28"/>
        <v>0.68524649790147973</v>
      </c>
      <c r="AK20" s="289">
        <f t="shared" si="36"/>
        <v>2.4290158370853599E-3</v>
      </c>
      <c r="AL20" s="70">
        <f t="shared" si="29"/>
        <v>6.6999999999999993</v>
      </c>
      <c r="AM20" s="187">
        <f t="shared" si="37"/>
        <v>0.1</v>
      </c>
      <c r="AN20" s="188">
        <f t="shared" si="43"/>
        <v>9</v>
      </c>
      <c r="AO20" s="71">
        <f t="shared" si="38"/>
        <v>0</v>
      </c>
      <c r="AP20" s="342">
        <f t="shared" si="39"/>
        <v>0</v>
      </c>
      <c r="AQ20" s="506">
        <f t="shared" si="40"/>
        <v>0</v>
      </c>
      <c r="AR20" s="343">
        <f t="shared" si="41"/>
        <v>0</v>
      </c>
    </row>
    <row r="21" spans="1:44" s="74" customFormat="1" ht="15" customHeight="1">
      <c r="A21" s="63">
        <f t="shared" si="42"/>
        <v>6.5000000000000002E-2</v>
      </c>
      <c r="B21" s="64">
        <f t="shared" si="0"/>
        <v>0.23546868275057192</v>
      </c>
      <c r="C21" s="64">
        <f t="shared" si="1"/>
        <v>1.7354686827505719</v>
      </c>
      <c r="D21" s="179">
        <f t="shared" si="2"/>
        <v>-7.0467656981944433</v>
      </c>
      <c r="E21" s="64">
        <f t="shared" si="3"/>
        <v>2.8050749999999998E-3</v>
      </c>
      <c r="F21" s="65">
        <f t="shared" si="4"/>
        <v>44228.324783633063</v>
      </c>
      <c r="G21" s="65">
        <f t="shared" si="5"/>
        <v>67692.307692307688</v>
      </c>
      <c r="H21" s="66">
        <f t="shared" si="6"/>
        <v>34.413232523486904</v>
      </c>
      <c r="I21" s="66">
        <f t="shared" si="7"/>
        <v>38.943676218883475</v>
      </c>
      <c r="J21" s="648">
        <f t="shared" si="8"/>
        <v>2.6011184021205098</v>
      </c>
      <c r="K21" s="586">
        <f t="shared" si="9"/>
        <v>0.2436668806819573</v>
      </c>
      <c r="L21" s="644">
        <f t="shared" si="10"/>
        <v>0.23627079874768908</v>
      </c>
      <c r="M21" s="594">
        <f t="shared" si="11"/>
        <v>0.77887170192294874</v>
      </c>
      <c r="N21" s="251">
        <f t="shared" si="30"/>
        <v>0</v>
      </c>
      <c r="O21" s="64">
        <f t="shared" si="12"/>
        <v>-0.36028907647051384</v>
      </c>
      <c r="P21" s="64">
        <f t="shared" si="13"/>
        <v>2.5824137277234743E-2</v>
      </c>
      <c r="Q21" s="64">
        <f t="shared" si="14"/>
        <v>2.203017531917812E-2</v>
      </c>
      <c r="R21" s="644">
        <f t="shared" si="31"/>
        <v>0.30846312171042661</v>
      </c>
      <c r="S21" s="64">
        <f t="shared" si="32"/>
        <v>0.10008990466899631</v>
      </c>
      <c r="T21" s="334">
        <f t="shared" si="33"/>
        <v>3.6325410853173725</v>
      </c>
      <c r="U21" s="602">
        <f t="shared" si="34"/>
        <v>4.4188088691745895</v>
      </c>
      <c r="V21" s="164">
        <f t="shared" si="15"/>
        <v>3.3970724025668004</v>
      </c>
      <c r="W21" s="180">
        <f t="shared" si="16"/>
        <v>3.0674589146826268</v>
      </c>
      <c r="X21" s="414">
        <f t="shared" si="17"/>
        <v>-5.2451069321146742</v>
      </c>
      <c r="Y21" s="72">
        <f t="shared" si="18"/>
        <v>0.85740557283288943</v>
      </c>
      <c r="Z21" s="73">
        <f t="shared" si="19"/>
        <v>0.77469968671511502</v>
      </c>
      <c r="AA21" s="295">
        <f t="shared" si="35"/>
        <v>0.52030869063918139</v>
      </c>
      <c r="AB21" s="69">
        <f t="shared" si="20"/>
        <v>0.51942335340266421</v>
      </c>
      <c r="AC21" s="68">
        <f t="shared" si="21"/>
        <v>0.43414449803464872</v>
      </c>
      <c r="AD21" s="68">
        <f t="shared" si="22"/>
        <v>0.52030869063918139</v>
      </c>
      <c r="AE21" s="23">
        <f t="shared" si="23"/>
        <v>1.0379120092187608</v>
      </c>
      <c r="AF21" s="23">
        <f t="shared" si="24"/>
        <v>0.67689913644701805</v>
      </c>
      <c r="AG21" s="23">
        <f t="shared" si="25"/>
        <v>1.2157108490588442</v>
      </c>
      <c r="AH21" s="23">
        <f t="shared" si="26"/>
        <v>0.49910029660693478</v>
      </c>
      <c r="AI21" s="23">
        <f t="shared" si="27"/>
        <v>1.0352044126729729</v>
      </c>
      <c r="AJ21" s="23">
        <f t="shared" si="28"/>
        <v>0.67960673299280605</v>
      </c>
      <c r="AK21" s="289">
        <f t="shared" si="36"/>
        <v>2.3685307664540033E-3</v>
      </c>
      <c r="AL21" s="70">
        <f t="shared" si="29"/>
        <v>6.6999999999999993</v>
      </c>
      <c r="AM21" s="187">
        <f t="shared" si="37"/>
        <v>0.1</v>
      </c>
      <c r="AN21" s="188">
        <f t="shared" si="43"/>
        <v>9</v>
      </c>
      <c r="AO21" s="71">
        <f t="shared" si="38"/>
        <v>0</v>
      </c>
      <c r="AP21" s="342">
        <f t="shared" si="39"/>
        <v>0</v>
      </c>
      <c r="AQ21" s="506">
        <f t="shared" si="40"/>
        <v>0</v>
      </c>
      <c r="AR21" s="343">
        <f t="shared" si="41"/>
        <v>0</v>
      </c>
    </row>
    <row r="22" spans="1:44" s="74" customFormat="1" ht="15" customHeight="1">
      <c r="A22" s="63">
        <f t="shared" si="42"/>
        <v>7.0000000000000007E-2</v>
      </c>
      <c r="B22" s="64">
        <f t="shared" si="0"/>
        <v>0.25358165834676977</v>
      </c>
      <c r="C22" s="64">
        <f t="shared" si="1"/>
        <v>1.7535816583467698</v>
      </c>
      <c r="D22" s="179">
        <f t="shared" si="2"/>
        <v>-7.5888245980555551</v>
      </c>
      <c r="E22" s="64">
        <f t="shared" si="3"/>
        <v>3.0208499999999998E-3</v>
      </c>
      <c r="F22" s="65">
        <f t="shared" si="4"/>
        <v>41069.158727659269</v>
      </c>
      <c r="G22" s="65">
        <f t="shared" si="5"/>
        <v>62857.142857142848</v>
      </c>
      <c r="H22" s="66">
        <f t="shared" si="6"/>
        <v>34.801163551269482</v>
      </c>
      <c r="I22" s="66">
        <f t="shared" si="7"/>
        <v>39.286897679097301</v>
      </c>
      <c r="J22" s="648">
        <f t="shared" si="8"/>
        <v>2.6660790051752645</v>
      </c>
      <c r="K22" s="586">
        <f t="shared" si="9"/>
        <v>0.24402648661445836</v>
      </c>
      <c r="L22" s="644">
        <f t="shared" si="10"/>
        <v>0.2366191337010477</v>
      </c>
      <c r="M22" s="594">
        <f t="shared" si="11"/>
        <v>0.7802100027616059</v>
      </c>
      <c r="N22" s="251">
        <f t="shared" si="30"/>
        <v>0</v>
      </c>
      <c r="O22" s="64">
        <f t="shared" si="12"/>
        <v>-0.3880036208143996</v>
      </c>
      <c r="P22" s="64">
        <f t="shared" si="13"/>
        <v>2.9648111607844585E-2</v>
      </c>
      <c r="Q22" s="64">
        <f t="shared" si="14"/>
        <v>2.9084690814226506E-2</v>
      </c>
      <c r="R22" s="644">
        <f t="shared" si="31"/>
        <v>0.30985820605788639</v>
      </c>
      <c r="S22" s="64">
        <f t="shared" si="32"/>
        <v>0.10541096983178311</v>
      </c>
      <c r="T22" s="334">
        <f t="shared" si="33"/>
        <v>3.7297336639269778</v>
      </c>
      <c r="U22" s="602">
        <f t="shared" si="34"/>
        <v>4.5173510196019944</v>
      </c>
      <c r="V22" s="164">
        <f t="shared" si="15"/>
        <v>3.4761520055802082</v>
      </c>
      <c r="W22" s="180">
        <f t="shared" si="16"/>
        <v>2.9702663360730215</v>
      </c>
      <c r="X22" s="414">
        <f t="shared" si="17"/>
        <v>-5.2743300401347737</v>
      </c>
      <c r="Y22" s="72">
        <f t="shared" si="18"/>
        <v>0.84991503501779109</v>
      </c>
      <c r="Z22" s="73">
        <f t="shared" si="19"/>
        <v>0.77062137967315025</v>
      </c>
      <c r="AA22" s="295">
        <f t="shared" si="35"/>
        <v>0.51254285784434606</v>
      </c>
      <c r="AB22" s="69">
        <f t="shared" si="20"/>
        <v>0.51166940674388539</v>
      </c>
      <c r="AC22" s="68">
        <f t="shared" si="21"/>
        <v>0.42753182684345048</v>
      </c>
      <c r="AD22" s="68">
        <f t="shared" si="22"/>
        <v>0.51254285784434606</v>
      </c>
      <c r="AE22" s="23">
        <f t="shared" si="23"/>
        <v>1.0288445160741682</v>
      </c>
      <c r="AF22" s="23">
        <f t="shared" si="24"/>
        <v>0.67098555396141402</v>
      </c>
      <c r="AG22" s="23">
        <f t="shared" si="25"/>
        <v>1.2050900549146994</v>
      </c>
      <c r="AH22" s="23">
        <f t="shared" si="26"/>
        <v>0.49474001512088273</v>
      </c>
      <c r="AI22" s="23">
        <f t="shared" si="27"/>
        <v>1.0261605738583226</v>
      </c>
      <c r="AJ22" s="23">
        <f t="shared" si="28"/>
        <v>0.67366949617725969</v>
      </c>
      <c r="AK22" s="289">
        <f t="shared" si="36"/>
        <v>2.3080265292079231E-3</v>
      </c>
      <c r="AL22" s="70">
        <f t="shared" si="29"/>
        <v>6.6999999999999993</v>
      </c>
      <c r="AM22" s="187">
        <f t="shared" si="37"/>
        <v>0.1</v>
      </c>
      <c r="AN22" s="188">
        <f t="shared" si="43"/>
        <v>9</v>
      </c>
      <c r="AO22" s="71">
        <f t="shared" si="38"/>
        <v>0</v>
      </c>
      <c r="AP22" s="342">
        <f t="shared" si="39"/>
        <v>0</v>
      </c>
      <c r="AQ22" s="506">
        <f t="shared" si="40"/>
        <v>0</v>
      </c>
      <c r="AR22" s="343">
        <f t="shared" si="41"/>
        <v>0</v>
      </c>
    </row>
    <row r="23" spans="1:44" s="62" customFormat="1" ht="15" customHeight="1">
      <c r="A23" s="51">
        <f t="shared" si="42"/>
        <v>7.5000000000000011E-2</v>
      </c>
      <c r="B23" s="52">
        <f t="shared" si="0"/>
        <v>0.27169463394296767</v>
      </c>
      <c r="C23" s="52">
        <f t="shared" si="1"/>
        <v>1.7716946339429676</v>
      </c>
      <c r="D23" s="176">
        <f t="shared" si="2"/>
        <v>-8.1308834979166669</v>
      </c>
      <c r="E23" s="52">
        <f t="shared" si="3"/>
        <v>3.2366249999999999E-3</v>
      </c>
      <c r="F23" s="53">
        <f t="shared" si="4"/>
        <v>38331.21481248198</v>
      </c>
      <c r="G23" s="53">
        <f t="shared" si="5"/>
        <v>58666.666666666657</v>
      </c>
      <c r="H23" s="54">
        <f t="shared" si="6"/>
        <v>35.213070239925429</v>
      </c>
      <c r="I23" s="54">
        <f t="shared" si="7"/>
        <v>39.652233990628766</v>
      </c>
      <c r="J23" s="647">
        <f t="shared" si="8"/>
        <v>2.7359567563356202</v>
      </c>
      <c r="K23" s="585">
        <f t="shared" si="9"/>
        <v>0.24442445639854427</v>
      </c>
      <c r="L23" s="247">
        <f t="shared" si="10"/>
        <v>0.23700457267409281</v>
      </c>
      <c r="M23" s="593">
        <f t="shared" si="11"/>
        <v>0.78170788008276437</v>
      </c>
      <c r="N23" s="265">
        <f t="shared" si="30"/>
        <v>0</v>
      </c>
      <c r="O23" s="52">
        <f t="shared" si="12"/>
        <v>-0.41571816515828536</v>
      </c>
      <c r="P23" s="52">
        <f t="shared" si="13"/>
        <v>3.3667964518255634E-2</v>
      </c>
      <c r="Q23" s="52">
        <f t="shared" si="14"/>
        <v>3.7579535744960896E-2</v>
      </c>
      <c r="R23" s="247">
        <f t="shared" si="31"/>
        <v>0.31185636222013863</v>
      </c>
      <c r="S23" s="52">
        <f t="shared" si="32"/>
        <v>0.11165198214453925</v>
      </c>
      <c r="T23" s="277">
        <f t="shared" si="33"/>
        <v>3.8348438430623188</v>
      </c>
      <c r="U23" s="601">
        <f t="shared" si="34"/>
        <v>4.6239716068695351</v>
      </c>
      <c r="V23" s="177">
        <f t="shared" si="15"/>
        <v>3.5631492091193513</v>
      </c>
      <c r="W23" s="178">
        <f t="shared" si="16"/>
        <v>2.8651561569376804</v>
      </c>
      <c r="X23" s="413">
        <f t="shared" si="17"/>
        <v>-5.3060565229803363</v>
      </c>
      <c r="Y23" s="59">
        <f t="shared" si="18"/>
        <v>0.84208433311882835</v>
      </c>
      <c r="Z23" s="60">
        <f t="shared" si="19"/>
        <v>0.76630193903877475</v>
      </c>
      <c r="AA23" s="294">
        <f t="shared" si="35"/>
        <v>0.5043173008513433</v>
      </c>
      <c r="AB23" s="56">
        <f t="shared" si="20"/>
        <v>0.50345641471500446</v>
      </c>
      <c r="AC23" s="55">
        <f t="shared" si="21"/>
        <v>0.42052429433471161</v>
      </c>
      <c r="AD23" s="55">
        <f t="shared" si="22"/>
        <v>0.5043173008513433</v>
      </c>
      <c r="AE23" s="61">
        <f t="shared" si="23"/>
        <v>1.0193652453543711</v>
      </c>
      <c r="AF23" s="61">
        <f t="shared" si="24"/>
        <v>0.66480342088328559</v>
      </c>
      <c r="AG23" s="61">
        <f t="shared" si="25"/>
        <v>1.1939869439063806</v>
      </c>
      <c r="AH23" s="61">
        <f t="shared" si="26"/>
        <v>0.49018172233127599</v>
      </c>
      <c r="AI23" s="61">
        <f t="shared" si="27"/>
        <v>1.0167060316708381</v>
      </c>
      <c r="AJ23" s="61">
        <f t="shared" si="28"/>
        <v>0.66746263456681865</v>
      </c>
      <c r="AK23" s="299">
        <f t="shared" si="36"/>
        <v>2.2479399986829493E-3</v>
      </c>
      <c r="AL23" s="57">
        <f t="shared" si="29"/>
        <v>6.6999999999999993</v>
      </c>
      <c r="AM23" s="186">
        <f t="shared" si="37"/>
        <v>0.1</v>
      </c>
      <c r="AN23" s="189">
        <f t="shared" si="43"/>
        <v>9</v>
      </c>
      <c r="AO23" s="58">
        <f t="shared" si="38"/>
        <v>0</v>
      </c>
      <c r="AP23" s="340">
        <f t="shared" si="39"/>
        <v>0</v>
      </c>
      <c r="AQ23" s="505">
        <f t="shared" si="40"/>
        <v>0</v>
      </c>
      <c r="AR23" s="341">
        <f t="shared" si="41"/>
        <v>0</v>
      </c>
    </row>
    <row r="24" spans="1:44" s="74" customFormat="1" ht="15" customHeight="1">
      <c r="A24" s="63">
        <f t="shared" si="42"/>
        <v>8.0000000000000016E-2</v>
      </c>
      <c r="B24" s="64">
        <f t="shared" si="0"/>
        <v>0.28980760953916551</v>
      </c>
      <c r="C24" s="64">
        <f t="shared" si="1"/>
        <v>1.7898076095391655</v>
      </c>
      <c r="D24" s="179">
        <f t="shared" si="2"/>
        <v>-8.6729423977777778</v>
      </c>
      <c r="E24" s="64">
        <f t="shared" si="3"/>
        <v>3.4524E-3</v>
      </c>
      <c r="F24" s="65">
        <f t="shared" si="4"/>
        <v>35935.513886701861</v>
      </c>
      <c r="G24" s="65">
        <f t="shared" si="5"/>
        <v>54999.999999999993</v>
      </c>
      <c r="H24" s="66">
        <f t="shared" si="6"/>
        <v>35.648121497699144</v>
      </c>
      <c r="I24" s="66">
        <f t="shared" si="7"/>
        <v>40.039079797622392</v>
      </c>
      <c r="J24" s="648">
        <f t="shared" si="8"/>
        <v>2.810777300984288</v>
      </c>
      <c r="K24" s="586">
        <f t="shared" si="9"/>
        <v>0.24486636630308212</v>
      </c>
      <c r="L24" s="644">
        <f t="shared" si="10"/>
        <v>0.23743251806758892</v>
      </c>
      <c r="M24" s="594">
        <f t="shared" si="11"/>
        <v>0.78338551030735148</v>
      </c>
      <c r="N24" s="251">
        <f t="shared" si="30"/>
        <v>0</v>
      </c>
      <c r="O24" s="64">
        <f t="shared" si="12"/>
        <v>-0.44343270950217101</v>
      </c>
      <c r="P24" s="64">
        <f t="shared" si="13"/>
        <v>3.7867175968815753E-2</v>
      </c>
      <c r="Q24" s="64">
        <f t="shared" si="14"/>
        <v>4.7648266426634021E-2</v>
      </c>
      <c r="R24" s="644">
        <f t="shared" si="31"/>
        <v>0.31452264652947104</v>
      </c>
      <c r="S24" s="64">
        <f t="shared" si="32"/>
        <v>0.11893761673119529</v>
      </c>
      <c r="T24" s="334">
        <f t="shared" si="33"/>
        <v>3.9482259582783428</v>
      </c>
      <c r="U24" s="602">
        <f t="shared" si="34"/>
        <v>4.739045316821187</v>
      </c>
      <c r="V24" s="164">
        <f t="shared" si="15"/>
        <v>3.6584183487391773</v>
      </c>
      <c r="W24" s="180">
        <f t="shared" si="16"/>
        <v>2.7517740417216565</v>
      </c>
      <c r="X24" s="414">
        <f t="shared" si="17"/>
        <v>-5.3405473308608684</v>
      </c>
      <c r="Y24" s="72">
        <f t="shared" si="18"/>
        <v>0.83394836208631251</v>
      </c>
      <c r="Z24" s="73">
        <f t="shared" si="19"/>
        <v>0.76175336543935823</v>
      </c>
      <c r="AA24" s="295">
        <f t="shared" si="35"/>
        <v>0.49565445964904775</v>
      </c>
      <c r="AB24" s="69">
        <f t="shared" si="20"/>
        <v>0.49480677023838471</v>
      </c>
      <c r="AC24" s="68">
        <f t="shared" si="21"/>
        <v>0.41313984499905243</v>
      </c>
      <c r="AD24" s="68">
        <f t="shared" si="22"/>
        <v>0.49565445964904775</v>
      </c>
      <c r="AE24" s="23">
        <f t="shared" si="23"/>
        <v>1.0095164383150099</v>
      </c>
      <c r="AF24" s="23">
        <f t="shared" si="24"/>
        <v>0.65838028585761521</v>
      </c>
      <c r="AG24" s="23">
        <f t="shared" si="25"/>
        <v>1.1824509934002767</v>
      </c>
      <c r="AH24" s="23">
        <f t="shared" si="26"/>
        <v>0.48544573077234837</v>
      </c>
      <c r="AI24" s="23">
        <f t="shared" si="27"/>
        <v>1.0068829171715794</v>
      </c>
      <c r="AJ24" s="23">
        <f t="shared" si="28"/>
        <v>0.66101380700104562</v>
      </c>
      <c r="AK24" s="289">
        <f t="shared" si="36"/>
        <v>2.1886287929807572E-3</v>
      </c>
      <c r="AL24" s="70">
        <f t="shared" si="29"/>
        <v>6.6999999999999993</v>
      </c>
      <c r="AM24" s="187">
        <f t="shared" si="37"/>
        <v>0.1</v>
      </c>
      <c r="AN24" s="188">
        <f t="shared" si="43"/>
        <v>9</v>
      </c>
      <c r="AO24" s="71">
        <f t="shared" si="38"/>
        <v>0</v>
      </c>
      <c r="AP24" s="342">
        <f t="shared" si="39"/>
        <v>0</v>
      </c>
      <c r="AQ24" s="506">
        <f t="shared" si="40"/>
        <v>0</v>
      </c>
      <c r="AR24" s="343">
        <f t="shared" si="41"/>
        <v>0</v>
      </c>
    </row>
    <row r="25" spans="1:44" s="74" customFormat="1" ht="15" customHeight="1">
      <c r="A25" s="63">
        <f t="shared" si="42"/>
        <v>8.500000000000002E-2</v>
      </c>
      <c r="B25" s="64">
        <f t="shared" si="0"/>
        <v>0.30792058513536336</v>
      </c>
      <c r="C25" s="64">
        <f t="shared" si="1"/>
        <v>1.8079205851353635</v>
      </c>
      <c r="D25" s="179">
        <f t="shared" si="2"/>
        <v>-9.2150012976388904</v>
      </c>
      <c r="E25" s="64">
        <f t="shared" si="3"/>
        <v>3.6681750000000001E-3</v>
      </c>
      <c r="F25" s="65">
        <f t="shared" si="4"/>
        <v>33821.660128660573</v>
      </c>
      <c r="G25" s="65">
        <f t="shared" si="5"/>
        <v>51764.70588235293</v>
      </c>
      <c r="H25" s="66">
        <f t="shared" si="6"/>
        <v>36.1054806961575</v>
      </c>
      <c r="I25" s="66">
        <f t="shared" si="7"/>
        <v>40.446817934495847</v>
      </c>
      <c r="J25" s="648">
        <f t="shared" si="8"/>
        <v>2.8905700990703327</v>
      </c>
      <c r="K25" s="586">
        <f t="shared" si="9"/>
        <v>0.24535972419591356</v>
      </c>
      <c r="L25" s="644">
        <f t="shared" si="10"/>
        <v>0.23791030460376916</v>
      </c>
      <c r="M25" s="594">
        <f t="shared" si="11"/>
        <v>0.78526576954954042</v>
      </c>
      <c r="N25" s="251">
        <f t="shared" si="30"/>
        <v>0</v>
      </c>
      <c r="O25" s="64">
        <f t="shared" si="12"/>
        <v>-0.47114725384605682</v>
      </c>
      <c r="P25" s="64">
        <f t="shared" si="13"/>
        <v>4.2228785685412357E-2</v>
      </c>
      <c r="Q25" s="64">
        <f t="shared" si="14"/>
        <v>5.9416968495259258E-2</v>
      </c>
      <c r="R25" s="644">
        <f t="shared" si="31"/>
        <v>0.31792345960072566</v>
      </c>
      <c r="S25" s="64">
        <f t="shared" si="32"/>
        <v>0.12741105019215171</v>
      </c>
      <c r="T25" s="334">
        <f t="shared" si="33"/>
        <v>4.0702524670976015</v>
      </c>
      <c r="U25" s="602">
        <f t="shared" si="34"/>
        <v>4.8629676562392863</v>
      </c>
      <c r="V25" s="164">
        <f t="shared" si="15"/>
        <v>3.762331881962238</v>
      </c>
      <c r="W25" s="180">
        <f t="shared" si="16"/>
        <v>2.6297475329023978</v>
      </c>
      <c r="X25" s="414">
        <f t="shared" si="17"/>
        <v>-5.378066538327424</v>
      </c>
      <c r="Y25" s="72">
        <f t="shared" si="18"/>
        <v>0.82554145719811023</v>
      </c>
      <c r="Z25" s="73">
        <f t="shared" si="19"/>
        <v>0.75698808870886591</v>
      </c>
      <c r="AA25" s="295">
        <f t="shared" si="35"/>
        <v>0.48657742934419956</v>
      </c>
      <c r="AB25" s="69">
        <f t="shared" si="20"/>
        <v>0.4857435222520583</v>
      </c>
      <c r="AC25" s="68">
        <f t="shared" si="21"/>
        <v>0.40539691617085283</v>
      </c>
      <c r="AD25" s="68">
        <f t="shared" si="22"/>
        <v>0.48657742934419956</v>
      </c>
      <c r="AE25" s="23">
        <f t="shared" si="23"/>
        <v>0.99933965871350172</v>
      </c>
      <c r="AF25" s="23">
        <f t="shared" si="24"/>
        <v>0.65174325568271863</v>
      </c>
      <c r="AG25" s="23">
        <f t="shared" si="25"/>
        <v>1.1705308872061624</v>
      </c>
      <c r="AH25" s="23">
        <f t="shared" si="26"/>
        <v>0.48055202719005796</v>
      </c>
      <c r="AI25" s="23">
        <f t="shared" si="27"/>
        <v>0.996732685690771</v>
      </c>
      <c r="AJ25" s="23">
        <f t="shared" si="28"/>
        <v>0.65435022870544945</v>
      </c>
      <c r="AK25" s="289">
        <f t="shared" si="36"/>
        <v>2.130378721807102E-3</v>
      </c>
      <c r="AL25" s="70">
        <f t="shared" si="29"/>
        <v>6.6999999999999993</v>
      </c>
      <c r="AM25" s="187">
        <f t="shared" si="37"/>
        <v>0.1</v>
      </c>
      <c r="AN25" s="188">
        <f t="shared" si="43"/>
        <v>9</v>
      </c>
      <c r="AO25" s="71">
        <f t="shared" si="38"/>
        <v>0</v>
      </c>
      <c r="AP25" s="342">
        <f t="shared" si="39"/>
        <v>0</v>
      </c>
      <c r="AQ25" s="506">
        <f t="shared" si="40"/>
        <v>0</v>
      </c>
      <c r="AR25" s="343">
        <f t="shared" si="41"/>
        <v>0</v>
      </c>
    </row>
    <row r="26" spans="1:44" s="74" customFormat="1" ht="15" customHeight="1">
      <c r="A26" s="63">
        <f t="shared" si="42"/>
        <v>9.0000000000000024E-2</v>
      </c>
      <c r="B26" s="64">
        <f t="shared" si="0"/>
        <v>0.3260335607315612</v>
      </c>
      <c r="C26" s="64">
        <f t="shared" si="1"/>
        <v>1.8260335607315612</v>
      </c>
      <c r="D26" s="179">
        <f t="shared" si="2"/>
        <v>-9.7570601975000013</v>
      </c>
      <c r="E26" s="64">
        <f t="shared" si="3"/>
        <v>3.8839500000000002E-3</v>
      </c>
      <c r="F26" s="65">
        <f t="shared" si="4"/>
        <v>31942.679010401651</v>
      </c>
      <c r="G26" s="65">
        <f t="shared" si="5"/>
        <v>48888.888888888876</v>
      </c>
      <c r="H26" s="66">
        <f t="shared" si="6"/>
        <v>36.58431119591522</v>
      </c>
      <c r="I26" s="66">
        <f t="shared" si="7"/>
        <v>40.874823185002541</v>
      </c>
      <c r="J26" s="648">
        <f t="shared" si="8"/>
        <v>2.9753721403815847</v>
      </c>
      <c r="K26" s="586">
        <f t="shared" si="9"/>
        <v>0.24590966440115913</v>
      </c>
      <c r="L26" s="644">
        <f t="shared" si="10"/>
        <v>0.23844283308679604</v>
      </c>
      <c r="M26" s="594">
        <f t="shared" si="11"/>
        <v>0.7873757424989023</v>
      </c>
      <c r="N26" s="251">
        <f t="shared" si="30"/>
        <v>0</v>
      </c>
      <c r="O26" s="64">
        <f t="shared" si="12"/>
        <v>-0.49886179818994247</v>
      </c>
      <c r="P26" s="64">
        <f t="shared" si="13"/>
        <v>4.6735506380884376E-2</v>
      </c>
      <c r="Q26" s="64">
        <f t="shared" si="14"/>
        <v>7.3002692367097277E-2</v>
      </c>
      <c r="R26" s="644">
        <f t="shared" si="31"/>
        <v>0.32212796530104804</v>
      </c>
      <c r="S26" s="64">
        <f t="shared" si="32"/>
        <v>0.13723808783464508</v>
      </c>
      <c r="T26" s="334">
        <f t="shared" si="33"/>
        <v>4.2013172797027325</v>
      </c>
      <c r="U26" s="602">
        <f t="shared" si="34"/>
        <v>4.9961598535159979</v>
      </c>
      <c r="V26" s="164">
        <f t="shared" si="15"/>
        <v>3.8752837189711711</v>
      </c>
      <c r="W26" s="180">
        <f t="shared" si="16"/>
        <v>2.4986827202972668</v>
      </c>
      <c r="X26" s="414">
        <f t="shared" si="17"/>
        <v>-5.4188832623170295</v>
      </c>
      <c r="Y26" s="72">
        <f t="shared" si="18"/>
        <v>0.81689711208149618</v>
      </c>
      <c r="Z26" s="73">
        <f t="shared" si="19"/>
        <v>0.75201871352319138</v>
      </c>
      <c r="AA26" s="295">
        <f t="shared" si="35"/>
        <v>0.47710998175451902</v>
      </c>
      <c r="AB26" s="69">
        <f t="shared" si="20"/>
        <v>0.47629039063619771</v>
      </c>
      <c r="AC26" s="68">
        <f t="shared" si="21"/>
        <v>0.39731434478845151</v>
      </c>
      <c r="AD26" s="68">
        <f t="shared" si="22"/>
        <v>0.47710998175451902</v>
      </c>
      <c r="AE26" s="23">
        <f t="shared" si="23"/>
        <v>0.98887545146707423</v>
      </c>
      <c r="AF26" s="23">
        <f t="shared" si="24"/>
        <v>0.64491877269591802</v>
      </c>
      <c r="AG26" s="23">
        <f t="shared" si="25"/>
        <v>1.1582741157618686</v>
      </c>
      <c r="AH26" s="23">
        <f t="shared" si="26"/>
        <v>0.47552010840112369</v>
      </c>
      <c r="AI26" s="23">
        <f t="shared" si="27"/>
        <v>0.98629577637629062</v>
      </c>
      <c r="AJ26" s="23">
        <f t="shared" si="28"/>
        <v>0.64749844778670163</v>
      </c>
      <c r="AK26" s="289">
        <f t="shared" si="36"/>
        <v>2.0734120998221737E-3</v>
      </c>
      <c r="AL26" s="70">
        <f t="shared" si="29"/>
        <v>6.6999999999999993</v>
      </c>
      <c r="AM26" s="187">
        <f t="shared" si="37"/>
        <v>0.1</v>
      </c>
      <c r="AN26" s="188">
        <f t="shared" si="43"/>
        <v>9</v>
      </c>
      <c r="AO26" s="71">
        <f t="shared" si="38"/>
        <v>0</v>
      </c>
      <c r="AP26" s="342">
        <f t="shared" si="39"/>
        <v>0</v>
      </c>
      <c r="AQ26" s="506">
        <f t="shared" si="40"/>
        <v>0</v>
      </c>
      <c r="AR26" s="343">
        <f t="shared" si="41"/>
        <v>0</v>
      </c>
    </row>
    <row r="27" spans="1:44" s="74" customFormat="1" ht="15" customHeight="1">
      <c r="A27" s="63">
        <f t="shared" si="42"/>
        <v>9.5000000000000029E-2</v>
      </c>
      <c r="B27" s="64">
        <f t="shared" si="0"/>
        <v>0.34414653632775905</v>
      </c>
      <c r="C27" s="64">
        <f t="shared" si="1"/>
        <v>1.8441465363277589</v>
      </c>
      <c r="D27" s="179">
        <f t="shared" si="2"/>
        <v>-10.299119097361112</v>
      </c>
      <c r="E27" s="64">
        <f t="shared" si="3"/>
        <v>4.0997250000000002E-3</v>
      </c>
      <c r="F27" s="65">
        <f t="shared" si="4"/>
        <v>30261.485378275247</v>
      </c>
      <c r="G27" s="65">
        <f t="shared" si="5"/>
        <v>46315.789473684199</v>
      </c>
      <c r="H27" s="66">
        <f t="shared" si="6"/>
        <v>37.083781285780674</v>
      </c>
      <c r="I27" s="66">
        <f t="shared" si="7"/>
        <v>41.322465792559747</v>
      </c>
      <c r="J27" s="648">
        <f t="shared" si="8"/>
        <v>3.0652225618395921</v>
      </c>
      <c r="K27" s="586">
        <f t="shared" si="9"/>
        <v>0.24652616560813811</v>
      </c>
      <c r="L27" s="644">
        <f t="shared" si="10"/>
        <v>0.2390395300715622</v>
      </c>
      <c r="M27" s="594">
        <f t="shared" si="11"/>
        <v>0.78974584844409357</v>
      </c>
      <c r="N27" s="251">
        <f t="shared" si="30"/>
        <v>0</v>
      </c>
      <c r="O27" s="64">
        <f t="shared" si="12"/>
        <v>-0.52657634253382812</v>
      </c>
      <c r="P27" s="64">
        <f t="shared" si="13"/>
        <v>5.1369836706903128E-2</v>
      </c>
      <c r="Q27" s="64">
        <f t="shared" si="14"/>
        <v>8.8512105287009424E-2</v>
      </c>
      <c r="R27" s="644">
        <f t="shared" si="31"/>
        <v>0.32721002603415417</v>
      </c>
      <c r="S27" s="64">
        <f t="shared" si="32"/>
        <v>0.14861253098312455</v>
      </c>
      <c r="T27" s="334">
        <f t="shared" si="33"/>
        <v>4.3418432905432018</v>
      </c>
      <c r="U27" s="602">
        <f t="shared" si="34"/>
        <v>5.1390757745238718</v>
      </c>
      <c r="V27" s="164">
        <f t="shared" si="15"/>
        <v>3.9976967542154429</v>
      </c>
      <c r="W27" s="180">
        <f t="shared" si="16"/>
        <v>2.3581567094567975</v>
      </c>
      <c r="X27" s="414">
        <f t="shared" si="17"/>
        <v>-5.4632749331404851</v>
      </c>
      <c r="Y27" s="72">
        <f t="shared" si="18"/>
        <v>0.80804773810672348</v>
      </c>
      <c r="Z27" s="73">
        <f t="shared" si="19"/>
        <v>0.74685830811285103</v>
      </c>
      <c r="AA27" s="295">
        <f t="shared" si="35"/>
        <v>0.4672763391709025</v>
      </c>
      <c r="AB27" s="69">
        <f t="shared" si="20"/>
        <v>0.46647151336547266</v>
      </c>
      <c r="AC27" s="68">
        <f t="shared" si="21"/>
        <v>0.3889112824933294</v>
      </c>
      <c r="AD27" s="68">
        <f t="shared" si="22"/>
        <v>0.4672763391709025</v>
      </c>
      <c r="AE27" s="23">
        <f t="shared" si="23"/>
        <v>0.97816305139234938</v>
      </c>
      <c r="AF27" s="23">
        <f t="shared" si="24"/>
        <v>0.63793242482109747</v>
      </c>
      <c r="AG27" s="23">
        <f t="shared" si="25"/>
        <v>1.145726634978691</v>
      </c>
      <c r="AH27" s="23">
        <f t="shared" si="26"/>
        <v>0.47036884123475603</v>
      </c>
      <c r="AI27" s="23">
        <f t="shared" si="27"/>
        <v>0.97561132169306508</v>
      </c>
      <c r="AJ27" s="23">
        <f t="shared" si="28"/>
        <v>0.64048415452038188</v>
      </c>
      <c r="AK27" s="289">
        <f t="shared" si="36"/>
        <v>2.0178962407603777E-3</v>
      </c>
      <c r="AL27" s="70">
        <f t="shared" si="29"/>
        <v>6.6999999999999993</v>
      </c>
      <c r="AM27" s="187">
        <f t="shared" si="37"/>
        <v>0.1</v>
      </c>
      <c r="AN27" s="188">
        <f t="shared" si="43"/>
        <v>9</v>
      </c>
      <c r="AO27" s="71">
        <f t="shared" si="38"/>
        <v>0</v>
      </c>
      <c r="AP27" s="342">
        <f t="shared" si="39"/>
        <v>0</v>
      </c>
      <c r="AQ27" s="506">
        <f t="shared" si="40"/>
        <v>0</v>
      </c>
      <c r="AR27" s="343">
        <f t="shared" si="41"/>
        <v>0</v>
      </c>
    </row>
    <row r="28" spans="1:44" s="450" customFormat="1" ht="15" customHeight="1">
      <c r="A28" s="430">
        <f t="shared" si="42"/>
        <v>0.10000000000000003</v>
      </c>
      <c r="B28" s="431">
        <f t="shared" si="0"/>
        <v>0.36225951192395695</v>
      </c>
      <c r="C28" s="431">
        <f t="shared" si="1"/>
        <v>1.8622595119239569</v>
      </c>
      <c r="D28" s="432">
        <f t="shared" si="2"/>
        <v>-10.841177997222225</v>
      </c>
      <c r="E28" s="431">
        <f t="shared" si="3"/>
        <v>4.3155000000000008E-3</v>
      </c>
      <c r="F28" s="433">
        <f t="shared" si="4"/>
        <v>28748.411109361481</v>
      </c>
      <c r="G28" s="433">
        <f t="shared" si="5"/>
        <v>43999.999999999985</v>
      </c>
      <c r="H28" s="434">
        <f t="shared" si="6"/>
        <v>37.603068526607643</v>
      </c>
      <c r="I28" s="434">
        <f t="shared" si="7"/>
        <v>41.789114699194137</v>
      </c>
      <c r="J28" s="649">
        <f t="shared" si="8"/>
        <v>3.1601707620450958</v>
      </c>
      <c r="K28" s="587">
        <f t="shared" si="9"/>
        <v>0.24721643030870188</v>
      </c>
      <c r="L28" s="651">
        <f t="shared" si="10"/>
        <v>0.23970817448279735</v>
      </c>
      <c r="M28" s="595">
        <f t="shared" si="11"/>
        <v>0.79241145228707666</v>
      </c>
      <c r="N28" s="435">
        <f t="shared" si="30"/>
        <v>0</v>
      </c>
      <c r="O28" s="431">
        <f t="shared" si="12"/>
        <v>-0.55429088687771388</v>
      </c>
      <c r="P28" s="431">
        <f t="shared" si="13"/>
        <v>5.6114172916749638E-2</v>
      </c>
      <c r="Q28" s="431">
        <f t="shared" si="14"/>
        <v>0.10604035448524393</v>
      </c>
      <c r="R28" s="651">
        <f t="shared" si="31"/>
        <v>0.33325039004674345</v>
      </c>
      <c r="S28" s="431">
        <f t="shared" si="32"/>
        <v>0.16176299818336498</v>
      </c>
      <c r="T28" s="436">
        <f t="shared" si="33"/>
        <v>4.4922921911672029</v>
      </c>
      <c r="U28" s="603">
        <f t="shared" si="34"/>
        <v>5.2922118992801837</v>
      </c>
      <c r="V28" s="709">
        <f t="shared" si="15"/>
        <v>4.1300326792432456</v>
      </c>
      <c r="W28" s="510">
        <f t="shared" si="16"/>
        <v>2.2077078088327964</v>
      </c>
      <c r="X28" s="534">
        <f>$C$8-C28-(Q28+N28+R28+S28/2+Pmn) -$W$3</f>
        <v>-5.5115317555476269</v>
      </c>
      <c r="Y28" s="437">
        <f t="shared" si="18"/>
        <v>0.79902446503166202</v>
      </c>
      <c r="Z28" s="438">
        <f t="shared" si="19"/>
        <v>0.74151990441208859</v>
      </c>
      <c r="AA28" s="439">
        <f t="shared" si="35"/>
        <v>0.45710093153467524</v>
      </c>
      <c r="AB28" s="440">
        <f t="shared" si="20"/>
        <v>0.45631135997243422</v>
      </c>
      <c r="AC28" s="441">
        <f t="shared" si="21"/>
        <v>0.38020702374856152</v>
      </c>
      <c r="AD28" s="441">
        <f t="shared" si="22"/>
        <v>0.45710093153467524</v>
      </c>
      <c r="AE28" s="442">
        <f t="shared" si="23"/>
        <v>0.96724014188043295</v>
      </c>
      <c r="AF28" s="442">
        <f t="shared" si="24"/>
        <v>0.6308087881828911</v>
      </c>
      <c r="AG28" s="442">
        <f t="shared" si="25"/>
        <v>1.1329325835764721</v>
      </c>
      <c r="AH28" s="442">
        <f t="shared" si="26"/>
        <v>0.46511634648685179</v>
      </c>
      <c r="AI28" s="442">
        <f t="shared" si="27"/>
        <v>0.96471690672770138</v>
      </c>
      <c r="AJ28" s="442">
        <f t="shared" si="28"/>
        <v>0.63333202333562255</v>
      </c>
      <c r="AK28" s="443">
        <f t="shared" si="36"/>
        <v>1.9639516599374409E-3</v>
      </c>
      <c r="AL28" s="444">
        <f t="shared" si="29"/>
        <v>6.6999999999999993</v>
      </c>
      <c r="AM28" s="445">
        <f t="shared" si="37"/>
        <v>0.1</v>
      </c>
      <c r="AN28" s="446">
        <f t="shared" si="43"/>
        <v>9</v>
      </c>
      <c r="AO28" s="447">
        <f t="shared" si="38"/>
        <v>2.2077078088327964</v>
      </c>
      <c r="AP28" s="448">
        <f t="shared" si="39"/>
        <v>41.789114699194137</v>
      </c>
      <c r="AQ28" s="507">
        <f t="shared" si="40"/>
        <v>0.97676948753976256</v>
      </c>
      <c r="AR28" s="449">
        <f t="shared" si="41"/>
        <v>0.64124448484519714</v>
      </c>
    </row>
    <row r="29" spans="1:44" s="74" customFormat="1" ht="15" customHeight="1">
      <c r="A29" s="63">
        <f t="shared" si="42"/>
        <v>0.10500000000000004</v>
      </c>
      <c r="B29" s="64">
        <f t="shared" si="0"/>
        <v>0.38037248752015479</v>
      </c>
      <c r="C29" s="64">
        <f t="shared" si="1"/>
        <v>1.8803724875201548</v>
      </c>
      <c r="D29" s="179">
        <f t="shared" si="2"/>
        <v>-11.383236897083336</v>
      </c>
      <c r="E29" s="64">
        <f t="shared" si="3"/>
        <v>4.5312750000000004E-3</v>
      </c>
      <c r="F29" s="65">
        <f t="shared" si="4"/>
        <v>27379.43915177284</v>
      </c>
      <c r="G29" s="65">
        <f t="shared" si="5"/>
        <v>41904.761904761886</v>
      </c>
      <c r="H29" s="66">
        <f t="shared" si="6"/>
        <v>38.14136350702433</v>
      </c>
      <c r="I29" s="66">
        <f t="shared" si="7"/>
        <v>42.274140498662071</v>
      </c>
      <c r="J29" s="648">
        <f t="shared" si="8"/>
        <v>3.2602713801098862</v>
      </c>
      <c r="K29" s="586">
        <f t="shared" si="9"/>
        <v>0.2479924035668617</v>
      </c>
      <c r="L29" s="644">
        <f t="shared" si="10"/>
        <v>0.24045952334942733</v>
      </c>
      <c r="M29" s="594">
        <f t="shared" si="11"/>
        <v>0.79541072550828407</v>
      </c>
      <c r="N29" s="251">
        <f t="shared" si="30"/>
        <v>0</v>
      </c>
      <c r="O29" s="64">
        <f t="shared" si="12"/>
        <v>-0.58200543122159953</v>
      </c>
      <c r="P29" s="64">
        <f t="shared" si="13"/>
        <v>6.095091825933268E-2</v>
      </c>
      <c r="Q29" s="64">
        <f t="shared" si="14"/>
        <v>0.12567013097305393</v>
      </c>
      <c r="R29" s="644">
        <f t="shared" si="31"/>
        <v>0.34033872313878477</v>
      </c>
      <c r="S29" s="64">
        <f t="shared" si="32"/>
        <v>0.17696138344762968</v>
      </c>
      <c r="T29" s="334">
        <f t="shared" si="33"/>
        <v>4.6531736285389362</v>
      </c>
      <c r="U29" s="602">
        <f t="shared" si="34"/>
        <v>5.4561172342646547</v>
      </c>
      <c r="V29" s="164">
        <f t="shared" si="15"/>
        <v>4.2728011410187818</v>
      </c>
      <c r="W29" s="180">
        <f t="shared" si="16"/>
        <v>2.0468263714610631</v>
      </c>
      <c r="X29" s="414">
        <f t="shared" si="17"/>
        <v>-5.5639620333558089</v>
      </c>
      <c r="Y29" s="72">
        <f t="shared" si="18"/>
        <v>0.78985698166298923</v>
      </c>
      <c r="Z29" s="73">
        <f t="shared" si="19"/>
        <v>0.73601677205417837</v>
      </c>
      <c r="AA29" s="295">
        <f t="shared" si="35"/>
        <v>0.44660842308368531</v>
      </c>
      <c r="AB29" s="69">
        <f t="shared" si="20"/>
        <v>0.44583444783851789</v>
      </c>
      <c r="AC29" s="68">
        <f t="shared" si="21"/>
        <v>0.37122101091376569</v>
      </c>
      <c r="AD29" s="68">
        <f t="shared" si="22"/>
        <v>0.44660842308368531</v>
      </c>
      <c r="AE29" s="23">
        <f t="shared" si="23"/>
        <v>0.95614266201309217</v>
      </c>
      <c r="AF29" s="23">
        <f t="shared" si="24"/>
        <v>0.62357130131288629</v>
      </c>
      <c r="AG29" s="23">
        <f t="shared" si="25"/>
        <v>1.1199340571579435</v>
      </c>
      <c r="AH29" s="23">
        <f t="shared" si="26"/>
        <v>0.45977990616803494</v>
      </c>
      <c r="AI29" s="23">
        <f t="shared" si="27"/>
        <v>0.95364837680784076</v>
      </c>
      <c r="AJ29" s="23">
        <f t="shared" si="28"/>
        <v>0.62606558651813782</v>
      </c>
      <c r="AK29" s="289">
        <f t="shared" si="36"/>
        <v>1.9116596877049843E-3</v>
      </c>
      <c r="AL29" s="70">
        <f t="shared" si="29"/>
        <v>6.6999999999999993</v>
      </c>
      <c r="AM29" s="187">
        <f t="shared" si="37"/>
        <v>0.1</v>
      </c>
      <c r="AN29" s="188">
        <f t="shared" si="43"/>
        <v>9</v>
      </c>
      <c r="AO29" s="71">
        <f t="shared" si="38"/>
        <v>0</v>
      </c>
      <c r="AP29" s="342">
        <f t="shared" si="39"/>
        <v>0</v>
      </c>
      <c r="AQ29" s="506">
        <f t="shared" si="40"/>
        <v>0</v>
      </c>
      <c r="AR29" s="343">
        <f t="shared" si="41"/>
        <v>0</v>
      </c>
    </row>
    <row r="30" spans="1:44" s="74" customFormat="1" ht="15" customHeight="1">
      <c r="A30" s="63">
        <f t="shared" si="42"/>
        <v>0.11000000000000004</v>
      </c>
      <c r="B30" s="64">
        <f t="shared" si="0"/>
        <v>0.39848546311635263</v>
      </c>
      <c r="C30" s="64">
        <f t="shared" si="1"/>
        <v>1.8984854631163526</v>
      </c>
      <c r="D30" s="179">
        <f t="shared" si="2"/>
        <v>-11.925295796944447</v>
      </c>
      <c r="E30" s="64">
        <f t="shared" si="3"/>
        <v>4.7470500000000009E-3</v>
      </c>
      <c r="F30" s="65">
        <f t="shared" si="4"/>
        <v>26134.919190328623</v>
      </c>
      <c r="G30" s="65">
        <f t="shared" si="5"/>
        <v>39999.999999999985</v>
      </c>
      <c r="H30" s="66">
        <f t="shared" si="6"/>
        <v>38.697873031037091</v>
      </c>
      <c r="I30" s="66">
        <f t="shared" si="7"/>
        <v>42.77691809670165</v>
      </c>
      <c r="J30" s="648">
        <f t="shared" si="8"/>
        <v>3.3655876893362584</v>
      </c>
      <c r="K30" s="586">
        <f t="shared" si="9"/>
        <v>0.24886685767530636</v>
      </c>
      <c r="L30" s="644">
        <f t="shared" si="10"/>
        <v>0.24130591260532031</v>
      </c>
      <c r="M30" s="594">
        <f t="shared" si="11"/>
        <v>0.79878755970919846</v>
      </c>
      <c r="N30" s="251">
        <f t="shared" si="30"/>
        <v>0</v>
      </c>
      <c r="O30" s="64">
        <f t="shared" si="12"/>
        <v>-0.60971997556548529</v>
      </c>
      <c r="P30" s="64">
        <f t="shared" si="13"/>
        <v>6.5862589175502403E-2</v>
      </c>
      <c r="Q30" s="64">
        <f t="shared" si="14"/>
        <v>0.147470919985387</v>
      </c>
      <c r="R30" s="644">
        <f t="shared" si="31"/>
        <v>0.34857630664262429</v>
      </c>
      <c r="S30" s="64">
        <f t="shared" si="32"/>
        <v>0.19453399185238351</v>
      </c>
      <c r="T30" s="334">
        <f t="shared" si="33"/>
        <v>4.8250602835383258</v>
      </c>
      <c r="U30" s="602">
        <f t="shared" si="34"/>
        <v>5.6314087883175112</v>
      </c>
      <c r="V30" s="164">
        <f t="shared" si="15"/>
        <v>4.4265748204219735</v>
      </c>
      <c r="W30" s="180">
        <f t="shared" si="16"/>
        <v>1.8749397164616735</v>
      </c>
      <c r="X30" s="414">
        <f t="shared" si="17"/>
        <v>-5.6208996856705555</v>
      </c>
      <c r="Y30" s="72">
        <f t="shared" si="18"/>
        <v>0.78057341440979044</v>
      </c>
      <c r="Z30" s="73">
        <f t="shared" si="19"/>
        <v>0.73036220951331066</v>
      </c>
      <c r="AA30" s="295">
        <f t="shared" si="35"/>
        <v>0.43582349569518009</v>
      </c>
      <c r="AB30" s="69">
        <f t="shared" si="20"/>
        <v>0.43506539932181143</v>
      </c>
      <c r="AC30" s="68">
        <f t="shared" si="21"/>
        <v>0.36197267672295763</v>
      </c>
      <c r="AD30" s="68">
        <f t="shared" si="22"/>
        <v>0.43582349569518009</v>
      </c>
      <c r="AE30" s="23">
        <f t="shared" si="23"/>
        <v>0.94490465954869363</v>
      </c>
      <c r="AF30" s="23">
        <f t="shared" si="24"/>
        <v>0.61624216927088715</v>
      </c>
      <c r="AG30" s="23">
        <f t="shared" si="25"/>
        <v>1.1067709360105131</v>
      </c>
      <c r="AH30" s="23">
        <f t="shared" si="26"/>
        <v>0.45437589280906759</v>
      </c>
      <c r="AI30" s="23">
        <f t="shared" si="27"/>
        <v>0.94243969087161017</v>
      </c>
      <c r="AJ30" s="23">
        <f t="shared" si="28"/>
        <v>0.61870713794797072</v>
      </c>
      <c r="AK30" s="289">
        <f t="shared" si="36"/>
        <v>1.861069330758029E-3</v>
      </c>
      <c r="AL30" s="70">
        <f t="shared" si="29"/>
        <v>6.6999999999999993</v>
      </c>
      <c r="AM30" s="187">
        <f t="shared" si="37"/>
        <v>0.1</v>
      </c>
      <c r="AN30" s="188">
        <f t="shared" si="43"/>
        <v>9</v>
      </c>
      <c r="AO30" s="71">
        <f t="shared" si="38"/>
        <v>0</v>
      </c>
      <c r="AP30" s="342">
        <f t="shared" si="39"/>
        <v>0</v>
      </c>
      <c r="AQ30" s="506">
        <f t="shared" si="40"/>
        <v>0</v>
      </c>
      <c r="AR30" s="343">
        <f t="shared" si="41"/>
        <v>0</v>
      </c>
    </row>
    <row r="31" spans="1:44" s="74" customFormat="1" ht="15" customHeight="1">
      <c r="A31" s="63">
        <f t="shared" si="42"/>
        <v>0.11500000000000005</v>
      </c>
      <c r="B31" s="64">
        <f t="shared" si="0"/>
        <v>0.41659843871255048</v>
      </c>
      <c r="C31" s="64">
        <f t="shared" si="1"/>
        <v>1.9165984387125505</v>
      </c>
      <c r="D31" s="179">
        <f t="shared" si="2"/>
        <v>-12.467354696805559</v>
      </c>
      <c r="E31" s="64">
        <f t="shared" si="3"/>
        <v>4.9628250000000014E-3</v>
      </c>
      <c r="F31" s="65">
        <f t="shared" si="4"/>
        <v>24998.618355966501</v>
      </c>
      <c r="G31" s="65">
        <f t="shared" si="5"/>
        <v>38260.869565217377</v>
      </c>
      <c r="H31" s="66">
        <f t="shared" si="6"/>
        <v>39.271822767356397</v>
      </c>
      <c r="I31" s="66">
        <f t="shared" si="7"/>
        <v>43.2968290778471</v>
      </c>
      <c r="J31" s="648">
        <f t="shared" si="8"/>
        <v>3.4761970297474276</v>
      </c>
      <c r="K31" s="586">
        <f t="shared" si="9"/>
        <v>0.24985022484122155</v>
      </c>
      <c r="L31" s="644">
        <f t="shared" si="10"/>
        <v>0.2422583940613654</v>
      </c>
      <c r="M31" s="594">
        <f t="shared" si="11"/>
        <v>0.80259075872305008</v>
      </c>
      <c r="N31" s="251">
        <f t="shared" si="30"/>
        <v>0</v>
      </c>
      <c r="O31" s="64">
        <f t="shared" si="12"/>
        <v>-0.63743451990937094</v>
      </c>
      <c r="P31" s="64">
        <f t="shared" si="13"/>
        <v>7.0831917428236205E-2</v>
      </c>
      <c r="Q31" s="64">
        <f t="shared" si="14"/>
        <v>0.17149842190820336</v>
      </c>
      <c r="R31" s="644">
        <f t="shared" si="31"/>
        <v>0.35807922870795561</v>
      </c>
      <c r="S31" s="64">
        <f t="shared" si="32"/>
        <v>0.21487614477452965</v>
      </c>
      <c r="T31" s="334">
        <f t="shared" si="33"/>
        <v>5.008607657912032</v>
      </c>
      <c r="U31" s="602">
        <f t="shared" si="34"/>
        <v>5.8187902474149382</v>
      </c>
      <c r="V31" s="164">
        <f t="shared" si="15"/>
        <v>4.5920092191994817</v>
      </c>
      <c r="W31" s="180">
        <f t="shared" si="16"/>
        <v>1.6913923420879673</v>
      </c>
      <c r="X31" s="414">
        <f t="shared" si="17"/>
        <v>-5.6827141617159738</v>
      </c>
      <c r="Y31" s="72">
        <f t="shared" si="18"/>
        <v>0.77120024093761363</v>
      </c>
      <c r="Z31" s="73">
        <f t="shared" si="19"/>
        <v>0.72456925661413929</v>
      </c>
      <c r="AA31" s="295">
        <f t="shared" si="35"/>
        <v>0.42477060752120654</v>
      </c>
      <c r="AB31" s="69">
        <f t="shared" si="20"/>
        <v>0.42402872160044147</v>
      </c>
      <c r="AC31" s="68">
        <f t="shared" si="21"/>
        <v>0.35248139505738729</v>
      </c>
      <c r="AD31" s="68">
        <f t="shared" si="22"/>
        <v>0.42477060752120654</v>
      </c>
      <c r="AE31" s="23">
        <f t="shared" si="23"/>
        <v>0.93355818639816379</v>
      </c>
      <c r="AF31" s="23">
        <f t="shared" si="24"/>
        <v>0.60884229547706337</v>
      </c>
      <c r="AG31" s="23">
        <f t="shared" si="25"/>
        <v>1.0934807626768057</v>
      </c>
      <c r="AH31" s="23">
        <f t="shared" si="26"/>
        <v>0.4489197191984215</v>
      </c>
      <c r="AI31" s="23">
        <f t="shared" si="27"/>
        <v>0.93112281721625556</v>
      </c>
      <c r="AJ31" s="23">
        <f t="shared" si="28"/>
        <v>0.6112776646589716</v>
      </c>
      <c r="AK31" s="289">
        <f t="shared" si="36"/>
        <v>1.8122033154427039E-3</v>
      </c>
      <c r="AL31" s="70">
        <f t="shared" si="29"/>
        <v>6.6999999999999993</v>
      </c>
      <c r="AM31" s="187">
        <f t="shared" si="37"/>
        <v>0.1</v>
      </c>
      <c r="AN31" s="188">
        <f t="shared" si="43"/>
        <v>9</v>
      </c>
      <c r="AO31" s="71">
        <f t="shared" si="38"/>
        <v>0</v>
      </c>
      <c r="AP31" s="342">
        <f t="shared" si="39"/>
        <v>0</v>
      </c>
      <c r="AQ31" s="506">
        <f t="shared" si="40"/>
        <v>0</v>
      </c>
      <c r="AR31" s="343">
        <f t="shared" si="41"/>
        <v>0</v>
      </c>
    </row>
    <row r="32" spans="1:44" s="74" customFormat="1" ht="15" customHeight="1">
      <c r="A32" s="63">
        <f t="shared" si="42"/>
        <v>0.12000000000000005</v>
      </c>
      <c r="B32" s="64">
        <f t="shared" si="0"/>
        <v>0.43471141430874832</v>
      </c>
      <c r="C32" s="64">
        <f t="shared" si="1"/>
        <v>1.9347114143087483</v>
      </c>
      <c r="D32" s="179">
        <f t="shared" si="2"/>
        <v>-13.00941359666667</v>
      </c>
      <c r="E32" s="64">
        <f t="shared" si="3"/>
        <v>5.1786000000000011E-3</v>
      </c>
      <c r="F32" s="65">
        <f t="shared" si="4"/>
        <v>23957.009257801234</v>
      </c>
      <c r="G32" s="65">
        <f t="shared" si="5"/>
        <v>36666.66666666665</v>
      </c>
      <c r="H32" s="66">
        <f t="shared" si="6"/>
        <v>39.862459397384406</v>
      </c>
      <c r="I32" s="66">
        <f t="shared" si="7"/>
        <v>43.833263783726778</v>
      </c>
      <c r="J32" s="648">
        <f t="shared" si="8"/>
        <v>3.5921840949685926</v>
      </c>
      <c r="K32" s="586">
        <f t="shared" si="9"/>
        <v>0.2509602800645685</v>
      </c>
      <c r="L32" s="644">
        <f t="shared" si="10"/>
        <v>0.24333326646769304</v>
      </c>
      <c r="M32" s="594">
        <f t="shared" si="11"/>
        <v>0.80687430390646986</v>
      </c>
      <c r="N32" s="251">
        <f t="shared" si="30"/>
        <v>0</v>
      </c>
      <c r="O32" s="64">
        <f t="shared" si="12"/>
        <v>-0.66514906425325659</v>
      </c>
      <c r="P32" s="64">
        <f t="shared" si="13"/>
        <v>7.5841947367505089E-2</v>
      </c>
      <c r="Q32" s="64">
        <f t="shared" si="14"/>
        <v>0.19779412654675405</v>
      </c>
      <c r="R32" s="644">
        <f t="shared" si="31"/>
        <v>0.36898160593317902</v>
      </c>
      <c r="S32" s="64">
        <f t="shared" si="32"/>
        <v>0.23847112832337264</v>
      </c>
      <c r="T32" s="334">
        <f t="shared" si="33"/>
        <v>5.2045756365483404</v>
      </c>
      <c r="U32" s="602">
        <f t="shared" si="34"/>
        <v>6.0190769540516857</v>
      </c>
      <c r="V32" s="164">
        <f t="shared" si="15"/>
        <v>4.7698642222395922</v>
      </c>
      <c r="W32" s="180">
        <f t="shared" si="16"/>
        <v>1.4954243634516589</v>
      </c>
      <c r="X32" s="414">
        <f t="shared" si="17"/>
        <v>-5.7498227109503679</v>
      </c>
      <c r="Y32" s="72">
        <f t="shared" si="18"/>
        <v>0.76176223567150125</v>
      </c>
      <c r="Z32" s="73">
        <f t="shared" si="19"/>
        <v>0.71865106389374511</v>
      </c>
      <c r="AA32" s="295">
        <f t="shared" si="35"/>
        <v>0.41347405554230043</v>
      </c>
      <c r="AB32" s="69">
        <f t="shared" si="20"/>
        <v>0.41274855594067072</v>
      </c>
      <c r="AC32" s="68">
        <f t="shared" si="21"/>
        <v>0.34276631231058263</v>
      </c>
      <c r="AD32" s="68">
        <f t="shared" si="22"/>
        <v>0.41347405554230043</v>
      </c>
      <c r="AE32" s="23">
        <f t="shared" si="23"/>
        <v>0.92213323265497527</v>
      </c>
      <c r="AF32" s="23">
        <f t="shared" si="24"/>
        <v>0.60139123868802735</v>
      </c>
      <c r="AG32" s="23">
        <f t="shared" si="25"/>
        <v>1.080098664683697</v>
      </c>
      <c r="AH32" s="23">
        <f t="shared" si="26"/>
        <v>0.44342580665930564</v>
      </c>
      <c r="AI32" s="23">
        <f t="shared" si="27"/>
        <v>0.91972766770022318</v>
      </c>
      <c r="AJ32" s="23">
        <f t="shared" si="28"/>
        <v>0.60379680364277943</v>
      </c>
      <c r="AK32" s="289">
        <f t="shared" si="36"/>
        <v>1.7650633134495275E-3</v>
      </c>
      <c r="AL32" s="70">
        <f t="shared" si="29"/>
        <v>6.6999999999999993</v>
      </c>
      <c r="AM32" s="187">
        <f t="shared" si="37"/>
        <v>0.1</v>
      </c>
      <c r="AN32" s="188">
        <f t="shared" si="43"/>
        <v>9</v>
      </c>
      <c r="AO32" s="71">
        <f t="shared" si="38"/>
        <v>0</v>
      </c>
      <c r="AP32" s="342">
        <f t="shared" si="39"/>
        <v>0</v>
      </c>
      <c r="AQ32" s="506">
        <f t="shared" si="40"/>
        <v>0</v>
      </c>
      <c r="AR32" s="343">
        <f t="shared" si="41"/>
        <v>0</v>
      </c>
    </row>
    <row r="33" spans="1:49" s="62" customFormat="1" ht="15" customHeight="1">
      <c r="A33" s="51">
        <f t="shared" si="42"/>
        <v>0.12500000000000006</v>
      </c>
      <c r="B33" s="52">
        <f t="shared" si="0"/>
        <v>0.45282438990494622</v>
      </c>
      <c r="C33" s="52">
        <f t="shared" si="1"/>
        <v>1.9528243899049462</v>
      </c>
      <c r="D33" s="176">
        <f t="shared" si="2"/>
        <v>-13.551472496527781</v>
      </c>
      <c r="E33" s="52">
        <f t="shared" si="3"/>
        <v>5.3943750000000016E-3</v>
      </c>
      <c r="F33" s="53">
        <f t="shared" si="4"/>
        <v>22998.728887489186</v>
      </c>
      <c r="G33" s="53">
        <f t="shared" si="5"/>
        <v>35199.999999999985</v>
      </c>
      <c r="H33" s="54">
        <f t="shared" si="6"/>
        <v>40.469052303441359</v>
      </c>
      <c r="I33" s="54">
        <f t="shared" si="7"/>
        <v>44.385623112268298</v>
      </c>
      <c r="J33" s="647">
        <f t="shared" si="8"/>
        <v>3.7136524022751556</v>
      </c>
      <c r="K33" s="585">
        <f t="shared" si="9"/>
        <v>0.25220991517773506</v>
      </c>
      <c r="L33" s="247">
        <f t="shared" si="10"/>
        <v>0.24454323217343132</v>
      </c>
      <c r="M33" s="593">
        <f t="shared" si="11"/>
        <v>0.81169912860411086</v>
      </c>
      <c r="N33" s="265">
        <f t="shared" si="30"/>
        <v>0</v>
      </c>
      <c r="O33" s="52">
        <f t="shared" si="12"/>
        <v>-0.69286360859714236</v>
      </c>
      <c r="P33" s="52">
        <f t="shared" si="13"/>
        <v>8.0876127607361001E-2</v>
      </c>
      <c r="Q33" s="52">
        <f t="shared" si="14"/>
        <v>0.22638502361329385</v>
      </c>
      <c r="R33" s="247">
        <f t="shared" si="31"/>
        <v>0.38143995253710927</v>
      </c>
      <c r="S33" s="52">
        <f t="shared" si="32"/>
        <v>0.26591598433020391</v>
      </c>
      <c r="T33" s="277">
        <f t="shared" si="33"/>
        <v>5.4138609848341401</v>
      </c>
      <c r="U33" s="601">
        <f t="shared" si="34"/>
        <v>6.2332267964425547</v>
      </c>
      <c r="V33" s="177">
        <f t="shared" si="15"/>
        <v>4.9610365949291939</v>
      </c>
      <c r="W33" s="178">
        <f t="shared" si="16"/>
        <v>1.2861390151658592</v>
      </c>
      <c r="X33" s="413">
        <f t="shared" si="17"/>
        <v>-5.8227073582204509</v>
      </c>
      <c r="Y33" s="59">
        <f t="shared" si="18"/>
        <v>0.75228244362398355</v>
      </c>
      <c r="Z33" s="60">
        <f t="shared" si="19"/>
        <v>0.71262031836843309</v>
      </c>
      <c r="AA33" s="294">
        <f t="shared" si="35"/>
        <v>0.40195777776941322</v>
      </c>
      <c r="AB33" s="56">
        <f t="shared" si="20"/>
        <v>0.40124882001958895</v>
      </c>
      <c r="AC33" s="55">
        <f t="shared" si="21"/>
        <v>0.33284639335014887</v>
      </c>
      <c r="AD33" s="55">
        <f t="shared" si="22"/>
        <v>0.40195777776941322</v>
      </c>
      <c r="AE33" s="61">
        <f t="shared" si="23"/>
        <v>0.91065769491324322</v>
      </c>
      <c r="AF33" s="61">
        <f t="shared" si="24"/>
        <v>0.59390719233472389</v>
      </c>
      <c r="AG33" s="61">
        <f t="shared" si="25"/>
        <v>1.0666573174331639</v>
      </c>
      <c r="AH33" s="61">
        <f t="shared" si="26"/>
        <v>0.43790756981480322</v>
      </c>
      <c r="AI33" s="61">
        <f t="shared" si="27"/>
        <v>0.90828206614390439</v>
      </c>
      <c r="AJ33" s="61">
        <f t="shared" si="28"/>
        <v>0.59628282110406272</v>
      </c>
      <c r="AK33" s="299">
        <f t="shared" si="36"/>
        <v>1.719634392246589E-3</v>
      </c>
      <c r="AL33" s="57">
        <f t="shared" si="29"/>
        <v>6.6999999999999993</v>
      </c>
      <c r="AM33" s="186">
        <f t="shared" si="37"/>
        <v>0.1</v>
      </c>
      <c r="AN33" s="189">
        <f t="shared" si="43"/>
        <v>9</v>
      </c>
      <c r="AO33" s="58">
        <f t="shared" si="38"/>
        <v>0</v>
      </c>
      <c r="AP33" s="340">
        <f t="shared" si="39"/>
        <v>0</v>
      </c>
      <c r="AQ33" s="505">
        <f t="shared" si="40"/>
        <v>0</v>
      </c>
      <c r="AR33" s="341">
        <f t="shared" si="41"/>
        <v>0</v>
      </c>
    </row>
    <row r="34" spans="1:49" s="74" customFormat="1" ht="15" customHeight="1">
      <c r="A34" s="63">
        <f t="shared" si="42"/>
        <v>0.13000000000000006</v>
      </c>
      <c r="B34" s="64">
        <f t="shared" si="0"/>
        <v>0.47093736550114407</v>
      </c>
      <c r="C34" s="64">
        <f t="shared" si="1"/>
        <v>1.9709373655011442</v>
      </c>
      <c r="D34" s="179">
        <f t="shared" si="2"/>
        <v>-14.093531396388894</v>
      </c>
      <c r="E34" s="64">
        <f t="shared" si="3"/>
        <v>5.6101500000000012E-3</v>
      </c>
      <c r="F34" s="65">
        <f t="shared" si="4"/>
        <v>22114.162391816521</v>
      </c>
      <c r="G34" s="65">
        <f t="shared" si="5"/>
        <v>33846.153846153829</v>
      </c>
      <c r="H34" s="66">
        <f t="shared" si="6"/>
        <v>41.090894841342994</v>
      </c>
      <c r="I34" s="66">
        <f t="shared" si="7"/>
        <v>44.953320050781137</v>
      </c>
      <c r="J34" s="648">
        <f t="shared" si="8"/>
        <v>3.8407160372462918</v>
      </c>
      <c r="K34" s="586">
        <f t="shared" si="9"/>
        <v>0.25362053471781021</v>
      </c>
      <c r="L34" s="644">
        <f t="shared" si="10"/>
        <v>0.24590916270547059</v>
      </c>
      <c r="M34" s="594">
        <f t="shared" si="11"/>
        <v>0.81713148023554449</v>
      </c>
      <c r="N34" s="251">
        <f t="shared" si="30"/>
        <v>0</v>
      </c>
      <c r="O34" s="64">
        <f t="shared" si="12"/>
        <v>-0.72057815294102812</v>
      </c>
      <c r="P34" s="64">
        <f t="shared" si="13"/>
        <v>8.5918396475745049E-2</v>
      </c>
      <c r="Q34" s="64">
        <f t="shared" si="14"/>
        <v>0.2572834331458827</v>
      </c>
      <c r="R34" s="644">
        <f t="shared" si="31"/>
        <v>0.39563864619931932</v>
      </c>
      <c r="S34" s="64">
        <f t="shared" si="32"/>
        <v>0.29795688394657738</v>
      </c>
      <c r="T34" s="334">
        <f t="shared" si="33"/>
        <v>5.6375415287446868</v>
      </c>
      <c r="U34" s="602">
        <f t="shared" si="34"/>
        <v>6.462384380992571</v>
      </c>
      <c r="V34" s="164">
        <f t="shared" si="15"/>
        <v>5.1666041632435427</v>
      </c>
      <c r="W34" s="180">
        <f t="shared" si="16"/>
        <v>1.0624584712553125</v>
      </c>
      <c r="X34" s="414">
        <f t="shared" si="17"/>
        <v>-5.9019378868196348</v>
      </c>
      <c r="Y34" s="72">
        <f t="shared" si="18"/>
        <v>0.74278217891250375</v>
      </c>
      <c r="Z34" s="73">
        <f t="shared" si="19"/>
        <v>0.70648970347337914</v>
      </c>
      <c r="AA34" s="295">
        <f t="shared" si="35"/>
        <v>0.39024511916609295</v>
      </c>
      <c r="AB34" s="69">
        <f t="shared" si="20"/>
        <v>0.38955281122684982</v>
      </c>
      <c r="AC34" s="68">
        <f t="shared" si="21"/>
        <v>0.32274029733978571</v>
      </c>
      <c r="AD34" s="68">
        <f t="shared" si="22"/>
        <v>0.39024511916609295</v>
      </c>
      <c r="AE34" s="23">
        <f t="shared" si="23"/>
        <v>0.89915737447303079</v>
      </c>
      <c r="AF34" s="23">
        <f t="shared" si="24"/>
        <v>0.58640698335197672</v>
      </c>
      <c r="AG34" s="23">
        <f t="shared" si="25"/>
        <v>1.0531869421001498</v>
      </c>
      <c r="AH34" s="23">
        <f t="shared" si="26"/>
        <v>0.43237741572485761</v>
      </c>
      <c r="AI34" s="23">
        <f t="shared" si="27"/>
        <v>0.89681174653962303</v>
      </c>
      <c r="AJ34" s="23">
        <f t="shared" si="28"/>
        <v>0.58875261128538459</v>
      </c>
      <c r="AK34" s="289">
        <f t="shared" si="36"/>
        <v>1.6758887565719055E-3</v>
      </c>
      <c r="AL34" s="70">
        <f t="shared" si="29"/>
        <v>6.6999999999999993</v>
      </c>
      <c r="AM34" s="187">
        <f t="shared" si="37"/>
        <v>0.1</v>
      </c>
      <c r="AN34" s="188">
        <f t="shared" si="43"/>
        <v>9</v>
      </c>
      <c r="AO34" s="71">
        <f t="shared" si="38"/>
        <v>0</v>
      </c>
      <c r="AP34" s="342">
        <f t="shared" si="39"/>
        <v>0</v>
      </c>
      <c r="AQ34" s="506">
        <f t="shared" si="40"/>
        <v>0</v>
      </c>
      <c r="AR34" s="343">
        <f t="shared" si="41"/>
        <v>0</v>
      </c>
    </row>
    <row r="35" spans="1:49" s="74" customFormat="1" ht="15" customHeight="1">
      <c r="A35" s="63">
        <f t="shared" si="42"/>
        <v>0.13500000000000006</v>
      </c>
      <c r="B35" s="64">
        <f t="shared" si="0"/>
        <v>0.48905034109734191</v>
      </c>
      <c r="C35" s="64">
        <f t="shared" si="1"/>
        <v>1.9890503410973419</v>
      </c>
      <c r="D35" s="179">
        <f t="shared" si="2"/>
        <v>-14.635590296250005</v>
      </c>
      <c r="E35" s="64">
        <f t="shared" si="3"/>
        <v>5.8259250000000018E-3</v>
      </c>
      <c r="F35" s="65">
        <f t="shared" si="4"/>
        <v>21295.11934026776</v>
      </c>
      <c r="G35" s="65">
        <f t="shared" si="5"/>
        <v>32592.592592592577</v>
      </c>
      <c r="H35" s="66">
        <f t="shared" si="6"/>
        <v>41.727305242239488</v>
      </c>
      <c r="I35" s="66">
        <f t="shared" si="7"/>
        <v>45.535780958545999</v>
      </c>
      <c r="J35" s="648">
        <f t="shared" si="8"/>
        <v>3.9735112292636972</v>
      </c>
      <c r="K35" s="586">
        <f t="shared" si="9"/>
        <v>0.25521030579400961</v>
      </c>
      <c r="L35" s="644">
        <f t="shared" si="10"/>
        <v>0.24744858565371253</v>
      </c>
      <c r="M35" s="594">
        <f t="shared" si="11"/>
        <v>0.82324746169542706</v>
      </c>
      <c r="N35" s="251">
        <f t="shared" si="30"/>
        <v>0</v>
      </c>
      <c r="O35" s="64">
        <f t="shared" si="12"/>
        <v>-0.74829269728491377</v>
      </c>
      <c r="P35" s="64">
        <f t="shared" si="13"/>
        <v>9.0953260685366216E-2</v>
      </c>
      <c r="Q35" s="64">
        <f t="shared" si="14"/>
        <v>0.29048694102871675</v>
      </c>
      <c r="R35" s="644">
        <f t="shared" si="31"/>
        <v>0.41179594513348772</v>
      </c>
      <c r="S35" s="64">
        <f t="shared" si="32"/>
        <v>0.33553769107592235</v>
      </c>
      <c r="T35" s="334">
        <f t="shared" si="33"/>
        <v>5.8769307332528786</v>
      </c>
      <c r="U35" s="602">
        <f t="shared" si="34"/>
        <v>6.7079399150886028</v>
      </c>
      <c r="V35" s="164">
        <f t="shared" si="15"/>
        <v>5.3878803921555365</v>
      </c>
      <c r="W35" s="180">
        <f t="shared" si="16"/>
        <v>0.82306926674712066</v>
      </c>
      <c r="X35" s="414">
        <f t="shared" si="17"/>
        <v>-5.9882020727975078</v>
      </c>
      <c r="Y35" s="72">
        <f t="shared" si="18"/>
        <v>0.73328104435208419</v>
      </c>
      <c r="Z35" s="73">
        <f t="shared" si="19"/>
        <v>0.70027137585364918</v>
      </c>
      <c r="AA35" s="295">
        <f t="shared" si="35"/>
        <v>0.37835895604626568</v>
      </c>
      <c r="AB35" s="69">
        <f t="shared" si="20"/>
        <v>0.37768335601874581</v>
      </c>
      <c r="AC35" s="68">
        <f t="shared" si="21"/>
        <v>0.3124662391945785</v>
      </c>
      <c r="AD35" s="68">
        <f t="shared" si="22"/>
        <v>0.37835895604626568</v>
      </c>
      <c r="AE35" s="23">
        <f t="shared" si="23"/>
        <v>0.88765600105778619</v>
      </c>
      <c r="AF35" s="23">
        <f t="shared" si="24"/>
        <v>0.57890608764638229</v>
      </c>
      <c r="AG35" s="23">
        <f t="shared" si="25"/>
        <v>1.0397153334129026</v>
      </c>
      <c r="AH35" s="23">
        <f t="shared" si="26"/>
        <v>0.42684675529126598</v>
      </c>
      <c r="AI35" s="23">
        <f t="shared" si="27"/>
        <v>0.88534037670720067</v>
      </c>
      <c r="AJ35" s="23">
        <f t="shared" si="28"/>
        <v>0.58122171199696782</v>
      </c>
      <c r="AK35" s="289">
        <f t="shared" si="36"/>
        <v>1.633788858556707E-3</v>
      </c>
      <c r="AL35" s="70">
        <f t="shared" si="29"/>
        <v>6.6999999999999993</v>
      </c>
      <c r="AM35" s="187">
        <f t="shared" si="37"/>
        <v>0.1</v>
      </c>
      <c r="AN35" s="188">
        <f t="shared" si="43"/>
        <v>9</v>
      </c>
      <c r="AO35" s="71">
        <f t="shared" si="38"/>
        <v>0</v>
      </c>
      <c r="AP35" s="342">
        <f t="shared" si="39"/>
        <v>0</v>
      </c>
      <c r="AQ35" s="506">
        <f t="shared" si="40"/>
        <v>0</v>
      </c>
      <c r="AR35" s="343">
        <f t="shared" si="41"/>
        <v>0</v>
      </c>
    </row>
    <row r="36" spans="1:49" s="74" customFormat="1" ht="15" customHeight="1">
      <c r="A36" s="63">
        <f t="shared" si="42"/>
        <v>0.14000000000000007</v>
      </c>
      <c r="B36" s="64">
        <f t="shared" si="0"/>
        <v>0.50716331669353976</v>
      </c>
      <c r="C36" s="64">
        <f t="shared" si="1"/>
        <v>2.0071633166935396</v>
      </c>
      <c r="D36" s="179">
        <f t="shared" si="2"/>
        <v>-15.177649196111116</v>
      </c>
      <c r="E36" s="64">
        <f t="shared" si="3"/>
        <v>6.0417000000000023E-3</v>
      </c>
      <c r="F36" s="65">
        <f t="shared" si="4"/>
        <v>20534.579363829627</v>
      </c>
      <c r="G36" s="65">
        <f t="shared" si="5"/>
        <v>31428.571428571413</v>
      </c>
      <c r="H36" s="66">
        <f t="shared" si="6"/>
        <v>42.377627188043817</v>
      </c>
      <c r="I36" s="66">
        <f t="shared" si="7"/>
        <v>46.132446616394454</v>
      </c>
      <c r="J36" s="648">
        <f t="shared" si="8"/>
        <v>4.1121947577800739</v>
      </c>
      <c r="K36" s="586">
        <f t="shared" si="9"/>
        <v>0.2569993607556702</v>
      </c>
      <c r="L36" s="644">
        <f t="shared" si="10"/>
        <v>0.24918091471498727</v>
      </c>
      <c r="M36" s="594">
        <f t="shared" si="11"/>
        <v>0.83013160503640027</v>
      </c>
      <c r="N36" s="251">
        <f t="shared" si="30"/>
        <v>0</v>
      </c>
      <c r="O36" s="64">
        <f t="shared" si="12"/>
        <v>-0.77600724162879942</v>
      </c>
      <c r="P36" s="64">
        <f t="shared" si="13"/>
        <v>9.5965866765384697E-2</v>
      </c>
      <c r="Q36" s="64">
        <f t="shared" si="14"/>
        <v>0.32597842669832255</v>
      </c>
      <c r="R36" s="644">
        <f t="shared" si="31"/>
        <v>0.43017227795727925</v>
      </c>
      <c r="S36" s="64">
        <f t="shared" si="32"/>
        <v>0.37986956088419865</v>
      </c>
      <c r="T36" s="334">
        <f t="shared" si="33"/>
        <v>6.1336592547284026</v>
      </c>
      <c r="U36" s="602">
        <f t="shared" si="34"/>
        <v>6.9716093058054849</v>
      </c>
      <c r="V36" s="164">
        <f t="shared" si="15"/>
        <v>5.6264959380348625</v>
      </c>
      <c r="W36" s="180">
        <f t="shared" si="16"/>
        <v>0.56634074527159672</v>
      </c>
      <c r="X36" s="414">
        <f t="shared" si="17"/>
        <v>-6.0823488017912402</v>
      </c>
      <c r="Y36" s="72">
        <f t="shared" si="18"/>
        <v>0.72379696863517529</v>
      </c>
      <c r="Z36" s="73">
        <f t="shared" si="19"/>
        <v>0.69397712961800218</v>
      </c>
      <c r="AA36" s="295">
        <f t="shared" si="35"/>
        <v>0.36632152015418895</v>
      </c>
      <c r="AB36" s="69">
        <f t="shared" si="20"/>
        <v>0.36566263806651578</v>
      </c>
      <c r="AC36" s="68">
        <f t="shared" si="21"/>
        <v>0.30204206281192003</v>
      </c>
      <c r="AD36" s="68">
        <f t="shared" si="22"/>
        <v>0.36632152015418895</v>
      </c>
      <c r="AE36" s="23">
        <f t="shared" si="23"/>
        <v>0.87617527782152804</v>
      </c>
      <c r="AF36" s="23">
        <f t="shared" si="24"/>
        <v>0.57141865944882264</v>
      </c>
      <c r="AG36" s="23">
        <f t="shared" si="25"/>
        <v>1.0262679123700853</v>
      </c>
      <c r="AH36" s="23">
        <f t="shared" si="26"/>
        <v>0.42132602490026533</v>
      </c>
      <c r="AI36" s="23">
        <f t="shared" si="27"/>
        <v>0.87388960318373277</v>
      </c>
      <c r="AJ36" s="23">
        <f t="shared" si="28"/>
        <v>0.57370433408661792</v>
      </c>
      <c r="AK36" s="289">
        <f t="shared" si="36"/>
        <v>1.5932899567761935E-3</v>
      </c>
      <c r="AL36" s="70">
        <f t="shared" si="29"/>
        <v>6.6999999999999993</v>
      </c>
      <c r="AM36" s="187">
        <f t="shared" si="37"/>
        <v>0.1</v>
      </c>
      <c r="AN36" s="188">
        <f t="shared" si="43"/>
        <v>9</v>
      </c>
      <c r="AO36" s="71">
        <f t="shared" si="38"/>
        <v>0</v>
      </c>
      <c r="AP36" s="342">
        <f t="shared" si="39"/>
        <v>0</v>
      </c>
      <c r="AQ36" s="506">
        <f t="shared" si="40"/>
        <v>0</v>
      </c>
      <c r="AR36" s="343">
        <f t="shared" si="41"/>
        <v>0</v>
      </c>
    </row>
    <row r="37" spans="1:49" s="74" customFormat="1" ht="15" customHeight="1">
      <c r="A37" s="63">
        <f t="shared" si="42"/>
        <v>0.14500000000000007</v>
      </c>
      <c r="B37" s="64">
        <f t="shared" si="0"/>
        <v>0.5252762922897376</v>
      </c>
      <c r="C37" s="64">
        <f t="shared" si="1"/>
        <v>2.0252762922897376</v>
      </c>
      <c r="D37" s="179">
        <f t="shared" si="2"/>
        <v>-15.719708095972228</v>
      </c>
      <c r="E37" s="64">
        <f t="shared" si="3"/>
        <v>6.2574750000000019E-3</v>
      </c>
      <c r="F37" s="65">
        <f t="shared" si="4"/>
        <v>19826.490420249294</v>
      </c>
      <c r="G37" s="65">
        <f t="shared" si="5"/>
        <v>30344.82758620688</v>
      </c>
      <c r="H37" s="66">
        <f t="shared" si="6"/>
        <v>43.041230103143164</v>
      </c>
      <c r="I37" s="66">
        <f t="shared" si="7"/>
        <v>46.74277306191162</v>
      </c>
      <c r="J37" s="648">
        <f t="shared" si="8"/>
        <v>4.256942470847104</v>
      </c>
      <c r="K37" s="586">
        <f t="shared" si="9"/>
        <v>0.25901623091552661</v>
      </c>
      <c r="L37" s="644">
        <f t="shared" si="10"/>
        <v>0.25113394435906677</v>
      </c>
      <c r="M37" s="594">
        <f t="shared" si="11"/>
        <v>0.83787719760566315</v>
      </c>
      <c r="N37" s="251">
        <f t="shared" si="30"/>
        <v>0</v>
      </c>
      <c r="O37" s="64">
        <f t="shared" si="12"/>
        <v>-0.80372178597268529</v>
      </c>
      <c r="P37" s="64">
        <f t="shared" si="13"/>
        <v>0.1009420648871832</v>
      </c>
      <c r="Q37" s="64">
        <f t="shared" si="14"/>
        <v>0.3637261723379378</v>
      </c>
      <c r="R37" s="644">
        <f t="shared" si="31"/>
        <v>0.45108107170739015</v>
      </c>
      <c r="S37" s="64">
        <f t="shared" si="32"/>
        <v>0.43253258769331571</v>
      </c>
      <c r="T37" s="334">
        <f t="shared" si="33"/>
        <v>6.4097925392345516</v>
      </c>
      <c r="U37" s="602">
        <f t="shared" si="34"/>
        <v>7.2555520233966755</v>
      </c>
      <c r="V37" s="164">
        <f t="shared" si="15"/>
        <v>5.8845162469448145</v>
      </c>
      <c r="W37" s="180">
        <f t="shared" si="16"/>
        <v>0.29020746076544768</v>
      </c>
      <c r="X37" s="414">
        <f t="shared" si="17"/>
        <v>-6.1854498301817227</v>
      </c>
      <c r="Y37" s="72">
        <f t="shared" si="18"/>
        <v>0.71434625781495731</v>
      </c>
      <c r="Z37" s="73">
        <f t="shared" si="19"/>
        <v>0.68761854223837804</v>
      </c>
      <c r="AA37" s="295">
        <f t="shared" si="35"/>
        <v>0.35415416893998142</v>
      </c>
      <c r="AB37" s="69">
        <f t="shared" si="20"/>
        <v>0.35351197498703479</v>
      </c>
      <c r="AC37" s="68">
        <f t="shared" si="21"/>
        <v>0.29148513387017272</v>
      </c>
      <c r="AD37" s="68">
        <f t="shared" si="22"/>
        <v>0.35415416893998142</v>
      </c>
      <c r="AE37" s="23">
        <f t="shared" si="23"/>
        <v>0.86473494367073767</v>
      </c>
      <c r="AF37" s="23">
        <f t="shared" si="24"/>
        <v>0.56395757195917684</v>
      </c>
      <c r="AG37" s="23">
        <f t="shared" si="25"/>
        <v>1.0128677992386814</v>
      </c>
      <c r="AH37" s="23">
        <f t="shared" si="26"/>
        <v>0.41582471639123314</v>
      </c>
      <c r="AI37" s="23">
        <f t="shared" si="27"/>
        <v>0.86247911338290106</v>
      </c>
      <c r="AJ37" s="23">
        <f t="shared" si="28"/>
        <v>0.56621340224701344</v>
      </c>
      <c r="AK37" s="289">
        <f t="shared" si="36"/>
        <v>1.5543422018667746E-3</v>
      </c>
      <c r="AL37" s="70">
        <f t="shared" si="29"/>
        <v>6.6999999999999993</v>
      </c>
      <c r="AM37" s="187">
        <f t="shared" si="37"/>
        <v>0.1</v>
      </c>
      <c r="AN37" s="188">
        <f t="shared" si="43"/>
        <v>9</v>
      </c>
      <c r="AO37" s="71">
        <f t="shared" si="38"/>
        <v>0</v>
      </c>
      <c r="AP37" s="342">
        <f t="shared" si="39"/>
        <v>0</v>
      </c>
      <c r="AQ37" s="506">
        <f t="shared" si="40"/>
        <v>0</v>
      </c>
      <c r="AR37" s="343">
        <f t="shared" si="41"/>
        <v>0</v>
      </c>
    </row>
    <row r="38" spans="1:49" s="85" customFormat="1" ht="15" customHeight="1">
      <c r="A38" s="75">
        <f t="shared" si="42"/>
        <v>0.15000000000000008</v>
      </c>
      <c r="B38" s="76">
        <f t="shared" si="0"/>
        <v>0.54338926788593545</v>
      </c>
      <c r="C38" s="76">
        <f t="shared" si="1"/>
        <v>2.0433892678859356</v>
      </c>
      <c r="D38" s="181">
        <f t="shared" si="2"/>
        <v>-16.261766995833341</v>
      </c>
      <c r="E38" s="76">
        <f t="shared" si="3"/>
        <v>6.4732500000000024E-3</v>
      </c>
      <c r="F38" s="77">
        <f t="shared" si="4"/>
        <v>19165.607406240983</v>
      </c>
      <c r="G38" s="77">
        <f t="shared" si="5"/>
        <v>29333.333333333318</v>
      </c>
      <c r="H38" s="78">
        <f t="shared" si="6"/>
        <v>43.717509202694615</v>
      </c>
      <c r="I38" s="78">
        <f t="shared" si="7"/>
        <v>47.366232229441067</v>
      </c>
      <c r="J38" s="249">
        <f t="shared" si="8"/>
        <v>4.4079553022376601</v>
      </c>
      <c r="K38" s="588">
        <f t="shared" si="9"/>
        <v>0.26129181959586312</v>
      </c>
      <c r="L38" s="249">
        <f t="shared" si="10"/>
        <v>0.25333766459724849</v>
      </c>
      <c r="M38" s="596">
        <f t="shared" si="11"/>
        <v>0.84659301258173425</v>
      </c>
      <c r="N38" s="265">
        <f t="shared" si="30"/>
        <v>0</v>
      </c>
      <c r="O38" s="76">
        <f t="shared" si="12"/>
        <v>-0.83143633031657105</v>
      </c>
      <c r="P38" s="76">
        <f t="shared" si="13"/>
        <v>0.10586846481188156</v>
      </c>
      <c r="Q38" s="76">
        <f t="shared" si="14"/>
        <v>0.40368404525400281</v>
      </c>
      <c r="R38" s="249">
        <f t="shared" si="31"/>
        <v>0.47490143339444557</v>
      </c>
      <c r="S38" s="76">
        <f t="shared" si="32"/>
        <v>0.49562639811927223</v>
      </c>
      <c r="T38" s="278">
        <f t="shared" si="33"/>
        <v>6.7079941114885644</v>
      </c>
      <c r="U38" s="604">
        <f t="shared" si="34"/>
        <v>7.5625412790689133</v>
      </c>
      <c r="V38" s="182">
        <f t="shared" si="15"/>
        <v>6.1646048436026293</v>
      </c>
      <c r="W38" s="183">
        <f t="shared" si="16"/>
        <v>-7.9941114885651032E-3</v>
      </c>
      <c r="X38" s="415">
        <f t="shared" si="17"/>
        <v>-6.2988879455940197</v>
      </c>
      <c r="Y38" s="80">
        <f t="shared" si="18"/>
        <v>0.70494365806693959</v>
      </c>
      <c r="Z38" s="83">
        <f t="shared" si="19"/>
        <v>0.68120679292785868</v>
      </c>
      <c r="AA38" s="294">
        <f t="shared" si="35"/>
        <v>0.34187764470555049</v>
      </c>
      <c r="AB38" s="79">
        <f t="shared" si="20"/>
        <v>0.34125206479364589</v>
      </c>
      <c r="AC38" s="80">
        <f t="shared" si="21"/>
        <v>0.28081220943432283</v>
      </c>
      <c r="AD38" s="80">
        <f t="shared" si="22"/>
        <v>0.34187764470555049</v>
      </c>
      <c r="AE38" s="84">
        <f t="shared" si="23"/>
        <v>0.85335284923892685</v>
      </c>
      <c r="AF38" s="84">
        <f t="shared" si="24"/>
        <v>0.55653446689495234</v>
      </c>
      <c r="AG38" s="84">
        <f t="shared" si="25"/>
        <v>0.99953590254333424</v>
      </c>
      <c r="AH38" s="84">
        <f t="shared" si="26"/>
        <v>0.41035141359054494</v>
      </c>
      <c r="AI38" s="84">
        <f t="shared" si="27"/>
        <v>0.8511267113713471</v>
      </c>
      <c r="AJ38" s="84">
        <f t="shared" si="28"/>
        <v>0.55876060476253209</v>
      </c>
      <c r="AK38" s="364">
        <f t="shared" si="36"/>
        <v>1.5168923205726023E-3</v>
      </c>
      <c r="AL38" s="81">
        <f t="shared" si="29"/>
        <v>6.6999999999999993</v>
      </c>
      <c r="AM38" s="190">
        <f t="shared" si="37"/>
        <v>0.1</v>
      </c>
      <c r="AN38" s="191">
        <f>ROUNDUP(L6,0)</f>
        <v>9</v>
      </c>
      <c r="AO38" s="82">
        <f t="shared" si="38"/>
        <v>0</v>
      </c>
      <c r="AP38" s="344">
        <f t="shared" si="39"/>
        <v>0</v>
      </c>
      <c r="AQ38" s="505">
        <f t="shared" si="40"/>
        <v>0</v>
      </c>
      <c r="AR38" s="341">
        <f t="shared" si="41"/>
        <v>0</v>
      </c>
    </row>
    <row r="39" spans="1:49" s="74" customFormat="1" ht="15" customHeight="1">
      <c r="A39" s="451" t="s">
        <v>206</v>
      </c>
      <c r="B39" s="452"/>
      <c r="C39" s="452"/>
      <c r="D39" s="452"/>
      <c r="E39" s="452"/>
      <c r="F39" s="452"/>
      <c r="G39" s="452"/>
      <c r="H39" s="452"/>
      <c r="I39" s="452"/>
      <c r="J39" s="453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2.2077078088327964</v>
      </c>
      <c r="AP39" s="345">
        <f>SUM(AP18:AP38)</f>
        <v>41.789114699194137</v>
      </c>
      <c r="AQ39" s="346">
        <f>SUM(AQ18:AQ38)</f>
        <v>0.97676948753976256</v>
      </c>
      <c r="AR39" s="346">
        <f>SUM(AR18:AR38)</f>
        <v>0.64124448484519714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643"/>
      <c r="B40" s="136"/>
      <c r="C40" s="136"/>
      <c r="D40" s="136"/>
      <c r="E40" s="136"/>
      <c r="F40" s="136"/>
      <c r="G40" s="136"/>
      <c r="H40" s="136"/>
      <c r="I40" s="136"/>
      <c r="J40" s="454"/>
      <c r="K40" s="1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552"/>
      <c r="B41" s="553"/>
      <c r="I41" s="136"/>
      <c r="J41" s="454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44">0.5+(-0.5+Z41)*$Y$44</f>
        <v>-0.28947368421052633</v>
      </c>
      <c r="AB41" s="288">
        <f t="shared" ref="AB41:AB71" si="45">MAX(MIN(B_1*Tb_eff*($AA41)/(SQRT(2)*$AG$9),10),-10)</f>
        <v>-0.53494805225816733</v>
      </c>
      <c r="AC41" s="288">
        <f t="shared" ref="AC41:AC71" si="46">MAX(MIN(B_1*Tb_eff*(1-$AA41)/(SQRT(2)*$AG$9),10),-10)</f>
        <v>2.3829504146045632</v>
      </c>
      <c r="AD41" s="308" t="e">
        <f t="shared" ref="AD41:AD71" si="47">(ERF(AB41)+1)/2</f>
        <v>#NUM!</v>
      </c>
      <c r="AE41" s="308">
        <f t="shared" ref="AE41:AE71" si="48">(ERF(AC41)+1)/2</f>
        <v>0.9996241601581457</v>
      </c>
      <c r="AF41" s="309" t="e">
        <f t="shared" ref="AF41:AF71" si="49">AD41+AE41-1</f>
        <v>#NUM!</v>
      </c>
      <c r="AG41" s="309" t="e">
        <f t="shared" ref="AG41:AG71" si="50">1-AD41</f>
        <v>#NUM!</v>
      </c>
      <c r="AH41" s="309">
        <f t="shared" ref="AH41:AH71" si="51">1-AE41</f>
        <v>3.7583984185429742E-4</v>
      </c>
      <c r="AI41" s="309" t="e">
        <f t="shared" ref="AI41:AI71" si="52">1-AF41</f>
        <v>#NUM!</v>
      </c>
      <c r="AJ41" s="288">
        <f t="shared" ref="AJ41:AJ71" si="53">Z41-1</f>
        <v>-1.25</v>
      </c>
      <c r="AK41" s="288">
        <f t="shared" ref="AK41:AK71" si="54">Z41+1</f>
        <v>0.75</v>
      </c>
      <c r="AL41" s="288">
        <f t="shared" ref="AL41:AL71" si="55">$Z41-$G$9/(2*$Y$44)</f>
        <v>-0.34850000000000003</v>
      </c>
      <c r="AM41" s="306">
        <f t="shared" ref="AM41:AM71" si="56">$Z41+$G$9/(2*$Y$44)</f>
        <v>-0.1515</v>
      </c>
      <c r="AN41" s="288">
        <f>$C$12</f>
        <v>0.3</v>
      </c>
      <c r="AO41" s="316">
        <v>0.5</v>
      </c>
      <c r="AP41" s="307">
        <f t="shared" ref="AP41:AP69" si="57">MAX(MIN(B_1*Tb_eff*($AA41)/(SQRT(2)*$AP$39),10),-10)</f>
        <v>-0.46259311133412012</v>
      </c>
      <c r="AQ41" s="288">
        <f t="shared" ref="AQ41:AQ69" si="58">MAX(MIN(B_1*Tb_eff*(1-$AA41)/(SQRT(2)*$AP$39),10),-10)</f>
        <v>2.0606420413974442</v>
      </c>
      <c r="AR41" s="308" t="e">
        <f t="shared" ref="AR41:AR69" si="59">(ERF(AP41)+1)/2</f>
        <v>#NUM!</v>
      </c>
      <c r="AS41" s="308">
        <f t="shared" ref="AS41:AS69" si="60">(ERF(AQ41)+1)/2</f>
        <v>0.99821692411002139</v>
      </c>
      <c r="AT41" s="309" t="e">
        <f t="shared" ref="AT41:AT69" si="61">AR41+AS41-1</f>
        <v>#NUM!</v>
      </c>
      <c r="AU41" s="309" t="e">
        <f t="shared" ref="AU41:AU69" si="62">1-AR41</f>
        <v>#NUM!</v>
      </c>
      <c r="AV41" s="309">
        <f t="shared" ref="AV41:AV69" si="63">1-AS41</f>
        <v>1.7830758899786137E-3</v>
      </c>
      <c r="AW41" s="328" t="e">
        <f t="shared" ref="AW41:AW69" si="64">1-AT41</f>
        <v>#NUM!</v>
      </c>
    </row>
    <row r="42" spans="1:49" s="74" customFormat="1" ht="15" customHeight="1">
      <c r="A42" s="552"/>
      <c r="B42" s="553"/>
      <c r="C42" s="553"/>
      <c r="D42" s="553"/>
      <c r="E42" s="556" t="s">
        <v>448</v>
      </c>
      <c r="F42" s="724">
        <f>BaseOM4!F42</f>
        <v>5.8970478002652371E-2</v>
      </c>
      <c r="G42" s="554">
        <f>F42*10^6/$C$4</f>
        <v>2.2873397528301527</v>
      </c>
      <c r="H42" s="553" t="s">
        <v>219</v>
      </c>
      <c r="I42" s="136"/>
      <c r="J42" s="454"/>
      <c r="K42" s="93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5">Z41+$Y$42</f>
        <v>-0.2</v>
      </c>
      <c r="AA42" s="288">
        <f t="shared" si="44"/>
        <v>-0.23684210526315785</v>
      </c>
      <c r="AB42" s="288">
        <f t="shared" si="45"/>
        <v>-0.43768477002940953</v>
      </c>
      <c r="AC42" s="288">
        <f t="shared" si="46"/>
        <v>2.2856871323758057</v>
      </c>
      <c r="AD42" s="308" t="e">
        <f t="shared" si="47"/>
        <v>#NUM!</v>
      </c>
      <c r="AE42" s="308">
        <f t="shared" si="48"/>
        <v>0.99938633136175103</v>
      </c>
      <c r="AF42" s="309" t="e">
        <f t="shared" si="49"/>
        <v>#NUM!</v>
      </c>
      <c r="AG42" s="309" t="e">
        <f t="shared" si="50"/>
        <v>#NUM!</v>
      </c>
      <c r="AH42" s="309">
        <f t="shared" si="51"/>
        <v>6.1366863824896534E-4</v>
      </c>
      <c r="AI42" s="309" t="e">
        <f t="shared" si="52"/>
        <v>#NUM!</v>
      </c>
      <c r="AJ42" s="288">
        <f t="shared" si="53"/>
        <v>-1.2</v>
      </c>
      <c r="AK42" s="288">
        <f t="shared" si="54"/>
        <v>0.8</v>
      </c>
      <c r="AL42" s="288">
        <f t="shared" si="55"/>
        <v>-0.29849999999999999</v>
      </c>
      <c r="AM42" s="306">
        <f t="shared" si="56"/>
        <v>-0.10150000000000001</v>
      </c>
      <c r="AN42" s="288">
        <f>$C$13</f>
        <v>0.4</v>
      </c>
      <c r="AO42" s="316">
        <f>$C$14</f>
        <v>0.25</v>
      </c>
      <c r="AP42" s="307">
        <f t="shared" si="57"/>
        <v>-0.37848527290973455</v>
      </c>
      <c r="AQ42" s="288">
        <f t="shared" si="58"/>
        <v>1.9765342029730588</v>
      </c>
      <c r="AR42" s="308" t="e">
        <f t="shared" si="59"/>
        <v>#NUM!</v>
      </c>
      <c r="AS42" s="308">
        <f t="shared" si="60"/>
        <v>0.99740695172944693</v>
      </c>
      <c r="AT42" s="309" t="e">
        <f t="shared" si="61"/>
        <v>#NUM!</v>
      </c>
      <c r="AU42" s="309" t="e">
        <f t="shared" si="62"/>
        <v>#NUM!</v>
      </c>
      <c r="AV42" s="309">
        <f t="shared" si="63"/>
        <v>2.5930482705530666E-3</v>
      </c>
      <c r="AW42" s="328" t="e">
        <f t="shared" si="64"/>
        <v>#NUM!</v>
      </c>
    </row>
    <row r="43" spans="1:49" s="74" customFormat="1" ht="15" customHeight="1">
      <c r="A43" s="552"/>
      <c r="B43" s="553"/>
      <c r="C43" s="553"/>
      <c r="D43" s="553"/>
      <c r="E43" s="556" t="s">
        <v>438</v>
      </c>
      <c r="F43" s="724">
        <f>BaseOM4!F43</f>
        <v>0.11</v>
      </c>
      <c r="G43" s="554">
        <f t="shared" ref="G43:G46" si="66">F43*10^6/$C$4</f>
        <v>4.2666666666666666</v>
      </c>
      <c r="H43" s="553" t="s">
        <v>219</v>
      </c>
      <c r="I43" s="455"/>
      <c r="J43" s="454"/>
      <c r="K43" s="69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5"/>
        <v>-0.15000000000000002</v>
      </c>
      <c r="AA43" s="288">
        <f t="shared" si="44"/>
        <v>-0.18421052631578949</v>
      </c>
      <c r="AB43" s="288">
        <f t="shared" si="45"/>
        <v>-0.34042148780065196</v>
      </c>
      <c r="AC43" s="288">
        <f t="shared" si="46"/>
        <v>2.1884238501470477</v>
      </c>
      <c r="AD43" s="308" t="e">
        <f t="shared" si="47"/>
        <v>#NUM!</v>
      </c>
      <c r="AE43" s="308">
        <f t="shared" si="48"/>
        <v>0.9990155993177452</v>
      </c>
      <c r="AF43" s="309" t="e">
        <f t="shared" si="49"/>
        <v>#NUM!</v>
      </c>
      <c r="AG43" s="309" t="e">
        <f t="shared" si="50"/>
        <v>#NUM!</v>
      </c>
      <c r="AH43" s="309">
        <f t="shared" si="51"/>
        <v>9.8440068225480459E-4</v>
      </c>
      <c r="AI43" s="309" t="e">
        <f t="shared" si="52"/>
        <v>#NUM!</v>
      </c>
      <c r="AJ43" s="288">
        <f t="shared" si="53"/>
        <v>-1.1499999999999999</v>
      </c>
      <c r="AK43" s="288">
        <f t="shared" si="54"/>
        <v>0.85</v>
      </c>
      <c r="AL43" s="288">
        <f t="shared" si="55"/>
        <v>-0.24850000000000003</v>
      </c>
      <c r="AM43" s="306">
        <f t="shared" si="56"/>
        <v>-5.1500000000000018E-2</v>
      </c>
      <c r="AN43" s="288">
        <f>1-AN42</f>
        <v>0.6</v>
      </c>
      <c r="AO43" s="316">
        <f>$C$14</f>
        <v>0.25</v>
      </c>
      <c r="AP43" s="307">
        <f t="shared" si="57"/>
        <v>-0.2943774344853492</v>
      </c>
      <c r="AQ43" s="288">
        <f t="shared" si="58"/>
        <v>1.892426364548673</v>
      </c>
      <c r="AR43" s="308" t="e">
        <f t="shared" si="59"/>
        <v>#NUM!</v>
      </c>
      <c r="AS43" s="308">
        <f t="shared" si="60"/>
        <v>0.99627794569382178</v>
      </c>
      <c r="AT43" s="309" t="e">
        <f t="shared" si="61"/>
        <v>#NUM!</v>
      </c>
      <c r="AU43" s="309" t="e">
        <f t="shared" si="62"/>
        <v>#NUM!</v>
      </c>
      <c r="AV43" s="309">
        <f t="shared" si="63"/>
        <v>3.7220543061782241E-3</v>
      </c>
      <c r="AW43" s="328" t="e">
        <f t="shared" si="64"/>
        <v>#NUM!</v>
      </c>
    </row>
    <row r="44" spans="1:49" s="74" customFormat="1" ht="15" customHeight="1">
      <c r="A44" s="564"/>
      <c r="B44" s="725"/>
      <c r="C44" s="553"/>
      <c r="D44" s="553"/>
      <c r="E44" s="556" t="s">
        <v>439</v>
      </c>
      <c r="F44" s="724">
        <f>BaseOM4!F44</f>
        <v>0.247</v>
      </c>
      <c r="G44" s="554">
        <f t="shared" si="66"/>
        <v>9.5806060606060601</v>
      </c>
      <c r="H44" s="553" t="s">
        <v>219</v>
      </c>
      <c r="I44" s="136"/>
      <c r="J44" s="454"/>
      <c r="K44" s="69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1.0526315789473684</v>
      </c>
      <c r="Z44" s="288">
        <f t="shared" si="65"/>
        <v>-0.10000000000000002</v>
      </c>
      <c r="AA44" s="288">
        <f t="shared" si="44"/>
        <v>-0.13157894736842102</v>
      </c>
      <c r="AB44" s="288">
        <f t="shared" si="45"/>
        <v>-0.24315820557189416</v>
      </c>
      <c r="AC44" s="288">
        <f t="shared" si="46"/>
        <v>2.0911605679182901</v>
      </c>
      <c r="AD44" s="308" t="e">
        <f t="shared" si="47"/>
        <v>#NUM!</v>
      </c>
      <c r="AE44" s="308">
        <f t="shared" si="48"/>
        <v>0.998448509652621</v>
      </c>
      <c r="AF44" s="309" t="e">
        <f t="shared" si="49"/>
        <v>#NUM!</v>
      </c>
      <c r="AG44" s="309" t="e">
        <f t="shared" si="50"/>
        <v>#NUM!</v>
      </c>
      <c r="AH44" s="309">
        <f t="shared" si="51"/>
        <v>1.5514903473790032E-3</v>
      </c>
      <c r="AI44" s="309" t="e">
        <f t="shared" si="52"/>
        <v>#NUM!</v>
      </c>
      <c r="AJ44" s="288">
        <f t="shared" si="53"/>
        <v>-1.1000000000000001</v>
      </c>
      <c r="AK44" s="288">
        <f t="shared" si="54"/>
        <v>0.9</v>
      </c>
      <c r="AL44" s="288">
        <f t="shared" si="55"/>
        <v>-0.19850000000000001</v>
      </c>
      <c r="AM44" s="306">
        <f t="shared" si="56"/>
        <v>-1.5000000000000152E-3</v>
      </c>
      <c r="AN44" s="288">
        <f>1-AN41</f>
        <v>0.7</v>
      </c>
      <c r="AO44" s="316">
        <v>0.5</v>
      </c>
      <c r="AP44" s="307">
        <f t="shared" si="57"/>
        <v>-0.21026959606096363</v>
      </c>
      <c r="AQ44" s="288">
        <f t="shared" si="58"/>
        <v>1.8083185261242876</v>
      </c>
      <c r="AR44" s="308" t="e">
        <f t="shared" si="59"/>
        <v>#NUM!</v>
      </c>
      <c r="AS44" s="308">
        <f t="shared" si="60"/>
        <v>0.99472632640173497</v>
      </c>
      <c r="AT44" s="309" t="e">
        <f t="shared" si="61"/>
        <v>#NUM!</v>
      </c>
      <c r="AU44" s="309" t="e">
        <f t="shared" si="62"/>
        <v>#NUM!</v>
      </c>
      <c r="AV44" s="309">
        <f t="shared" si="63"/>
        <v>5.2736735982650274E-3</v>
      </c>
      <c r="AW44" s="328" t="e">
        <f t="shared" si="64"/>
        <v>#NUM!</v>
      </c>
    </row>
    <row r="45" spans="1:49" s="74" customFormat="1" ht="15" customHeight="1">
      <c r="A45" s="726"/>
      <c r="B45" s="726"/>
      <c r="C45" s="553"/>
      <c r="D45" s="553"/>
      <c r="E45" s="556" t="s">
        <v>440</v>
      </c>
      <c r="F45" s="724">
        <f>BaseOM4!F45</f>
        <v>3.1E-2</v>
      </c>
      <c r="G45" s="554">
        <f t="shared" si="66"/>
        <v>1.2024242424242424</v>
      </c>
      <c r="H45" s="553" t="s">
        <v>219</v>
      </c>
      <c r="I45" s="136"/>
      <c r="J45" s="454"/>
      <c r="K45" s="69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5"/>
        <v>-5.0000000000000017E-2</v>
      </c>
      <c r="AA45" s="288">
        <f t="shared" si="44"/>
        <v>-7.8947368421052655E-2</v>
      </c>
      <c r="AB45" s="288">
        <f t="shared" si="45"/>
        <v>-0.14589492334313658</v>
      </c>
      <c r="AC45" s="288">
        <f t="shared" si="46"/>
        <v>1.9938972856895327</v>
      </c>
      <c r="AD45" s="308" t="e">
        <f t="shared" si="47"/>
        <v>#NUM!</v>
      </c>
      <c r="AE45" s="308">
        <f t="shared" si="48"/>
        <v>0.99759729480664761</v>
      </c>
      <c r="AF45" s="309" t="e">
        <f t="shared" si="49"/>
        <v>#NUM!</v>
      </c>
      <c r="AG45" s="309" t="e">
        <f t="shared" si="50"/>
        <v>#NUM!</v>
      </c>
      <c r="AH45" s="309">
        <f t="shared" si="51"/>
        <v>2.4027051933523946E-3</v>
      </c>
      <c r="AI45" s="309" t="e">
        <f t="shared" si="52"/>
        <v>#NUM!</v>
      </c>
      <c r="AJ45" s="288">
        <f t="shared" si="53"/>
        <v>-1.05</v>
      </c>
      <c r="AK45" s="288">
        <f t="shared" si="54"/>
        <v>0.95</v>
      </c>
      <c r="AL45" s="288">
        <f t="shared" si="55"/>
        <v>-0.14850000000000002</v>
      </c>
      <c r="AM45" s="306">
        <f t="shared" si="56"/>
        <v>4.8499999999999988E-2</v>
      </c>
      <c r="AN45" s="288">
        <f>AN43</f>
        <v>0.6</v>
      </c>
      <c r="AO45" s="316">
        <f>1-$C$14</f>
        <v>0.75</v>
      </c>
      <c r="AP45" s="307">
        <f t="shared" si="57"/>
        <v>-0.12616175763657825</v>
      </c>
      <c r="AQ45" s="288">
        <f t="shared" si="58"/>
        <v>1.7242106876999022</v>
      </c>
      <c r="AR45" s="308" t="e">
        <f t="shared" si="59"/>
        <v>#NUM!</v>
      </c>
      <c r="AS45" s="308">
        <f t="shared" si="60"/>
        <v>0.99262382343096034</v>
      </c>
      <c r="AT45" s="309" t="e">
        <f t="shared" si="61"/>
        <v>#NUM!</v>
      </c>
      <c r="AU45" s="309" t="e">
        <f t="shared" si="62"/>
        <v>#NUM!</v>
      </c>
      <c r="AV45" s="309">
        <f t="shared" si="63"/>
        <v>7.3761765690396608E-3</v>
      </c>
      <c r="AW45" s="328" t="e">
        <f t="shared" si="64"/>
        <v>#NUM!</v>
      </c>
    </row>
    <row r="46" spans="1:49" s="74" customFormat="1" ht="15" customHeight="1">
      <c r="A46" s="727"/>
      <c r="B46" s="562"/>
      <c r="C46" s="553"/>
      <c r="D46" s="553"/>
      <c r="E46" s="712" t="s">
        <v>452</v>
      </c>
      <c r="F46" s="724">
        <f>BaseOM4!F46</f>
        <v>0.32800000000000001</v>
      </c>
      <c r="G46" s="554">
        <f t="shared" si="66"/>
        <v>12.722424242424243</v>
      </c>
      <c r="H46" s="553" t="s">
        <v>219</v>
      </c>
      <c r="I46" s="248"/>
      <c r="J46" s="136"/>
      <c r="K46" s="69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5"/>
        <v>0</v>
      </c>
      <c r="AA46" s="288">
        <f t="shared" si="44"/>
        <v>-2.6315789473684181E-2</v>
      </c>
      <c r="AB46" s="288">
        <f t="shared" si="45"/>
        <v>-4.8631641114378787E-2</v>
      </c>
      <c r="AC46" s="288">
        <f t="shared" si="46"/>
        <v>1.8966340034607745</v>
      </c>
      <c r="AD46" s="308" t="e">
        <f t="shared" si="47"/>
        <v>#NUM!</v>
      </c>
      <c r="AE46" s="308">
        <f t="shared" si="48"/>
        <v>0.99634351164966029</v>
      </c>
      <c r="AF46" s="309" t="e">
        <f t="shared" si="49"/>
        <v>#NUM!</v>
      </c>
      <c r="AG46" s="309" t="e">
        <f t="shared" si="50"/>
        <v>#NUM!</v>
      </c>
      <c r="AH46" s="309">
        <f t="shared" si="51"/>
        <v>3.656488350339715E-3</v>
      </c>
      <c r="AI46" s="309" t="e">
        <f t="shared" si="52"/>
        <v>#NUM!</v>
      </c>
      <c r="AJ46" s="288">
        <f t="shared" si="53"/>
        <v>-1</v>
      </c>
      <c r="AK46" s="288">
        <f t="shared" si="54"/>
        <v>1</v>
      </c>
      <c r="AL46" s="288">
        <f t="shared" si="55"/>
        <v>-9.8500000000000004E-2</v>
      </c>
      <c r="AM46" s="306">
        <f t="shared" si="56"/>
        <v>9.8500000000000004E-2</v>
      </c>
      <c r="AN46" s="288">
        <f>AN42</f>
        <v>0.4</v>
      </c>
      <c r="AO46" s="316">
        <f>AO45</f>
        <v>0.75</v>
      </c>
      <c r="AP46" s="307">
        <f t="shared" si="57"/>
        <v>-4.2053919212192689E-2</v>
      </c>
      <c r="AQ46" s="288">
        <f t="shared" si="58"/>
        <v>1.6401028492755165</v>
      </c>
      <c r="AR46" s="308" t="e">
        <f t="shared" si="59"/>
        <v>#NUM!</v>
      </c>
      <c r="AS46" s="308">
        <f t="shared" si="60"/>
        <v>0.98981482856449665</v>
      </c>
      <c r="AT46" s="309" t="e">
        <f t="shared" si="61"/>
        <v>#NUM!</v>
      </c>
      <c r="AU46" s="309" t="e">
        <f t="shared" si="62"/>
        <v>#NUM!</v>
      </c>
      <c r="AV46" s="309">
        <f t="shared" si="63"/>
        <v>1.0185171435503348E-2</v>
      </c>
      <c r="AW46" s="328" t="e">
        <f t="shared" si="64"/>
        <v>#NUM!</v>
      </c>
    </row>
    <row r="47" spans="1:49" s="74" customFormat="1" ht="15" customHeight="1">
      <c r="A47" s="726"/>
      <c r="B47" s="206"/>
      <c r="C47" s="553"/>
      <c r="D47" s="553"/>
      <c r="E47" s="559"/>
      <c r="F47" s="557"/>
      <c r="G47" s="560"/>
      <c r="H47" s="553"/>
      <c r="I47" s="136"/>
      <c r="J47" s="454"/>
      <c r="K47" s="69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5"/>
        <v>0.05</v>
      </c>
      <c r="AA47" s="288">
        <f t="shared" si="44"/>
        <v>2.6315789473684237E-2</v>
      </c>
      <c r="AB47" s="288">
        <f t="shared" si="45"/>
        <v>4.8631641114378892E-2</v>
      </c>
      <c r="AC47" s="288">
        <f t="shared" si="46"/>
        <v>1.7993707212320171</v>
      </c>
      <c r="AD47" s="308">
        <f t="shared" si="47"/>
        <v>0.52741585048150197</v>
      </c>
      <c r="AE47" s="308">
        <f t="shared" si="48"/>
        <v>0.99453133019329054</v>
      </c>
      <c r="AF47" s="309">
        <f t="shared" si="49"/>
        <v>0.5219471806747924</v>
      </c>
      <c r="AG47" s="309">
        <f t="shared" si="50"/>
        <v>0.47258414951849803</v>
      </c>
      <c r="AH47" s="309">
        <f t="shared" si="51"/>
        <v>5.4686698067094586E-3</v>
      </c>
      <c r="AI47" s="309">
        <f t="shared" si="52"/>
        <v>0.4780528193252076</v>
      </c>
      <c r="AJ47" s="288">
        <f t="shared" si="53"/>
        <v>-0.95</v>
      </c>
      <c r="AK47" s="288">
        <f t="shared" si="54"/>
        <v>1.05</v>
      </c>
      <c r="AL47" s="288">
        <f t="shared" si="55"/>
        <v>-4.8500000000000001E-2</v>
      </c>
      <c r="AM47" s="306">
        <f t="shared" si="56"/>
        <v>0.14850000000000002</v>
      </c>
      <c r="AN47" s="312">
        <f>AN41</f>
        <v>0.3</v>
      </c>
      <c r="AO47" s="317">
        <v>0.5</v>
      </c>
      <c r="AP47" s="307">
        <f t="shared" si="57"/>
        <v>4.2053919212192779E-2</v>
      </c>
      <c r="AQ47" s="288">
        <f t="shared" si="58"/>
        <v>1.5559950108511311</v>
      </c>
      <c r="AR47" s="308">
        <f t="shared" si="59"/>
        <v>0.52371240362621063</v>
      </c>
      <c r="AS47" s="308">
        <f t="shared" si="60"/>
        <v>0.98611460658027417</v>
      </c>
      <c r="AT47" s="309">
        <f t="shared" si="61"/>
        <v>0.5098270102064848</v>
      </c>
      <c r="AU47" s="309">
        <f t="shared" si="62"/>
        <v>0.47628759637378937</v>
      </c>
      <c r="AV47" s="309">
        <f t="shared" si="63"/>
        <v>1.3885393419725833E-2</v>
      </c>
      <c r="AW47" s="328">
        <f t="shared" si="64"/>
        <v>0.4901729897935152</v>
      </c>
    </row>
    <row r="48" spans="1:49" s="74" customFormat="1" ht="15" customHeight="1">
      <c r="A48" s="728"/>
      <c r="B48" s="726"/>
      <c r="C48" s="553"/>
      <c r="D48" s="553"/>
      <c r="E48" s="556"/>
      <c r="F48" s="557"/>
      <c r="G48" s="560"/>
      <c r="H48" s="553"/>
      <c r="I48" s="136"/>
      <c r="J48" s="454"/>
      <c r="K48" s="69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5"/>
        <v>0.1</v>
      </c>
      <c r="AA48" s="288">
        <f t="shared" si="44"/>
        <v>7.8947368421052655E-2</v>
      </c>
      <c r="AB48" s="288">
        <f t="shared" si="45"/>
        <v>0.14589492334313658</v>
      </c>
      <c r="AC48" s="288">
        <f t="shared" si="46"/>
        <v>1.7021074390032596</v>
      </c>
      <c r="AD48" s="308">
        <f t="shared" si="47"/>
        <v>0.58173209103536827</v>
      </c>
      <c r="AE48" s="308">
        <f t="shared" si="48"/>
        <v>0.99196107241913678</v>
      </c>
      <c r="AF48" s="309">
        <f t="shared" si="49"/>
        <v>0.57369316345450505</v>
      </c>
      <c r="AG48" s="309">
        <f t="shared" si="50"/>
        <v>0.41826790896463173</v>
      </c>
      <c r="AH48" s="309">
        <f t="shared" si="51"/>
        <v>8.0389275808632199E-3</v>
      </c>
      <c r="AI48" s="309">
        <f t="shared" si="52"/>
        <v>0.42630683654549495</v>
      </c>
      <c r="AJ48" s="288">
        <f t="shared" si="53"/>
        <v>-0.9</v>
      </c>
      <c r="AK48" s="288">
        <f t="shared" si="54"/>
        <v>1.1000000000000001</v>
      </c>
      <c r="AL48" s="288">
        <f t="shared" si="55"/>
        <v>1.5000000000000013E-3</v>
      </c>
      <c r="AM48" s="306">
        <f t="shared" si="56"/>
        <v>0.19850000000000001</v>
      </c>
      <c r="AP48" s="307">
        <f t="shared" si="57"/>
        <v>0.12616175763657825</v>
      </c>
      <c r="AQ48" s="288">
        <f t="shared" si="58"/>
        <v>1.4718871724267457</v>
      </c>
      <c r="AR48" s="308">
        <f t="shared" si="59"/>
        <v>0.57080329812855102</v>
      </c>
      <c r="AS48" s="308">
        <f t="shared" si="60"/>
        <v>0.9813087854218685</v>
      </c>
      <c r="AT48" s="309">
        <f t="shared" si="61"/>
        <v>0.55211208355041963</v>
      </c>
      <c r="AU48" s="309">
        <f t="shared" si="62"/>
        <v>0.42919670187144898</v>
      </c>
      <c r="AV48" s="309">
        <f t="shared" si="63"/>
        <v>1.8691214578131499E-2</v>
      </c>
      <c r="AW48" s="328">
        <f t="shared" si="64"/>
        <v>0.44788791644958037</v>
      </c>
    </row>
    <row r="49" spans="1:49" s="74" customFormat="1" ht="15" customHeight="1">
      <c r="A49" s="729"/>
      <c r="B49" s="563"/>
      <c r="C49" s="553"/>
      <c r="D49" s="564"/>
      <c r="E49" s="580"/>
      <c r="F49" s="566"/>
      <c r="G49" s="581"/>
      <c r="H49" s="553"/>
      <c r="I49" s="136"/>
      <c r="J49" s="454"/>
      <c r="K49" s="69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5"/>
        <v>0.15000000000000002</v>
      </c>
      <c r="AA49" s="288">
        <f t="shared" si="44"/>
        <v>0.13157894736842107</v>
      </c>
      <c r="AB49" s="288">
        <f t="shared" si="45"/>
        <v>0.24315820557189427</v>
      </c>
      <c r="AC49" s="288">
        <f t="shared" si="46"/>
        <v>1.604844156774502</v>
      </c>
      <c r="AD49" s="308">
        <f t="shared" si="47"/>
        <v>0.63453084262226622</v>
      </c>
      <c r="AE49" s="308">
        <f t="shared" si="48"/>
        <v>0.98838383498252602</v>
      </c>
      <c r="AF49" s="309">
        <f t="shared" si="49"/>
        <v>0.62291467760479224</v>
      </c>
      <c r="AG49" s="309">
        <f t="shared" si="50"/>
        <v>0.36546915737773378</v>
      </c>
      <c r="AH49" s="309">
        <f t="shared" si="51"/>
        <v>1.1616165017473978E-2</v>
      </c>
      <c r="AI49" s="309">
        <f t="shared" si="52"/>
        <v>0.37708532239520776</v>
      </c>
      <c r="AJ49" s="288">
        <f t="shared" si="53"/>
        <v>-0.85</v>
      </c>
      <c r="AK49" s="288">
        <f t="shared" si="54"/>
        <v>1.1499999999999999</v>
      </c>
      <c r="AL49" s="288">
        <f t="shared" si="55"/>
        <v>5.1500000000000018E-2</v>
      </c>
      <c r="AM49" s="306">
        <f t="shared" si="56"/>
        <v>0.24850000000000003</v>
      </c>
      <c r="AP49" s="307">
        <f t="shared" si="57"/>
        <v>0.21026959606096374</v>
      </c>
      <c r="AQ49" s="288">
        <f t="shared" si="58"/>
        <v>1.3877793340023605</v>
      </c>
      <c r="AR49" s="308">
        <f t="shared" si="59"/>
        <v>0.61690649447081314</v>
      </c>
      <c r="AS49" s="308">
        <f t="shared" si="60"/>
        <v>0.97515461082556487</v>
      </c>
      <c r="AT49" s="309">
        <f t="shared" si="61"/>
        <v>0.59206110529637801</v>
      </c>
      <c r="AU49" s="309">
        <f t="shared" si="62"/>
        <v>0.38309350552918686</v>
      </c>
      <c r="AV49" s="309">
        <f t="shared" si="63"/>
        <v>2.4845389174435129E-2</v>
      </c>
      <c r="AW49" s="328">
        <f t="shared" si="64"/>
        <v>0.40793889470362199</v>
      </c>
    </row>
    <row r="50" spans="1:49" s="74" customFormat="1" ht="15" customHeight="1">
      <c r="A50" s="563"/>
      <c r="B50" s="563"/>
      <c r="C50" s="553"/>
      <c r="D50" s="564"/>
      <c r="E50" s="565"/>
      <c r="F50" s="566"/>
      <c r="G50" s="567"/>
      <c r="H50" s="553"/>
      <c r="I50" s="136"/>
      <c r="J50" s="454"/>
      <c r="K50" s="69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5"/>
        <v>0.2</v>
      </c>
      <c r="AA50" s="288">
        <f t="shared" si="44"/>
        <v>0.18421052631578949</v>
      </c>
      <c r="AB50" s="288">
        <f t="shared" si="45"/>
        <v>0.34042148780065196</v>
      </c>
      <c r="AC50" s="288">
        <f t="shared" si="46"/>
        <v>1.5075808745457442</v>
      </c>
      <c r="AD50" s="308">
        <f t="shared" si="47"/>
        <v>0.68489407295367466</v>
      </c>
      <c r="AE50" s="308">
        <f t="shared" si="48"/>
        <v>0.98349827285550639</v>
      </c>
      <c r="AF50" s="309">
        <f t="shared" si="49"/>
        <v>0.66839234580918117</v>
      </c>
      <c r="AG50" s="309">
        <f t="shared" si="50"/>
        <v>0.31510592704632534</v>
      </c>
      <c r="AH50" s="309">
        <f t="shared" si="51"/>
        <v>1.6501727144493605E-2</v>
      </c>
      <c r="AI50" s="309">
        <f t="shared" si="52"/>
        <v>0.33160765419081883</v>
      </c>
      <c r="AJ50" s="288">
        <f t="shared" si="53"/>
        <v>-0.8</v>
      </c>
      <c r="AK50" s="288">
        <f t="shared" si="54"/>
        <v>1.2</v>
      </c>
      <c r="AL50" s="288">
        <f t="shared" si="55"/>
        <v>0.10150000000000001</v>
      </c>
      <c r="AM50" s="306">
        <f t="shared" si="56"/>
        <v>0.29849999999999999</v>
      </c>
      <c r="AP50" s="307">
        <f t="shared" si="57"/>
        <v>0.2943774344853492</v>
      </c>
      <c r="AQ50" s="288">
        <f t="shared" si="58"/>
        <v>1.3036714955779749</v>
      </c>
      <c r="AR50" s="308">
        <f t="shared" si="59"/>
        <v>0.66140934857344702</v>
      </c>
      <c r="AS50" s="308">
        <f t="shared" si="60"/>
        <v>0.96738436222968927</v>
      </c>
      <c r="AT50" s="309">
        <f t="shared" si="61"/>
        <v>0.62879371080313629</v>
      </c>
      <c r="AU50" s="309">
        <f t="shared" si="62"/>
        <v>0.33859065142655298</v>
      </c>
      <c r="AV50" s="309">
        <f t="shared" si="63"/>
        <v>3.2615637770310735E-2</v>
      </c>
      <c r="AW50" s="328">
        <f t="shared" si="64"/>
        <v>0.37120628919686371</v>
      </c>
    </row>
    <row r="51" spans="1:49" s="74" customFormat="1" ht="15" customHeight="1">
      <c r="A51" s="563"/>
      <c r="B51" s="568"/>
      <c r="C51" s="553"/>
      <c r="D51" s="564"/>
      <c r="E51" s="565"/>
      <c r="F51" s="566"/>
      <c r="G51" s="567"/>
      <c r="H51" s="564"/>
      <c r="I51" s="136"/>
      <c r="J51" s="454"/>
      <c r="K51" s="69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5"/>
        <v>0.25</v>
      </c>
      <c r="AA51" s="288">
        <f t="shared" si="44"/>
        <v>0.23684210526315791</v>
      </c>
      <c r="AB51" s="288">
        <f t="shared" si="45"/>
        <v>0.43768477002940964</v>
      </c>
      <c r="AC51" s="288">
        <f t="shared" si="46"/>
        <v>1.4103175923169864</v>
      </c>
      <c r="AD51" s="308">
        <f t="shared" si="47"/>
        <v>0.73203514625731669</v>
      </c>
      <c r="AE51" s="308">
        <f t="shared" si="48"/>
        <v>0.97695074518934044</v>
      </c>
      <c r="AF51" s="309">
        <f t="shared" si="49"/>
        <v>0.70898589144665713</v>
      </c>
      <c r="AG51" s="309">
        <f t="shared" si="50"/>
        <v>0.26796485374268331</v>
      </c>
      <c r="AH51" s="309">
        <f t="shared" si="51"/>
        <v>2.3049254810659559E-2</v>
      </c>
      <c r="AI51" s="309">
        <f t="shared" si="52"/>
        <v>0.29101410855334287</v>
      </c>
      <c r="AJ51" s="288">
        <f t="shared" si="53"/>
        <v>-0.75</v>
      </c>
      <c r="AK51" s="288">
        <f t="shared" si="54"/>
        <v>1.25</v>
      </c>
      <c r="AL51" s="288">
        <f t="shared" si="55"/>
        <v>0.1515</v>
      </c>
      <c r="AM51" s="306">
        <f t="shared" si="56"/>
        <v>0.34850000000000003</v>
      </c>
      <c r="AP51" s="307">
        <f t="shared" si="57"/>
        <v>0.37848527290973466</v>
      </c>
      <c r="AQ51" s="288">
        <f t="shared" si="58"/>
        <v>1.2195636571535893</v>
      </c>
      <c r="AR51" s="308">
        <f t="shared" si="59"/>
        <v>0.7037646146789871</v>
      </c>
      <c r="AS51" s="308">
        <f t="shared" si="60"/>
        <v>0.9577113269962102</v>
      </c>
      <c r="AT51" s="309">
        <f t="shared" si="61"/>
        <v>0.66147594167519719</v>
      </c>
      <c r="AU51" s="309">
        <f t="shared" si="62"/>
        <v>0.2962353853210129</v>
      </c>
      <c r="AV51" s="309">
        <f t="shared" si="63"/>
        <v>4.2288673003789801E-2</v>
      </c>
      <c r="AW51" s="328">
        <f t="shared" si="64"/>
        <v>0.33852405832480281</v>
      </c>
    </row>
    <row r="52" spans="1:49" s="74" customFormat="1" ht="15" customHeight="1">
      <c r="A52" s="206"/>
      <c r="B52" s="206"/>
      <c r="C52" s="564"/>
      <c r="D52" s="390"/>
      <c r="E52" s="556"/>
      <c r="F52" s="557"/>
      <c r="G52" s="560"/>
      <c r="H52" s="553"/>
      <c r="I52" s="136"/>
      <c r="J52" s="454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5"/>
        <v>0.3</v>
      </c>
      <c r="AA52" s="288">
        <f t="shared" si="44"/>
        <v>0.28947368421052633</v>
      </c>
      <c r="AB52" s="288">
        <f t="shared" si="45"/>
        <v>0.53494805225816733</v>
      </c>
      <c r="AC52" s="288">
        <f t="shared" si="46"/>
        <v>1.3130543100882288</v>
      </c>
      <c r="AD52" s="308">
        <f t="shared" si="47"/>
        <v>0.77533448827920881</v>
      </c>
      <c r="AE52" s="308">
        <f t="shared" si="48"/>
        <v>0.96834009217269856</v>
      </c>
      <c r="AF52" s="309">
        <f t="shared" si="49"/>
        <v>0.74367458045190737</v>
      </c>
      <c r="AG52" s="309">
        <f t="shared" si="50"/>
        <v>0.22466551172079119</v>
      </c>
      <c r="AH52" s="309">
        <f t="shared" si="51"/>
        <v>3.1659907827301437E-2</v>
      </c>
      <c r="AI52" s="309">
        <f t="shared" si="52"/>
        <v>0.25632541954809263</v>
      </c>
      <c r="AJ52" s="288">
        <f t="shared" si="53"/>
        <v>-0.7</v>
      </c>
      <c r="AK52" s="288">
        <f t="shared" si="54"/>
        <v>1.3</v>
      </c>
      <c r="AL52" s="288">
        <f t="shared" si="55"/>
        <v>0.20149999999999998</v>
      </c>
      <c r="AM52" s="306">
        <f t="shared" si="56"/>
        <v>0.39849999999999997</v>
      </c>
      <c r="AP52" s="307">
        <f t="shared" si="57"/>
        <v>0.46259311133412012</v>
      </c>
      <c r="AQ52" s="288">
        <f t="shared" si="58"/>
        <v>1.1354558187292039</v>
      </c>
      <c r="AR52" s="308">
        <f t="shared" si="59"/>
        <v>0.7435102749087048</v>
      </c>
      <c r="AS52" s="308">
        <f t="shared" si="60"/>
        <v>0.94583853011160046</v>
      </c>
      <c r="AT52" s="309">
        <f t="shared" si="61"/>
        <v>0.68934880502030538</v>
      </c>
      <c r="AU52" s="309">
        <f t="shared" si="62"/>
        <v>0.2564897250912952</v>
      </c>
      <c r="AV52" s="309">
        <f t="shared" si="63"/>
        <v>5.4161469888399538E-2</v>
      </c>
      <c r="AW52" s="328">
        <f t="shared" si="64"/>
        <v>0.31065119497969462</v>
      </c>
    </row>
    <row r="53" spans="1:49" s="74" customFormat="1" ht="15" customHeight="1">
      <c r="A53" s="457"/>
      <c r="B53" s="136"/>
      <c r="C53" s="136"/>
      <c r="D53" s="136"/>
      <c r="E53" s="136"/>
      <c r="F53" s="136"/>
      <c r="G53" s="136"/>
      <c r="H53" s="136"/>
      <c r="I53" s="136"/>
      <c r="J53" s="454"/>
      <c r="K53" s="100"/>
      <c r="L53" s="100"/>
      <c r="M53" s="100"/>
      <c r="N53" s="100"/>
      <c r="O53" s="69"/>
      <c r="P53" s="69"/>
      <c r="R53" s="206"/>
      <c r="T53" s="89"/>
      <c r="U53" s="89"/>
      <c r="X53" s="96"/>
      <c r="Y53" s="310"/>
      <c r="Z53" s="288">
        <f t="shared" si="65"/>
        <v>0.35</v>
      </c>
      <c r="AA53" s="288">
        <f t="shared" si="44"/>
        <v>0.34210526315789469</v>
      </c>
      <c r="AB53" s="288">
        <f t="shared" si="45"/>
        <v>0.6322113344869249</v>
      </c>
      <c r="AC53" s="288">
        <f t="shared" si="46"/>
        <v>1.2157910278594712</v>
      </c>
      <c r="AD53" s="308">
        <f t="shared" si="47"/>
        <v>0.81436094726634933</v>
      </c>
      <c r="AE53" s="308">
        <f t="shared" si="48"/>
        <v>0.95722812813514591</v>
      </c>
      <c r="AF53" s="309">
        <f t="shared" si="49"/>
        <v>0.77158907540149535</v>
      </c>
      <c r="AG53" s="309">
        <f t="shared" si="50"/>
        <v>0.18563905273365067</v>
      </c>
      <c r="AH53" s="309">
        <f t="shared" si="51"/>
        <v>4.2771871864854094E-2</v>
      </c>
      <c r="AI53" s="309">
        <f t="shared" si="52"/>
        <v>0.22841092459850465</v>
      </c>
      <c r="AJ53" s="288">
        <f t="shared" si="53"/>
        <v>-0.65</v>
      </c>
      <c r="AK53" s="288">
        <f t="shared" si="54"/>
        <v>1.35</v>
      </c>
      <c r="AL53" s="288">
        <f t="shared" si="55"/>
        <v>0.25149999999999995</v>
      </c>
      <c r="AM53" s="306">
        <f t="shared" si="56"/>
        <v>0.44850000000000001</v>
      </c>
      <c r="AP53" s="307">
        <f t="shared" si="57"/>
        <v>0.54670094975850547</v>
      </c>
      <c r="AQ53" s="288">
        <f t="shared" si="58"/>
        <v>1.0513479803048185</v>
      </c>
      <c r="AR53" s="308">
        <f t="shared" si="59"/>
        <v>0.78028375174542797</v>
      </c>
      <c r="AS53" s="308">
        <f t="shared" si="60"/>
        <v>0.93147019838218426</v>
      </c>
      <c r="AT53" s="309">
        <f t="shared" si="61"/>
        <v>0.71175395012761222</v>
      </c>
      <c r="AU53" s="309">
        <f t="shared" si="62"/>
        <v>0.21971624825457203</v>
      </c>
      <c r="AV53" s="309">
        <f t="shared" si="63"/>
        <v>6.8529801617815744E-2</v>
      </c>
      <c r="AW53" s="328">
        <f t="shared" si="64"/>
        <v>0.28824604987238778</v>
      </c>
    </row>
    <row r="54" spans="1:49" s="74" customFormat="1" ht="14.25" customHeight="1">
      <c r="A54" s="541"/>
      <c r="B54" s="136"/>
      <c r="C54" s="136"/>
      <c r="D54" s="136"/>
      <c r="E54" s="136"/>
      <c r="F54" s="136"/>
      <c r="G54" s="136"/>
      <c r="H54" s="136"/>
      <c r="I54" s="136"/>
      <c r="J54" s="136"/>
      <c r="K54" s="100"/>
      <c r="L54" s="100"/>
      <c r="M54" s="100"/>
      <c r="N54" s="100"/>
      <c r="O54" s="69"/>
      <c r="P54" s="69"/>
      <c r="R54" s="91"/>
      <c r="S54" s="86"/>
      <c r="T54" s="207"/>
      <c r="U54" s="69"/>
      <c r="V54" s="86"/>
      <c r="W54" s="86"/>
      <c r="X54" s="94"/>
      <c r="Y54" s="310"/>
      <c r="Z54" s="288">
        <f t="shared" si="65"/>
        <v>0.39999999999999997</v>
      </c>
      <c r="AA54" s="288">
        <f t="shared" si="44"/>
        <v>0.39473684210526311</v>
      </c>
      <c r="AB54" s="288">
        <f t="shared" si="45"/>
        <v>0.72947461671568259</v>
      </c>
      <c r="AC54" s="288">
        <f t="shared" si="46"/>
        <v>1.1185277456307137</v>
      </c>
      <c r="AD54" s="308">
        <f t="shared" si="47"/>
        <v>0.84887781717177191</v>
      </c>
      <c r="AE54" s="308">
        <f t="shared" si="48"/>
        <v>0.94315660099403797</v>
      </c>
      <c r="AF54" s="309">
        <f t="shared" si="49"/>
        <v>0.79203441816580988</v>
      </c>
      <c r="AG54" s="309">
        <f t="shared" si="50"/>
        <v>0.15112218282822809</v>
      </c>
      <c r="AH54" s="309">
        <f t="shared" si="51"/>
        <v>5.6843399005962025E-2</v>
      </c>
      <c r="AI54" s="309">
        <f t="shared" si="52"/>
        <v>0.20796558183419012</v>
      </c>
      <c r="AJ54" s="288">
        <f t="shared" si="53"/>
        <v>-0.60000000000000009</v>
      </c>
      <c r="AK54" s="288">
        <f t="shared" si="54"/>
        <v>1.4</v>
      </c>
      <c r="AL54" s="288">
        <f t="shared" si="55"/>
        <v>0.30149999999999999</v>
      </c>
      <c r="AM54" s="306">
        <f t="shared" si="56"/>
        <v>0.49849999999999994</v>
      </c>
      <c r="AP54" s="307">
        <f t="shared" si="57"/>
        <v>0.63080878818289099</v>
      </c>
      <c r="AQ54" s="288">
        <f t="shared" si="58"/>
        <v>0.96724014188043317</v>
      </c>
      <c r="AR54" s="308">
        <f t="shared" si="59"/>
        <v>0.81382988746366514</v>
      </c>
      <c r="AS54" s="308">
        <f t="shared" si="60"/>
        <v>0.91432579252255197</v>
      </c>
      <c r="AT54" s="309">
        <f t="shared" si="61"/>
        <v>0.72815567998621722</v>
      </c>
      <c r="AU54" s="309">
        <f t="shared" si="62"/>
        <v>0.18617011253633486</v>
      </c>
      <c r="AV54" s="309">
        <f t="shared" si="63"/>
        <v>8.5674207477448028E-2</v>
      </c>
      <c r="AW54" s="328">
        <f t="shared" si="64"/>
        <v>0.27184432001378278</v>
      </c>
    </row>
    <row r="55" spans="1:49" s="74" customFormat="1" ht="15" customHeight="1">
      <c r="A55" s="541"/>
      <c r="B55" s="136"/>
      <c r="C55" s="136"/>
      <c r="D55" s="136"/>
      <c r="E55" s="136"/>
      <c r="F55" s="136"/>
      <c r="G55" s="136"/>
      <c r="H55" s="136"/>
      <c r="I55" s="136"/>
      <c r="J55" s="136"/>
      <c r="K55" s="100"/>
      <c r="L55" s="100"/>
      <c r="M55" s="100"/>
      <c r="N55" s="100"/>
      <c r="O55" s="69"/>
      <c r="P55" s="69"/>
      <c r="R55" s="86"/>
      <c r="S55" s="86"/>
      <c r="T55" s="86"/>
      <c r="U55" s="69"/>
      <c r="V55" s="86"/>
      <c r="W55" s="86"/>
      <c r="X55" s="94"/>
      <c r="Y55" s="310"/>
      <c r="Z55" s="288">
        <f t="shared" si="65"/>
        <v>0.44999999999999996</v>
      </c>
      <c r="AA55" s="288">
        <f t="shared" si="44"/>
        <v>0.44736842105263153</v>
      </c>
      <c r="AB55" s="288">
        <f t="shared" si="45"/>
        <v>0.82673789894444027</v>
      </c>
      <c r="AC55" s="288">
        <f t="shared" si="46"/>
        <v>1.0212644634019559</v>
      </c>
      <c r="AD55" s="308">
        <f t="shared" si="47"/>
        <v>0.87883516647285798</v>
      </c>
      <c r="AE55" s="308">
        <f t="shared" si="48"/>
        <v>0.92567070448369426</v>
      </c>
      <c r="AF55" s="309">
        <f t="shared" si="49"/>
        <v>0.80450587095655224</v>
      </c>
      <c r="AG55" s="309">
        <f t="shared" si="50"/>
        <v>0.12116483352714202</v>
      </c>
      <c r="AH55" s="309">
        <f t="shared" si="51"/>
        <v>7.4329295516305738E-2</v>
      </c>
      <c r="AI55" s="309">
        <f t="shared" si="52"/>
        <v>0.19549412904344776</v>
      </c>
      <c r="AJ55" s="288">
        <f t="shared" si="53"/>
        <v>-0.55000000000000004</v>
      </c>
      <c r="AK55" s="288">
        <f t="shared" si="54"/>
        <v>1.45</v>
      </c>
      <c r="AL55" s="288">
        <f t="shared" si="55"/>
        <v>0.35149999999999992</v>
      </c>
      <c r="AM55" s="306">
        <f t="shared" si="56"/>
        <v>0.54849999999999999</v>
      </c>
      <c r="AP55" s="307">
        <f t="shared" si="57"/>
        <v>0.7149166266072764</v>
      </c>
      <c r="AQ55" s="288">
        <f t="shared" si="58"/>
        <v>0.88313230345604754</v>
      </c>
      <c r="AR55" s="308">
        <f t="shared" si="59"/>
        <v>0.84400237505903131</v>
      </c>
      <c r="AS55" s="308">
        <f t="shared" si="60"/>
        <v>0.89415601890753693</v>
      </c>
      <c r="AT55" s="309">
        <f t="shared" si="61"/>
        <v>0.73815839396656813</v>
      </c>
      <c r="AU55" s="309">
        <f t="shared" si="62"/>
        <v>0.15599762494096869</v>
      </c>
      <c r="AV55" s="309">
        <f t="shared" si="63"/>
        <v>0.10584398109246307</v>
      </c>
      <c r="AW55" s="328">
        <f t="shared" si="64"/>
        <v>0.26184160603343187</v>
      </c>
    </row>
    <row r="56" spans="1:49" s="74" customFormat="1" ht="15" customHeight="1">
      <c r="A56" s="541"/>
      <c r="B56" s="136"/>
      <c r="H56" s="69"/>
      <c r="I56" s="136"/>
      <c r="J56" s="136"/>
      <c r="K56" s="69"/>
      <c r="L56" s="69"/>
      <c r="M56" s="69"/>
      <c r="N56" s="86"/>
      <c r="O56" s="69"/>
      <c r="P56" s="69"/>
      <c r="R56" s="69"/>
      <c r="S56" s="92"/>
      <c r="T56" s="93"/>
      <c r="U56" s="93"/>
      <c r="V56" s="86"/>
      <c r="W56" s="86"/>
      <c r="X56" s="94"/>
      <c r="Y56" s="310"/>
      <c r="Z56" s="288">
        <f t="shared" si="65"/>
        <v>0.49999999999999994</v>
      </c>
      <c r="AA56" s="288">
        <f t="shared" si="44"/>
        <v>0.49999999999999994</v>
      </c>
      <c r="AB56" s="288">
        <f t="shared" si="45"/>
        <v>0.92400118117319796</v>
      </c>
      <c r="AC56" s="288">
        <f t="shared" si="46"/>
        <v>0.92400118117319807</v>
      </c>
      <c r="AD56" s="308">
        <f t="shared" si="47"/>
        <v>0.90434858926932171</v>
      </c>
      <c r="AE56" s="308">
        <f t="shared" si="48"/>
        <v>0.90434858926932171</v>
      </c>
      <c r="AF56" s="309">
        <f t="shared" si="49"/>
        <v>0.80869717853864342</v>
      </c>
      <c r="AG56" s="309">
        <f t="shared" si="50"/>
        <v>9.5651410730678288E-2</v>
      </c>
      <c r="AH56" s="309">
        <f t="shared" si="51"/>
        <v>9.5651410730678288E-2</v>
      </c>
      <c r="AI56" s="309">
        <f t="shared" si="52"/>
        <v>0.19130282146135658</v>
      </c>
      <c r="AJ56" s="288">
        <f t="shared" si="53"/>
        <v>-0.5</v>
      </c>
      <c r="AK56" s="288">
        <f t="shared" si="54"/>
        <v>1.5</v>
      </c>
      <c r="AL56" s="288">
        <f t="shared" si="55"/>
        <v>0.40149999999999997</v>
      </c>
      <c r="AM56" s="306">
        <f t="shared" si="56"/>
        <v>0.59849999999999992</v>
      </c>
      <c r="AP56" s="307">
        <f t="shared" si="57"/>
        <v>0.79902446503166191</v>
      </c>
      <c r="AQ56" s="288">
        <f t="shared" si="58"/>
        <v>0.79902446503166202</v>
      </c>
      <c r="AR56" s="308">
        <f t="shared" si="59"/>
        <v>0.8707599522060443</v>
      </c>
      <c r="AS56" s="308">
        <f t="shared" si="60"/>
        <v>0.8707599522060443</v>
      </c>
      <c r="AT56" s="309">
        <f t="shared" si="61"/>
        <v>0.74151990441208859</v>
      </c>
      <c r="AU56" s="309">
        <f t="shared" si="62"/>
        <v>0.1292400477939557</v>
      </c>
      <c r="AV56" s="309">
        <f t="shared" si="63"/>
        <v>0.1292400477939557</v>
      </c>
      <c r="AW56" s="328">
        <f t="shared" si="64"/>
        <v>0.25848009558791141</v>
      </c>
    </row>
    <row r="57" spans="1:49" s="74" customFormat="1" ht="15" customHeight="1">
      <c r="I57" s="69"/>
      <c r="J57" s="69"/>
      <c r="K57" s="69"/>
      <c r="L57" s="69"/>
      <c r="M57" s="69"/>
      <c r="N57" s="86"/>
      <c r="O57" s="69"/>
      <c r="P57" s="69"/>
      <c r="R57" s="86"/>
      <c r="S57" s="93"/>
      <c r="T57" s="86"/>
      <c r="U57" s="69"/>
      <c r="V57" s="86"/>
      <c r="W57" s="86"/>
      <c r="X57" s="94"/>
      <c r="Y57" s="310"/>
      <c r="Z57" s="288">
        <f t="shared" si="65"/>
        <v>0.54999999999999993</v>
      </c>
      <c r="AA57" s="288">
        <f t="shared" si="44"/>
        <v>0.55263157894736836</v>
      </c>
      <c r="AB57" s="288">
        <f t="shared" si="45"/>
        <v>1.0212644634019556</v>
      </c>
      <c r="AC57" s="288">
        <f t="shared" si="46"/>
        <v>0.8267378989444405</v>
      </c>
      <c r="AD57" s="308">
        <f t="shared" si="47"/>
        <v>0.92567070448369426</v>
      </c>
      <c r="AE57" s="308">
        <f t="shared" si="48"/>
        <v>0.87883516647285798</v>
      </c>
      <c r="AF57" s="309">
        <f t="shared" si="49"/>
        <v>0.80450587095655224</v>
      </c>
      <c r="AG57" s="309">
        <f t="shared" si="50"/>
        <v>7.4329295516305738E-2</v>
      </c>
      <c r="AH57" s="309">
        <f t="shared" si="51"/>
        <v>0.12116483352714202</v>
      </c>
      <c r="AI57" s="309">
        <f t="shared" si="52"/>
        <v>0.19549412904344776</v>
      </c>
      <c r="AJ57" s="288">
        <f t="shared" si="53"/>
        <v>-0.45000000000000007</v>
      </c>
      <c r="AK57" s="288">
        <f t="shared" si="54"/>
        <v>1.5499999999999998</v>
      </c>
      <c r="AL57" s="288">
        <f t="shared" si="55"/>
        <v>0.4514999999999999</v>
      </c>
      <c r="AM57" s="306">
        <f t="shared" si="56"/>
        <v>0.64849999999999997</v>
      </c>
      <c r="AP57" s="307">
        <f t="shared" si="57"/>
        <v>0.88313230345604732</v>
      </c>
      <c r="AQ57" s="288">
        <f t="shared" si="58"/>
        <v>0.71491662660727662</v>
      </c>
      <c r="AR57" s="308">
        <f t="shared" si="59"/>
        <v>0.89415601890753693</v>
      </c>
      <c r="AS57" s="308">
        <f t="shared" si="60"/>
        <v>0.84400237505903131</v>
      </c>
      <c r="AT57" s="309">
        <f t="shared" si="61"/>
        <v>0.73815839396656813</v>
      </c>
      <c r="AU57" s="309">
        <f t="shared" si="62"/>
        <v>0.10584398109246307</v>
      </c>
      <c r="AV57" s="309">
        <f t="shared" si="63"/>
        <v>0.15599762494096869</v>
      </c>
      <c r="AW57" s="328">
        <f t="shared" si="64"/>
        <v>0.26184160603343187</v>
      </c>
    </row>
    <row r="58" spans="1:49" s="74" customFormat="1" ht="15" customHeight="1">
      <c r="I58" s="69"/>
      <c r="J58" s="69"/>
      <c r="K58" s="69"/>
      <c r="L58" s="69"/>
      <c r="M58" s="69"/>
      <c r="N58" s="86"/>
      <c r="O58" s="69"/>
      <c r="P58" s="69"/>
      <c r="R58" s="86"/>
      <c r="S58" s="93"/>
      <c r="T58" s="86"/>
      <c r="U58" s="69"/>
      <c r="V58" s="86"/>
      <c r="W58" s="86"/>
      <c r="X58" s="94"/>
      <c r="Y58" s="310"/>
      <c r="Z58" s="288">
        <f t="shared" si="65"/>
        <v>0.6</v>
      </c>
      <c r="AA58" s="288">
        <f t="shared" si="44"/>
        <v>0.60526315789473684</v>
      </c>
      <c r="AB58" s="288">
        <f t="shared" si="45"/>
        <v>1.1185277456307134</v>
      </c>
      <c r="AC58" s="288">
        <f t="shared" si="46"/>
        <v>0.7294746167156827</v>
      </c>
      <c r="AD58" s="308">
        <f t="shared" si="47"/>
        <v>0.94315660099403786</v>
      </c>
      <c r="AE58" s="308">
        <f t="shared" si="48"/>
        <v>0.84887781717177213</v>
      </c>
      <c r="AF58" s="309">
        <f t="shared" si="49"/>
        <v>0.79203441816581011</v>
      </c>
      <c r="AG58" s="309">
        <f t="shared" si="50"/>
        <v>5.6843399005962136E-2</v>
      </c>
      <c r="AH58" s="309">
        <f t="shared" si="51"/>
        <v>0.15112218282822787</v>
      </c>
      <c r="AI58" s="309">
        <f t="shared" si="52"/>
        <v>0.20796558183418989</v>
      </c>
      <c r="AJ58" s="288">
        <f t="shared" si="53"/>
        <v>-0.4</v>
      </c>
      <c r="AK58" s="288">
        <f t="shared" si="54"/>
        <v>1.6</v>
      </c>
      <c r="AL58" s="288">
        <f t="shared" si="55"/>
        <v>0.50149999999999995</v>
      </c>
      <c r="AM58" s="306">
        <f t="shared" si="56"/>
        <v>0.69850000000000001</v>
      </c>
      <c r="AP58" s="307">
        <f t="shared" si="57"/>
        <v>0.96724014188043295</v>
      </c>
      <c r="AQ58" s="288">
        <f t="shared" si="58"/>
        <v>0.6308087881828911</v>
      </c>
      <c r="AR58" s="308">
        <f t="shared" si="59"/>
        <v>0.91432579252255186</v>
      </c>
      <c r="AS58" s="308">
        <f t="shared" si="60"/>
        <v>0.81382988746366514</v>
      </c>
      <c r="AT58" s="309">
        <f t="shared" si="61"/>
        <v>0.728155679986217</v>
      </c>
      <c r="AU58" s="309">
        <f t="shared" si="62"/>
        <v>8.5674207477448139E-2</v>
      </c>
      <c r="AV58" s="309">
        <f t="shared" si="63"/>
        <v>0.18617011253633486</v>
      </c>
      <c r="AW58" s="328">
        <f t="shared" si="64"/>
        <v>0.271844320013783</v>
      </c>
    </row>
    <row r="59" spans="1:49" s="74" customFormat="1" ht="15" customHeight="1">
      <c r="I59" s="69"/>
      <c r="J59" s="69"/>
      <c r="K59" s="69"/>
      <c r="L59" s="69"/>
      <c r="M59" s="69"/>
      <c r="N59" s="86"/>
      <c r="O59" s="69"/>
      <c r="P59" s="69"/>
      <c r="R59" s="206"/>
      <c r="T59" s="89"/>
      <c r="U59" s="89"/>
      <c r="X59" s="96"/>
      <c r="Y59" s="310"/>
      <c r="Z59" s="288">
        <f t="shared" si="65"/>
        <v>0.65</v>
      </c>
      <c r="AA59" s="288">
        <f t="shared" si="44"/>
        <v>0.65789473684210531</v>
      </c>
      <c r="AB59" s="288">
        <f t="shared" si="45"/>
        <v>1.2157910278594712</v>
      </c>
      <c r="AC59" s="288">
        <f t="shared" si="46"/>
        <v>0.6322113344869249</v>
      </c>
      <c r="AD59" s="308">
        <f t="shared" si="47"/>
        <v>0.95722812813514591</v>
      </c>
      <c r="AE59" s="308">
        <f t="shared" si="48"/>
        <v>0.81436094726634933</v>
      </c>
      <c r="AF59" s="309">
        <f t="shared" si="49"/>
        <v>0.77158907540149535</v>
      </c>
      <c r="AG59" s="309">
        <f t="shared" si="50"/>
        <v>4.2771871864854094E-2</v>
      </c>
      <c r="AH59" s="309">
        <f t="shared" si="51"/>
        <v>0.18563905273365067</v>
      </c>
      <c r="AI59" s="309">
        <f t="shared" si="52"/>
        <v>0.22841092459850465</v>
      </c>
      <c r="AJ59" s="288">
        <f t="shared" si="53"/>
        <v>-0.35</v>
      </c>
      <c r="AK59" s="288">
        <f t="shared" si="54"/>
        <v>1.65</v>
      </c>
      <c r="AL59" s="288">
        <f t="shared" si="55"/>
        <v>0.55149999999999999</v>
      </c>
      <c r="AM59" s="306">
        <f t="shared" si="56"/>
        <v>0.74850000000000005</v>
      </c>
      <c r="AP59" s="307">
        <f t="shared" si="57"/>
        <v>1.0513479803048185</v>
      </c>
      <c r="AQ59" s="288">
        <f t="shared" si="58"/>
        <v>0.54670094975850547</v>
      </c>
      <c r="AR59" s="308">
        <f t="shared" si="59"/>
        <v>0.93147019838218426</v>
      </c>
      <c r="AS59" s="308">
        <f t="shared" si="60"/>
        <v>0.78028375174542797</v>
      </c>
      <c r="AT59" s="309">
        <f t="shared" si="61"/>
        <v>0.71175395012761222</v>
      </c>
      <c r="AU59" s="309">
        <f t="shared" si="62"/>
        <v>6.8529801617815744E-2</v>
      </c>
      <c r="AV59" s="309">
        <f t="shared" si="63"/>
        <v>0.21971624825457203</v>
      </c>
      <c r="AW59" s="328">
        <f t="shared" si="64"/>
        <v>0.28824604987238778</v>
      </c>
    </row>
    <row r="60" spans="1:49" s="74" customFormat="1" ht="15" customHeight="1">
      <c r="I60" s="69"/>
      <c r="J60" s="69"/>
      <c r="K60" s="69"/>
      <c r="L60" s="69"/>
      <c r="M60" s="69"/>
      <c r="N60" s="86"/>
      <c r="O60" s="69"/>
      <c r="P60" s="69"/>
      <c r="R60" s="206"/>
      <c r="T60" s="89"/>
      <c r="U60" s="89"/>
      <c r="X60" s="96"/>
      <c r="Y60" s="310"/>
      <c r="Z60" s="288">
        <f t="shared" si="65"/>
        <v>0.70000000000000007</v>
      </c>
      <c r="AA60" s="288">
        <f t="shared" si="44"/>
        <v>0.71052631578947378</v>
      </c>
      <c r="AB60" s="288">
        <f t="shared" si="45"/>
        <v>1.3130543100882288</v>
      </c>
      <c r="AC60" s="288">
        <f t="shared" si="46"/>
        <v>0.53494805225816711</v>
      </c>
      <c r="AD60" s="308">
        <f t="shared" si="47"/>
        <v>0.96834009217269856</v>
      </c>
      <c r="AE60" s="308">
        <f t="shared" si="48"/>
        <v>0.77533448827920881</v>
      </c>
      <c r="AF60" s="309">
        <f t="shared" si="49"/>
        <v>0.74367458045190737</v>
      </c>
      <c r="AG60" s="309">
        <f t="shared" si="50"/>
        <v>3.1659907827301437E-2</v>
      </c>
      <c r="AH60" s="309">
        <f t="shared" si="51"/>
        <v>0.22466551172079119</v>
      </c>
      <c r="AI60" s="309">
        <f t="shared" si="52"/>
        <v>0.25632541954809263</v>
      </c>
      <c r="AJ60" s="288">
        <f t="shared" si="53"/>
        <v>-0.29999999999999993</v>
      </c>
      <c r="AK60" s="288">
        <f t="shared" si="54"/>
        <v>1.7000000000000002</v>
      </c>
      <c r="AL60" s="288">
        <f t="shared" si="55"/>
        <v>0.60150000000000003</v>
      </c>
      <c r="AM60" s="306">
        <f t="shared" si="56"/>
        <v>0.7985000000000001</v>
      </c>
      <c r="AP60" s="307">
        <f t="shared" si="57"/>
        <v>1.1354558187292039</v>
      </c>
      <c r="AQ60" s="288">
        <f t="shared" si="58"/>
        <v>0.46259311133411996</v>
      </c>
      <c r="AR60" s="308">
        <f t="shared" si="59"/>
        <v>0.94583853011160046</v>
      </c>
      <c r="AS60" s="308">
        <f t="shared" si="60"/>
        <v>0.7435102749087048</v>
      </c>
      <c r="AT60" s="309">
        <f t="shared" si="61"/>
        <v>0.68934880502030538</v>
      </c>
      <c r="AU60" s="309">
        <f t="shared" si="62"/>
        <v>5.4161469888399538E-2</v>
      </c>
      <c r="AV60" s="309">
        <f t="shared" si="63"/>
        <v>0.2564897250912952</v>
      </c>
      <c r="AW60" s="328">
        <f t="shared" si="64"/>
        <v>0.31065119497969462</v>
      </c>
    </row>
    <row r="61" spans="1:49" s="74" customFormat="1" ht="15" customHeight="1">
      <c r="C61" s="86"/>
      <c r="D61" s="95"/>
      <c r="E61" s="86"/>
      <c r="F61" s="86"/>
      <c r="G61" s="94"/>
      <c r="H61" s="69"/>
      <c r="I61" s="69"/>
      <c r="J61" s="69"/>
      <c r="K61" s="69"/>
      <c r="L61" s="69"/>
      <c r="M61" s="69"/>
      <c r="N61" s="86"/>
      <c r="O61" s="69"/>
      <c r="P61" s="69"/>
      <c r="R61" s="206"/>
      <c r="T61" s="89"/>
      <c r="U61" s="89"/>
      <c r="X61" s="96"/>
      <c r="Y61" s="310"/>
      <c r="Z61" s="288">
        <f t="shared" si="65"/>
        <v>0.75000000000000011</v>
      </c>
      <c r="AA61" s="288">
        <f t="shared" si="44"/>
        <v>0.76315789473684226</v>
      </c>
      <c r="AB61" s="288">
        <f t="shared" si="45"/>
        <v>1.4103175923169866</v>
      </c>
      <c r="AC61" s="288">
        <f t="shared" si="46"/>
        <v>0.43768477002940931</v>
      </c>
      <c r="AD61" s="308">
        <f t="shared" si="47"/>
        <v>0.97695074518934044</v>
      </c>
      <c r="AE61" s="308">
        <f t="shared" si="48"/>
        <v>0.73203514625731658</v>
      </c>
      <c r="AF61" s="309">
        <f t="shared" si="49"/>
        <v>0.70898589144665713</v>
      </c>
      <c r="AG61" s="309">
        <f t="shared" si="50"/>
        <v>2.3049254810659559E-2</v>
      </c>
      <c r="AH61" s="309">
        <f t="shared" si="51"/>
        <v>0.26796485374268342</v>
      </c>
      <c r="AI61" s="309">
        <f t="shared" si="52"/>
        <v>0.29101410855334287</v>
      </c>
      <c r="AJ61" s="288">
        <f t="shared" si="53"/>
        <v>-0.24999999999999989</v>
      </c>
      <c r="AK61" s="288">
        <f t="shared" si="54"/>
        <v>1.75</v>
      </c>
      <c r="AL61" s="288">
        <f t="shared" si="55"/>
        <v>0.65150000000000008</v>
      </c>
      <c r="AM61" s="306">
        <f t="shared" si="56"/>
        <v>0.84850000000000014</v>
      </c>
      <c r="AP61" s="307">
        <f t="shared" si="57"/>
        <v>1.2195636571535895</v>
      </c>
      <c r="AQ61" s="288">
        <f t="shared" si="58"/>
        <v>0.37848527290973438</v>
      </c>
      <c r="AR61" s="308">
        <f t="shared" si="59"/>
        <v>0.95771132699621031</v>
      </c>
      <c r="AS61" s="308">
        <f t="shared" si="60"/>
        <v>0.70376461467898699</v>
      </c>
      <c r="AT61" s="309">
        <f t="shared" si="61"/>
        <v>0.66147594167519719</v>
      </c>
      <c r="AU61" s="309">
        <f t="shared" si="62"/>
        <v>4.228867300378969E-2</v>
      </c>
      <c r="AV61" s="309">
        <f t="shared" si="63"/>
        <v>0.29623538532101301</v>
      </c>
      <c r="AW61" s="328">
        <f t="shared" si="64"/>
        <v>0.33852405832480281</v>
      </c>
    </row>
    <row r="62" spans="1:49" s="74" customFormat="1" ht="15" customHeight="1">
      <c r="A62" s="94"/>
      <c r="B62" s="86"/>
      <c r="C62" s="86"/>
      <c r="D62" s="95"/>
      <c r="E62" s="86"/>
      <c r="F62" s="86"/>
      <c r="G62" s="94"/>
      <c r="H62" s="69"/>
      <c r="I62" s="69"/>
      <c r="J62" s="69"/>
      <c r="K62" s="69"/>
      <c r="L62" s="69"/>
      <c r="M62" s="69"/>
      <c r="N62" s="86"/>
      <c r="O62" s="69"/>
      <c r="P62" s="69"/>
      <c r="R62" s="206"/>
      <c r="T62" s="89"/>
      <c r="U62" s="89"/>
      <c r="X62" s="96"/>
      <c r="Y62" s="310"/>
      <c r="Z62" s="288">
        <f t="shared" si="65"/>
        <v>0.80000000000000016</v>
      </c>
      <c r="AA62" s="288">
        <f t="shared" si="44"/>
        <v>0.81578947368421062</v>
      </c>
      <c r="AB62" s="288">
        <f t="shared" si="45"/>
        <v>1.5075808745457444</v>
      </c>
      <c r="AC62" s="288">
        <f t="shared" si="46"/>
        <v>0.34042148780065179</v>
      </c>
      <c r="AD62" s="308">
        <f t="shared" si="47"/>
        <v>0.98349827285550639</v>
      </c>
      <c r="AE62" s="308">
        <f t="shared" si="48"/>
        <v>0.68489407295367455</v>
      </c>
      <c r="AF62" s="309">
        <f t="shared" si="49"/>
        <v>0.66839234580918094</v>
      </c>
      <c r="AG62" s="309">
        <f t="shared" si="50"/>
        <v>1.6501727144493605E-2</v>
      </c>
      <c r="AH62" s="309">
        <f t="shared" si="51"/>
        <v>0.31510592704632545</v>
      </c>
      <c r="AI62" s="309">
        <f t="shared" si="52"/>
        <v>0.33160765419081906</v>
      </c>
      <c r="AJ62" s="288">
        <f t="shared" si="53"/>
        <v>-0.19999999999999984</v>
      </c>
      <c r="AK62" s="288">
        <f t="shared" si="54"/>
        <v>1.8000000000000003</v>
      </c>
      <c r="AL62" s="288">
        <f t="shared" si="55"/>
        <v>0.70150000000000012</v>
      </c>
      <c r="AM62" s="306">
        <f t="shared" si="56"/>
        <v>0.89850000000000019</v>
      </c>
      <c r="AP62" s="307">
        <f t="shared" si="57"/>
        <v>1.3036714955779751</v>
      </c>
      <c r="AQ62" s="288">
        <f t="shared" si="58"/>
        <v>0.29437743448534903</v>
      </c>
      <c r="AR62" s="308">
        <f t="shared" si="59"/>
        <v>0.96738436222968927</v>
      </c>
      <c r="AS62" s="308">
        <f t="shared" si="60"/>
        <v>0.66140934857344691</v>
      </c>
      <c r="AT62" s="309">
        <f t="shared" si="61"/>
        <v>0.62879371080313629</v>
      </c>
      <c r="AU62" s="309">
        <f t="shared" si="62"/>
        <v>3.2615637770310735E-2</v>
      </c>
      <c r="AV62" s="309">
        <f t="shared" si="63"/>
        <v>0.33859065142655309</v>
      </c>
      <c r="AW62" s="328">
        <f t="shared" si="64"/>
        <v>0.37120628919686371</v>
      </c>
    </row>
    <row r="63" spans="1:49" s="74" customFormat="1" ht="15" customHeight="1">
      <c r="A63" s="94"/>
      <c r="B63" s="86"/>
      <c r="C63" s="86"/>
      <c r="D63" s="95"/>
      <c r="E63" s="86"/>
      <c r="F63" s="86"/>
      <c r="G63" s="94"/>
      <c r="H63" s="69"/>
      <c r="I63" s="69"/>
      <c r="J63" s="69"/>
      <c r="K63" s="69"/>
      <c r="L63" s="69"/>
      <c r="M63" s="69"/>
      <c r="N63" s="86"/>
      <c r="O63" s="69"/>
      <c r="P63" s="69"/>
      <c r="R63" s="206"/>
      <c r="T63" s="89"/>
      <c r="U63" s="89"/>
      <c r="X63" s="96"/>
      <c r="Y63" s="310"/>
      <c r="Z63" s="288">
        <f t="shared" si="65"/>
        <v>0.8500000000000002</v>
      </c>
      <c r="AA63" s="288">
        <f t="shared" si="44"/>
        <v>0.8684210526315792</v>
      </c>
      <c r="AB63" s="288">
        <f t="shared" si="45"/>
        <v>1.6048441567745022</v>
      </c>
      <c r="AC63" s="288">
        <f t="shared" si="46"/>
        <v>0.24315820557189374</v>
      </c>
      <c r="AD63" s="308">
        <f t="shared" si="47"/>
        <v>0.98838383498252602</v>
      </c>
      <c r="AE63" s="308">
        <f t="shared" si="48"/>
        <v>0.634530842622266</v>
      </c>
      <c r="AF63" s="309">
        <f t="shared" si="49"/>
        <v>0.62291467760479202</v>
      </c>
      <c r="AG63" s="309">
        <f t="shared" si="50"/>
        <v>1.1616165017473978E-2</v>
      </c>
      <c r="AH63" s="309">
        <f t="shared" si="51"/>
        <v>0.365469157377734</v>
      </c>
      <c r="AI63" s="309">
        <f t="shared" si="52"/>
        <v>0.37708532239520798</v>
      </c>
      <c r="AJ63" s="288">
        <f t="shared" si="53"/>
        <v>-0.1499999999999998</v>
      </c>
      <c r="AK63" s="288">
        <f t="shared" si="54"/>
        <v>1.85</v>
      </c>
      <c r="AL63" s="288">
        <f t="shared" si="55"/>
        <v>0.75150000000000017</v>
      </c>
      <c r="AM63" s="306">
        <f t="shared" si="56"/>
        <v>0.94850000000000023</v>
      </c>
      <c r="AP63" s="307">
        <f t="shared" si="57"/>
        <v>1.3877793340023608</v>
      </c>
      <c r="AQ63" s="288">
        <f t="shared" si="58"/>
        <v>0.21026959606096327</v>
      </c>
      <c r="AR63" s="308">
        <f t="shared" si="59"/>
        <v>0.97515461082556487</v>
      </c>
      <c r="AS63" s="308">
        <f t="shared" si="60"/>
        <v>0.61690649447081292</v>
      </c>
      <c r="AT63" s="309">
        <f t="shared" si="61"/>
        <v>0.59206110529637779</v>
      </c>
      <c r="AU63" s="309">
        <f t="shared" si="62"/>
        <v>2.4845389174435129E-2</v>
      </c>
      <c r="AV63" s="309">
        <f t="shared" si="63"/>
        <v>0.38309350552918708</v>
      </c>
      <c r="AW63" s="328">
        <f t="shared" si="64"/>
        <v>0.40793889470362221</v>
      </c>
    </row>
    <row r="64" spans="1:49" s="74" customFormat="1" ht="15" customHeight="1">
      <c r="A64" s="94"/>
      <c r="B64" s="86"/>
      <c r="C64" s="86"/>
      <c r="D64" s="95"/>
      <c r="E64" s="86"/>
      <c r="F64" s="86"/>
      <c r="G64" s="94"/>
      <c r="H64" s="69"/>
      <c r="I64" s="69"/>
      <c r="J64" s="69"/>
      <c r="K64" s="69"/>
      <c r="L64" s="69"/>
      <c r="M64" s="69"/>
      <c r="N64" s="86"/>
      <c r="O64" s="69"/>
      <c r="P64" s="69"/>
      <c r="R64" s="206"/>
      <c r="T64" s="89"/>
      <c r="U64" s="89"/>
      <c r="X64" s="96"/>
      <c r="Y64" s="310"/>
      <c r="Z64" s="288">
        <f t="shared" si="65"/>
        <v>0.90000000000000024</v>
      </c>
      <c r="AA64" s="288">
        <f t="shared" si="44"/>
        <v>0.92105263157894757</v>
      </c>
      <c r="AB64" s="288">
        <f t="shared" si="45"/>
        <v>1.7021074390032598</v>
      </c>
      <c r="AC64" s="288">
        <f t="shared" si="46"/>
        <v>0.14589492334313617</v>
      </c>
      <c r="AD64" s="308">
        <f t="shared" si="47"/>
        <v>0.99196107241913678</v>
      </c>
      <c r="AE64" s="308">
        <f t="shared" si="48"/>
        <v>0.58173209103536805</v>
      </c>
      <c r="AF64" s="309">
        <f t="shared" si="49"/>
        <v>0.57369316345450483</v>
      </c>
      <c r="AG64" s="309">
        <f t="shared" si="50"/>
        <v>8.0389275808632199E-3</v>
      </c>
      <c r="AH64" s="309">
        <f t="shared" si="51"/>
        <v>0.41826790896463195</v>
      </c>
      <c r="AI64" s="309">
        <f t="shared" si="52"/>
        <v>0.42630683654549517</v>
      </c>
      <c r="AJ64" s="288">
        <f t="shared" si="53"/>
        <v>-9.9999999999999756E-2</v>
      </c>
      <c r="AK64" s="288">
        <f t="shared" si="54"/>
        <v>1.9000000000000004</v>
      </c>
      <c r="AL64" s="288">
        <f t="shared" si="55"/>
        <v>0.80150000000000021</v>
      </c>
      <c r="AM64" s="306">
        <f t="shared" si="56"/>
        <v>0.99850000000000028</v>
      </c>
      <c r="AP64" s="307">
        <f t="shared" si="57"/>
        <v>1.4718871724267459</v>
      </c>
      <c r="AQ64" s="288">
        <f t="shared" si="58"/>
        <v>0.12616175763657789</v>
      </c>
      <c r="AR64" s="308">
        <f t="shared" si="59"/>
        <v>0.9813087854218685</v>
      </c>
      <c r="AS64" s="308">
        <f t="shared" si="60"/>
        <v>0.5708032981285508</v>
      </c>
      <c r="AT64" s="309">
        <f t="shared" si="61"/>
        <v>0.55211208355041919</v>
      </c>
      <c r="AU64" s="309">
        <f t="shared" si="62"/>
        <v>1.8691214578131499E-2</v>
      </c>
      <c r="AV64" s="309">
        <f t="shared" si="63"/>
        <v>0.4291967018714492</v>
      </c>
      <c r="AW64" s="328">
        <f t="shared" si="64"/>
        <v>0.44788791644958081</v>
      </c>
    </row>
    <row r="65" spans="1:49" s="74" customFormat="1" ht="15" customHeight="1">
      <c r="A65" s="94"/>
      <c r="B65" s="86"/>
      <c r="C65" s="86"/>
      <c r="D65" s="95"/>
      <c r="E65" s="86"/>
      <c r="F65" s="86"/>
      <c r="G65" s="94"/>
      <c r="H65" s="69"/>
      <c r="I65" s="69"/>
      <c r="J65" s="69"/>
      <c r="K65" s="69"/>
      <c r="L65" s="69"/>
      <c r="M65" s="69"/>
      <c r="N65" s="86"/>
      <c r="O65" s="69"/>
      <c r="P65" s="69"/>
      <c r="R65" s="206"/>
      <c r="T65" s="89"/>
      <c r="U65" s="89"/>
      <c r="X65" s="96"/>
      <c r="Y65" s="310"/>
      <c r="Z65" s="288">
        <f t="shared" si="65"/>
        <v>0.95000000000000029</v>
      </c>
      <c r="AA65" s="288">
        <f t="shared" si="44"/>
        <v>0.97368421052631604</v>
      </c>
      <c r="AB65" s="288">
        <f t="shared" si="45"/>
        <v>1.7993707212320176</v>
      </c>
      <c r="AC65" s="288">
        <f t="shared" si="46"/>
        <v>4.8631641114378385E-2</v>
      </c>
      <c r="AD65" s="308">
        <f t="shared" si="47"/>
        <v>0.99453133019329054</v>
      </c>
      <c r="AE65" s="308">
        <f t="shared" si="48"/>
        <v>0.52741585048150164</v>
      </c>
      <c r="AF65" s="309">
        <f t="shared" si="49"/>
        <v>0.52194718067479218</v>
      </c>
      <c r="AG65" s="309">
        <f t="shared" si="50"/>
        <v>5.4686698067094586E-3</v>
      </c>
      <c r="AH65" s="309">
        <f t="shared" si="51"/>
        <v>0.47258414951849836</v>
      </c>
      <c r="AI65" s="309">
        <f t="shared" si="52"/>
        <v>0.47805281932520782</v>
      </c>
      <c r="AJ65" s="288">
        <f t="shared" si="53"/>
        <v>-4.9999999999999711E-2</v>
      </c>
      <c r="AK65" s="288">
        <f t="shared" si="54"/>
        <v>1.9500000000000002</v>
      </c>
      <c r="AL65" s="288">
        <f t="shared" si="55"/>
        <v>0.85150000000000026</v>
      </c>
      <c r="AM65" s="306">
        <f t="shared" si="56"/>
        <v>1.0485000000000002</v>
      </c>
      <c r="AP65" s="307">
        <f t="shared" si="57"/>
        <v>1.5559950108511316</v>
      </c>
      <c r="AQ65" s="288">
        <f t="shared" si="58"/>
        <v>4.2053919212192335E-2</v>
      </c>
      <c r="AR65" s="308">
        <f t="shared" si="59"/>
        <v>0.98611460658027417</v>
      </c>
      <c r="AS65" s="308">
        <f t="shared" si="60"/>
        <v>0.52371240362621041</v>
      </c>
      <c r="AT65" s="309">
        <f t="shared" si="61"/>
        <v>0.50982701020648458</v>
      </c>
      <c r="AU65" s="309">
        <f t="shared" si="62"/>
        <v>1.3885393419725833E-2</v>
      </c>
      <c r="AV65" s="309">
        <f t="shared" si="63"/>
        <v>0.47628759637378959</v>
      </c>
      <c r="AW65" s="328">
        <f t="shared" si="64"/>
        <v>0.49017298979351542</v>
      </c>
    </row>
    <row r="66" spans="1:49" s="74" customFormat="1" ht="15" customHeight="1">
      <c r="A66" s="94"/>
      <c r="B66" s="86"/>
      <c r="C66" s="86"/>
      <c r="D66" s="95"/>
      <c r="E66" s="86"/>
      <c r="F66" s="86"/>
      <c r="G66" s="94"/>
      <c r="H66" s="69"/>
      <c r="I66" s="69"/>
      <c r="J66" s="69"/>
      <c r="K66" s="69"/>
      <c r="L66" s="69"/>
      <c r="M66" s="69"/>
      <c r="N66" s="86"/>
      <c r="O66" s="69"/>
      <c r="P66" s="69"/>
      <c r="R66" s="206"/>
      <c r="T66" s="89"/>
      <c r="U66" s="89"/>
      <c r="X66" s="96"/>
      <c r="Y66" s="310"/>
      <c r="Z66" s="288">
        <f t="shared" si="65"/>
        <v>1.0000000000000002</v>
      </c>
      <c r="AA66" s="288">
        <f t="shared" si="44"/>
        <v>1.0263157894736845</v>
      </c>
      <c r="AB66" s="288">
        <f t="shared" si="45"/>
        <v>1.8966340034607754</v>
      </c>
      <c r="AC66" s="288">
        <f t="shared" si="46"/>
        <v>-4.8631641114379405E-2</v>
      </c>
      <c r="AD66" s="308">
        <f t="shared" si="47"/>
        <v>0.9963435116496604</v>
      </c>
      <c r="AE66" s="308" t="e">
        <f t="shared" si="48"/>
        <v>#NUM!</v>
      </c>
      <c r="AF66" s="309" t="e">
        <f t="shared" si="49"/>
        <v>#NUM!</v>
      </c>
      <c r="AG66" s="309">
        <f t="shared" si="50"/>
        <v>3.656488350339604E-3</v>
      </c>
      <c r="AH66" s="309" t="e">
        <f t="shared" si="51"/>
        <v>#NUM!</v>
      </c>
      <c r="AI66" s="309" t="e">
        <f t="shared" si="52"/>
        <v>#NUM!</v>
      </c>
      <c r="AJ66" s="288">
        <f t="shared" si="53"/>
        <v>0</v>
      </c>
      <c r="AK66" s="288">
        <f t="shared" si="54"/>
        <v>2</v>
      </c>
      <c r="AL66" s="288">
        <f t="shared" si="55"/>
        <v>0.90150000000000019</v>
      </c>
      <c r="AM66" s="306">
        <f t="shared" si="56"/>
        <v>1.0985000000000003</v>
      </c>
      <c r="AP66" s="307">
        <f t="shared" si="57"/>
        <v>1.6401028492755172</v>
      </c>
      <c r="AQ66" s="288">
        <f t="shared" si="58"/>
        <v>-4.2053919212193223E-2</v>
      </c>
      <c r="AR66" s="308">
        <f t="shared" si="59"/>
        <v>0.98981482856449665</v>
      </c>
      <c r="AS66" s="308" t="e">
        <f t="shared" si="60"/>
        <v>#NUM!</v>
      </c>
      <c r="AT66" s="309" t="e">
        <f t="shared" si="61"/>
        <v>#NUM!</v>
      </c>
      <c r="AU66" s="309">
        <f t="shared" si="62"/>
        <v>1.0185171435503348E-2</v>
      </c>
      <c r="AV66" s="309" t="e">
        <f t="shared" si="63"/>
        <v>#NUM!</v>
      </c>
      <c r="AW66" s="328" t="e">
        <f t="shared" si="64"/>
        <v>#NUM!</v>
      </c>
    </row>
    <row r="67" spans="1:49" s="74" customFormat="1">
      <c r="A67" s="94"/>
      <c r="B67" s="86"/>
      <c r="I67" s="69"/>
      <c r="J67" s="69"/>
      <c r="R67" s="206"/>
      <c r="T67" s="89"/>
      <c r="U67" s="89"/>
      <c r="X67" s="96"/>
      <c r="Y67" s="310"/>
      <c r="Z67" s="288">
        <f t="shared" si="65"/>
        <v>1.0500000000000003</v>
      </c>
      <c r="AA67" s="288">
        <f t="shared" si="44"/>
        <v>1.0789473684210529</v>
      </c>
      <c r="AB67" s="288">
        <f t="shared" si="45"/>
        <v>1.9938972856895329</v>
      </c>
      <c r="AC67" s="288">
        <f t="shared" si="46"/>
        <v>-0.145894923343137</v>
      </c>
      <c r="AD67" s="308">
        <f t="shared" si="47"/>
        <v>0.99759729480664761</v>
      </c>
      <c r="AE67" s="308" t="e">
        <f t="shared" si="48"/>
        <v>#NUM!</v>
      </c>
      <c r="AF67" s="309" t="e">
        <f t="shared" si="49"/>
        <v>#NUM!</v>
      </c>
      <c r="AG67" s="309">
        <f t="shared" si="50"/>
        <v>2.4027051933523946E-3</v>
      </c>
      <c r="AH67" s="309" t="e">
        <f t="shared" si="51"/>
        <v>#NUM!</v>
      </c>
      <c r="AI67" s="309" t="e">
        <f t="shared" si="52"/>
        <v>#NUM!</v>
      </c>
      <c r="AJ67" s="288">
        <f t="shared" si="53"/>
        <v>5.0000000000000266E-2</v>
      </c>
      <c r="AK67" s="288">
        <f t="shared" si="54"/>
        <v>2.0500000000000003</v>
      </c>
      <c r="AL67" s="288">
        <f t="shared" si="55"/>
        <v>0.95150000000000023</v>
      </c>
      <c r="AM67" s="306">
        <f t="shared" si="56"/>
        <v>1.1485000000000003</v>
      </c>
      <c r="AP67" s="307">
        <f t="shared" si="57"/>
        <v>1.7242106876999024</v>
      </c>
      <c r="AQ67" s="288">
        <f t="shared" si="58"/>
        <v>-0.12616175763657861</v>
      </c>
      <c r="AR67" s="308">
        <f t="shared" si="59"/>
        <v>0.99262382343096034</v>
      </c>
      <c r="AS67" s="308" t="e">
        <f t="shared" si="60"/>
        <v>#NUM!</v>
      </c>
      <c r="AT67" s="309" t="e">
        <f t="shared" si="61"/>
        <v>#NUM!</v>
      </c>
      <c r="AU67" s="309">
        <f t="shared" si="62"/>
        <v>7.3761765690396608E-3</v>
      </c>
      <c r="AV67" s="309" t="e">
        <f t="shared" si="63"/>
        <v>#NUM!</v>
      </c>
      <c r="AW67" s="328" t="e">
        <f t="shared" si="64"/>
        <v>#NUM!</v>
      </c>
    </row>
    <row r="68" spans="1:49" s="74" customFormat="1">
      <c r="R68" s="206"/>
      <c r="T68" s="89"/>
      <c r="U68" s="89"/>
      <c r="X68" s="96"/>
      <c r="Y68" s="310"/>
      <c r="Z68" s="288">
        <f t="shared" si="65"/>
        <v>1.1000000000000003</v>
      </c>
      <c r="AA68" s="288">
        <f t="shared" si="44"/>
        <v>1.1315789473684212</v>
      </c>
      <c r="AB68" s="288">
        <f t="shared" si="45"/>
        <v>2.091160567918291</v>
      </c>
      <c r="AC68" s="288">
        <f t="shared" si="46"/>
        <v>-0.24315820557189458</v>
      </c>
      <c r="AD68" s="308">
        <f t="shared" si="47"/>
        <v>0.998448509652621</v>
      </c>
      <c r="AE68" s="308" t="e">
        <f t="shared" si="48"/>
        <v>#NUM!</v>
      </c>
      <c r="AF68" s="309" t="e">
        <f t="shared" si="49"/>
        <v>#NUM!</v>
      </c>
      <c r="AG68" s="309">
        <f t="shared" si="50"/>
        <v>1.5514903473790032E-3</v>
      </c>
      <c r="AH68" s="309" t="e">
        <f t="shared" si="51"/>
        <v>#NUM!</v>
      </c>
      <c r="AI68" s="309" t="e">
        <f t="shared" si="52"/>
        <v>#NUM!</v>
      </c>
      <c r="AJ68" s="288">
        <f t="shared" si="53"/>
        <v>0.10000000000000031</v>
      </c>
      <c r="AK68" s="288">
        <f t="shared" si="54"/>
        <v>2.1000000000000005</v>
      </c>
      <c r="AL68" s="288">
        <f t="shared" si="55"/>
        <v>1.0015000000000003</v>
      </c>
      <c r="AM68" s="306">
        <f t="shared" si="56"/>
        <v>1.1985000000000003</v>
      </c>
      <c r="AP68" s="307">
        <f t="shared" si="57"/>
        <v>1.808318526124288</v>
      </c>
      <c r="AQ68" s="288">
        <f t="shared" si="58"/>
        <v>-0.21026959606096399</v>
      </c>
      <c r="AR68" s="308">
        <f t="shared" si="59"/>
        <v>0.99472632640173497</v>
      </c>
      <c r="AS68" s="308" t="e">
        <f t="shared" si="60"/>
        <v>#NUM!</v>
      </c>
      <c r="AT68" s="309" t="e">
        <f t="shared" si="61"/>
        <v>#NUM!</v>
      </c>
      <c r="AU68" s="309">
        <f t="shared" si="62"/>
        <v>5.2736735982650274E-3</v>
      </c>
      <c r="AV68" s="309" t="e">
        <f t="shared" si="63"/>
        <v>#NUM!</v>
      </c>
      <c r="AW68" s="328" t="e">
        <f t="shared" si="64"/>
        <v>#NUM!</v>
      </c>
    </row>
    <row r="69" spans="1:49" s="74" customFormat="1">
      <c r="R69" s="206"/>
      <c r="T69" s="89"/>
      <c r="U69" s="89"/>
      <c r="X69" s="96"/>
      <c r="Y69" s="310"/>
      <c r="Z69" s="288">
        <f t="shared" si="65"/>
        <v>1.1500000000000004</v>
      </c>
      <c r="AA69" s="288">
        <f t="shared" si="44"/>
        <v>1.1842105263157898</v>
      </c>
      <c r="AB69" s="288">
        <f t="shared" si="45"/>
        <v>2.1884238501470485</v>
      </c>
      <c r="AC69" s="288">
        <f t="shared" si="46"/>
        <v>-0.34042148780065251</v>
      </c>
      <c r="AD69" s="308">
        <f t="shared" si="47"/>
        <v>0.9990155993177452</v>
      </c>
      <c r="AE69" s="308" t="e">
        <f t="shared" si="48"/>
        <v>#NUM!</v>
      </c>
      <c r="AF69" s="309" t="e">
        <f t="shared" si="49"/>
        <v>#NUM!</v>
      </c>
      <c r="AG69" s="309">
        <f t="shared" si="50"/>
        <v>9.8440068225480459E-4</v>
      </c>
      <c r="AH69" s="309" t="e">
        <f t="shared" si="51"/>
        <v>#NUM!</v>
      </c>
      <c r="AI69" s="309" t="e">
        <f t="shared" si="52"/>
        <v>#NUM!</v>
      </c>
      <c r="AJ69" s="288">
        <f t="shared" si="53"/>
        <v>0.15000000000000036</v>
      </c>
      <c r="AK69" s="288">
        <f t="shared" si="54"/>
        <v>2.1500000000000004</v>
      </c>
      <c r="AL69" s="288">
        <f t="shared" si="55"/>
        <v>1.0515000000000003</v>
      </c>
      <c r="AM69" s="306">
        <f t="shared" si="56"/>
        <v>1.2485000000000004</v>
      </c>
      <c r="AP69" s="329">
        <f t="shared" si="57"/>
        <v>1.8924263645486736</v>
      </c>
      <c r="AQ69" s="312">
        <f t="shared" si="58"/>
        <v>-0.2943774344853497</v>
      </c>
      <c r="AR69" s="313">
        <f t="shared" si="59"/>
        <v>0.99627794569382178</v>
      </c>
      <c r="AS69" s="313" t="e">
        <f t="shared" si="60"/>
        <v>#NUM!</v>
      </c>
      <c r="AT69" s="314" t="e">
        <f t="shared" si="61"/>
        <v>#NUM!</v>
      </c>
      <c r="AU69" s="314">
        <f t="shared" si="62"/>
        <v>3.7220543061782241E-3</v>
      </c>
      <c r="AV69" s="314" t="e">
        <f t="shared" si="63"/>
        <v>#NUM!</v>
      </c>
      <c r="AW69" s="330" t="e">
        <f t="shared" si="64"/>
        <v>#NUM!</v>
      </c>
    </row>
    <row r="70" spans="1:49" s="74" customFormat="1">
      <c r="R70" s="206"/>
      <c r="T70" s="89"/>
      <c r="U70" s="89"/>
      <c r="X70" s="96"/>
      <c r="Y70" s="310"/>
      <c r="Z70" s="288">
        <f t="shared" si="65"/>
        <v>1.2000000000000004</v>
      </c>
      <c r="AA70" s="288">
        <f t="shared" si="44"/>
        <v>1.2368421052631584</v>
      </c>
      <c r="AB70" s="288">
        <f t="shared" si="45"/>
        <v>2.2856871323758066</v>
      </c>
      <c r="AC70" s="288">
        <f t="shared" si="46"/>
        <v>-0.43768477002941053</v>
      </c>
      <c r="AD70" s="308">
        <f t="shared" si="47"/>
        <v>0.99938633136175103</v>
      </c>
      <c r="AE70" s="308" t="e">
        <f t="shared" si="48"/>
        <v>#NUM!</v>
      </c>
      <c r="AF70" s="309" t="e">
        <f t="shared" si="49"/>
        <v>#NUM!</v>
      </c>
      <c r="AG70" s="309">
        <f t="shared" si="50"/>
        <v>6.1366863824896534E-4</v>
      </c>
      <c r="AH70" s="309" t="e">
        <f t="shared" si="51"/>
        <v>#NUM!</v>
      </c>
      <c r="AI70" s="309" t="e">
        <f t="shared" si="52"/>
        <v>#NUM!</v>
      </c>
      <c r="AJ70" s="288">
        <f t="shared" si="53"/>
        <v>0.2000000000000004</v>
      </c>
      <c r="AK70" s="288">
        <f t="shared" si="54"/>
        <v>2.2000000000000002</v>
      </c>
      <c r="AL70" s="288">
        <f t="shared" si="55"/>
        <v>1.1015000000000004</v>
      </c>
      <c r="AM70" s="306">
        <f t="shared" si="56"/>
        <v>1.2985000000000004</v>
      </c>
    </row>
    <row r="71" spans="1:49" s="74" customFormat="1">
      <c r="R71" s="206"/>
      <c r="T71" s="89"/>
      <c r="U71" s="89"/>
      <c r="X71" s="96"/>
      <c r="Y71" s="311"/>
      <c r="Z71" s="312">
        <f t="shared" si="65"/>
        <v>1.2500000000000004</v>
      </c>
      <c r="AA71" s="312">
        <f t="shared" si="44"/>
        <v>1.2894736842105268</v>
      </c>
      <c r="AB71" s="312">
        <f t="shared" si="45"/>
        <v>2.3829504146045641</v>
      </c>
      <c r="AC71" s="312">
        <f t="shared" si="46"/>
        <v>-0.53494805225816811</v>
      </c>
      <c r="AD71" s="313">
        <f t="shared" si="47"/>
        <v>0.9996241601581457</v>
      </c>
      <c r="AE71" s="313" t="e">
        <f t="shared" si="48"/>
        <v>#NUM!</v>
      </c>
      <c r="AF71" s="314" t="e">
        <f t="shared" si="49"/>
        <v>#NUM!</v>
      </c>
      <c r="AG71" s="314">
        <f t="shared" si="50"/>
        <v>3.7583984185429742E-4</v>
      </c>
      <c r="AH71" s="314" t="e">
        <f t="shared" si="51"/>
        <v>#NUM!</v>
      </c>
      <c r="AI71" s="314" t="e">
        <f t="shared" si="52"/>
        <v>#NUM!</v>
      </c>
      <c r="AJ71" s="312">
        <f t="shared" si="53"/>
        <v>0.25000000000000044</v>
      </c>
      <c r="AK71" s="312">
        <f t="shared" si="54"/>
        <v>2.2500000000000004</v>
      </c>
      <c r="AL71" s="312">
        <f t="shared" si="55"/>
        <v>1.1515000000000004</v>
      </c>
      <c r="AM71" s="315">
        <f t="shared" si="56"/>
        <v>1.3485000000000005</v>
      </c>
    </row>
    <row r="72" spans="1:49">
      <c r="B72" s="74"/>
      <c r="I72" s="74"/>
      <c r="J72" s="74"/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conditionalFormatting sqref="G7">
    <cfRule type="cellIs" dxfId="8" priority="2" stopIfTrue="1" operator="lessThan">
      <formula>$G$8</formula>
    </cfRule>
  </conditionalFormatting>
  <hyperlinks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Avago Technologies&amp;R </oddHeader>
    <oddFooter>&amp;L&amp;F   &amp;A &amp;CAvago Technologies&amp;RPrinted &amp;T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1"/>
    <pageSetUpPr autoPageBreaks="0" fitToPage="1"/>
  </sheetPr>
  <dimension ref="A1:AW72"/>
  <sheetViews>
    <sheetView showGridLines="0" showOutlineSymbols="0" zoomScale="67" zoomScaleNormal="70" workbookViewId="0">
      <pane ySplit="3300" topLeftCell="A28" activePane="bottomLeft"/>
      <selection activeCell="W3" sqref="W3"/>
      <selection pane="bottomLeft" activeCell="O68" sqref="O68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6.8554687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7.710937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5703125" style="14" bestFit="1" customWidth="1"/>
    <col min="45" max="45" width="7.140625" style="14" bestFit="1" customWidth="1"/>
    <col min="46" max="46" width="9.5703125" style="14" bestFit="1" customWidth="1"/>
    <col min="47" max="48" width="5.85546875" style="14" bestFit="1" customWidth="1"/>
    <col min="49" max="49" width="9.570312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2" t="str">
        <f>'10GbE Notes'!A1</f>
        <v>10GEPBud3_1_16a.xls</v>
      </c>
      <c r="S1" s="753"/>
      <c r="T1" s="753"/>
      <c r="U1" s="753"/>
      <c r="V1" s="167" t="s">
        <v>221</v>
      </c>
      <c r="W1" s="750">
        <f>'10GbE Notes'!E2</f>
        <v>37181</v>
      </c>
      <c r="X1" s="751"/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1.4121581866436037</v>
      </c>
    </row>
    <row r="2" spans="1:44">
      <c r="A2" s="117" t="s">
        <v>337</v>
      </c>
      <c r="B2" s="118" t="s">
        <v>215</v>
      </c>
      <c r="C2" s="458" t="s">
        <v>216</v>
      </c>
      <c r="D2" s="459"/>
      <c r="E2" s="5"/>
      <c r="F2" s="460" t="s">
        <v>341</v>
      </c>
      <c r="G2" s="529">
        <f>BaseOM4!G2</f>
        <v>21</v>
      </c>
      <c r="H2" s="459" t="s">
        <v>219</v>
      </c>
      <c r="I2" s="351" t="s">
        <v>211</v>
      </c>
      <c r="J2" s="759" t="s">
        <v>39</v>
      </c>
      <c r="K2" s="759"/>
      <c r="L2" s="760" t="s">
        <v>195</v>
      </c>
      <c r="M2" s="761"/>
      <c r="N2" s="140"/>
      <c r="O2" s="461" t="s">
        <v>348</v>
      </c>
      <c r="P2" s="530">
        <f>BaseOM4!P2</f>
        <v>3.5</v>
      </c>
      <c r="Q2" s="130" t="s">
        <v>349</v>
      </c>
      <c r="R2" s="110"/>
      <c r="S2" s="359"/>
      <c r="T2" s="145" t="s">
        <v>220</v>
      </c>
      <c r="U2" s="146" t="str">
        <f>'10GbE Notes'!F16</f>
        <v>3.1.16a</v>
      </c>
      <c r="V2" s="248" t="s">
        <v>221</v>
      </c>
      <c r="W2" s="757">
        <f>'10GbE Notes'!D16</f>
        <v>37195</v>
      </c>
      <c r="X2" s="758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0.43571484732516064</v>
      </c>
    </row>
    <row r="3" spans="1:44" ht="15" customHeight="1">
      <c r="A3" s="120"/>
      <c r="B3" s="121" t="s">
        <v>237</v>
      </c>
      <c r="C3" s="525">
        <f>BaseOM4!Q</f>
        <v>3.8904999999999998</v>
      </c>
      <c r="D3" s="122"/>
      <c r="E3" s="7"/>
      <c r="F3" s="196" t="s">
        <v>342</v>
      </c>
      <c r="G3" s="514">
        <f>G2*1.518</f>
        <v>31.878</v>
      </c>
      <c r="H3" s="463" t="s">
        <v>219</v>
      </c>
      <c r="I3" s="241" t="s">
        <v>308</v>
      </c>
      <c r="J3" s="5"/>
      <c r="K3" s="461" t="s">
        <v>217</v>
      </c>
      <c r="L3" s="783">
        <f>L4+10*L5</f>
        <v>7.0000000000000007E-2</v>
      </c>
      <c r="M3" s="130" t="s">
        <v>218</v>
      </c>
      <c r="N3" s="149" t="s">
        <v>347</v>
      </c>
      <c r="O3" s="134" t="s">
        <v>350</v>
      </c>
      <c r="P3" s="549">
        <f>IF(Uc&lt;1000,850,1310)</f>
        <v>850</v>
      </c>
      <c r="Q3" s="122" t="s">
        <v>334</v>
      </c>
      <c r="R3" s="464"/>
      <c r="S3" s="366" t="s">
        <v>70</v>
      </c>
      <c r="T3" s="522">
        <f>BaseOM4!T3</f>
        <v>-11.2</v>
      </c>
      <c r="U3" s="465" t="s">
        <v>326</v>
      </c>
      <c r="V3" s="168" t="s">
        <v>242</v>
      </c>
      <c r="W3" s="532">
        <f>AO39</f>
        <v>0.16967962398781555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1.8316073099569907</v>
      </c>
      <c r="AH3" s="21" t="s">
        <v>239</v>
      </c>
      <c r="AI3" s="86"/>
      <c r="AJ3" s="126" t="s">
        <v>73</v>
      </c>
      <c r="AK3" s="369">
        <f>ERF(AK1)+ERF(AK2)-1</f>
        <v>0.41641835064116806</v>
      </c>
    </row>
    <row r="4" spans="1:44" ht="15" customHeight="1">
      <c r="A4" s="11"/>
      <c r="B4" s="123" t="s">
        <v>247</v>
      </c>
      <c r="C4" s="519">
        <f>BaseOM4!C4</f>
        <v>25781.25</v>
      </c>
      <c r="D4" s="466" t="s">
        <v>248</v>
      </c>
      <c r="E4" s="7"/>
      <c r="F4" s="134" t="s">
        <v>340</v>
      </c>
      <c r="G4" s="523">
        <f>BaseOM4!G4</f>
        <v>-128</v>
      </c>
      <c r="H4" s="467" t="s">
        <v>246</v>
      </c>
      <c r="I4" s="468" t="s">
        <v>344</v>
      </c>
      <c r="J4" s="7"/>
      <c r="K4" s="196" t="s">
        <v>226</v>
      </c>
      <c r="L4" s="784">
        <v>0.02</v>
      </c>
      <c r="M4" s="463" t="s">
        <v>218</v>
      </c>
      <c r="N4" s="120"/>
      <c r="O4" s="196" t="s">
        <v>227</v>
      </c>
      <c r="P4" s="550">
        <f>IF(Uc&gt;1000,$P$2/1.4846,$P$2/3.5)</f>
        <v>1</v>
      </c>
      <c r="Q4" s="122"/>
      <c r="R4" s="367" t="s">
        <v>266</v>
      </c>
      <c r="S4" s="198" t="s">
        <v>236</v>
      </c>
      <c r="T4" s="515">
        <v>-12</v>
      </c>
      <c r="U4" s="469" t="s">
        <v>232</v>
      </c>
      <c r="V4" s="170" t="s">
        <v>355</v>
      </c>
      <c r="W4" s="360"/>
      <c r="X4" s="209" t="str">
        <f>$L$3&amp;" km"</f>
        <v>0.07 km</v>
      </c>
      <c r="Y4" s="96"/>
      <c r="AA4" s="126" t="s">
        <v>233</v>
      </c>
      <c r="AB4" s="200">
        <f>0.7*$P$8*$C$7</f>
        <v>4.3154999999999992E-2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0.9904103184782308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0.41641835064116806</v>
      </c>
    </row>
    <row r="5" spans="1:44" ht="15" customHeight="1">
      <c r="A5" s="117" t="s">
        <v>338</v>
      </c>
      <c r="B5" s="7"/>
      <c r="C5" s="136"/>
      <c r="D5" s="7"/>
      <c r="E5" s="7"/>
      <c r="F5" s="196" t="s">
        <v>251</v>
      </c>
      <c r="G5" s="456">
        <f>G4-2*C11</f>
        <v>-135.32059991327961</v>
      </c>
      <c r="H5" s="470" t="s">
        <v>246</v>
      </c>
      <c r="I5" s="471" t="s">
        <v>345</v>
      </c>
      <c r="J5" s="110"/>
      <c r="K5" s="472" t="s">
        <v>230</v>
      </c>
      <c r="L5" s="661">
        <v>5.0000000000000001E-3</v>
      </c>
      <c r="M5" s="133" t="s">
        <v>218</v>
      </c>
      <c r="N5" s="120"/>
      <c r="O5" s="473" t="s">
        <v>348</v>
      </c>
      <c r="P5" s="550">
        <f>$P$4*((1/(0.00094*Uc)^4)+1.05)</f>
        <v>3.622595119239568</v>
      </c>
      <c r="Q5" s="122" t="s">
        <v>349</v>
      </c>
      <c r="R5" s="474"/>
      <c r="S5" s="473" t="s">
        <v>252</v>
      </c>
      <c r="T5" s="524">
        <f>BaseOM4!T5</f>
        <v>18047</v>
      </c>
      <c r="U5" s="463" t="s">
        <v>253</v>
      </c>
      <c r="V5" s="475" t="s">
        <v>43</v>
      </c>
      <c r="W5" s="731">
        <f>BaseOM4!W5</f>
        <v>19335.9375</v>
      </c>
      <c r="X5" s="476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0.95742630021911834</v>
      </c>
      <c r="AH5" s="194" t="s">
        <v>239</v>
      </c>
      <c r="AI5" s="86"/>
    </row>
    <row r="6" spans="1:44" ht="15" customHeight="1">
      <c r="A6" s="120"/>
      <c r="B6" s="121" t="s">
        <v>346</v>
      </c>
      <c r="C6" s="520">
        <f>BaseOM4!Uc</f>
        <v>840</v>
      </c>
      <c r="D6" s="198" t="s">
        <v>334</v>
      </c>
      <c r="E6" s="7"/>
      <c r="F6" s="196" t="s">
        <v>235</v>
      </c>
      <c r="G6" s="376">
        <v>0.7</v>
      </c>
      <c r="H6" s="122"/>
      <c r="I6" s="7"/>
      <c r="J6" s="7"/>
      <c r="K6" s="473" t="s">
        <v>343</v>
      </c>
      <c r="L6" s="197">
        <f>C8-T3</f>
        <v>8.1999999999999993</v>
      </c>
      <c r="M6" s="136" t="s">
        <v>232</v>
      </c>
      <c r="N6" s="120"/>
      <c r="O6" s="134" t="s">
        <v>350</v>
      </c>
      <c r="P6" s="549">
        <f>Uc</f>
        <v>840</v>
      </c>
      <c r="Q6" s="122" t="s">
        <v>334</v>
      </c>
      <c r="R6" s="478"/>
      <c r="S6" s="134" t="s">
        <v>260</v>
      </c>
      <c r="T6" s="27">
        <v>329</v>
      </c>
      <c r="U6" s="318" t="s">
        <v>255</v>
      </c>
      <c r="V6" s="479"/>
      <c r="W6" s="403"/>
      <c r="X6" s="480"/>
      <c r="Y6" s="96"/>
      <c r="AA6" s="196" t="s">
        <v>222</v>
      </c>
      <c r="AB6" s="197">
        <f>10^(C9/10)</f>
        <v>2.5118332385550612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3.1042139953125166E-3</v>
      </c>
      <c r="AH6" s="288" t="s">
        <v>140</v>
      </c>
      <c r="AI6" s="86"/>
    </row>
    <row r="7" spans="1:44" ht="15" customHeight="1">
      <c r="A7" s="120"/>
      <c r="B7" s="410" t="s">
        <v>179</v>
      </c>
      <c r="C7" s="521">
        <f>BaseOM4!C7</f>
        <v>0.6</v>
      </c>
      <c r="D7" s="198" t="s">
        <v>334</v>
      </c>
      <c r="E7" s="543"/>
      <c r="F7" s="499" t="s">
        <v>451</v>
      </c>
      <c r="G7" s="773">
        <v>21.410676290975569</v>
      </c>
      <c r="H7" s="318" t="str">
        <f>IF(G9&lt;0,"should not be &lt; DCD!","ps inc. DCD")</f>
        <v>ps inc. DCD</v>
      </c>
      <c r="I7" s="7"/>
      <c r="J7" s="7"/>
      <c r="K7" s="481" t="s">
        <v>65</v>
      </c>
      <c r="L7" s="521">
        <f>BaseOM4!L7</f>
        <v>1.5</v>
      </c>
      <c r="M7" s="136" t="s">
        <v>232</v>
      </c>
      <c r="N7" s="120"/>
      <c r="O7" s="473" t="s">
        <v>333</v>
      </c>
      <c r="P7" s="523">
        <f>BaseOM4!P7</f>
        <v>1316</v>
      </c>
      <c r="Q7" s="122" t="s">
        <v>334</v>
      </c>
      <c r="R7" s="478"/>
      <c r="S7" s="134" t="s">
        <v>256</v>
      </c>
      <c r="T7" s="456">
        <f>$T$6*1000/$T$5</f>
        <v>18.230176760680447</v>
      </c>
      <c r="U7" s="122" t="s">
        <v>219</v>
      </c>
      <c r="V7" s="482" t="s">
        <v>331</v>
      </c>
      <c r="W7" s="7"/>
      <c r="X7" s="161"/>
      <c r="Y7" s="96"/>
      <c r="AA7" s="196" t="s">
        <v>228</v>
      </c>
      <c r="AB7" s="197">
        <f>(ER+1)/(ER-1)</f>
        <v>2.3228972276806834</v>
      </c>
      <c r="AC7" s="198" t="s">
        <v>214</v>
      </c>
      <c r="AD7" s="21"/>
      <c r="AF7" s="282" t="s">
        <v>315</v>
      </c>
      <c r="AG7" s="289">
        <f>(1-10^(-Pmn/5))/(Q*Q)</f>
        <v>3.8134235714390409E-3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521">
        <f>BaseOM4!C8</f>
        <v>-3</v>
      </c>
      <c r="D8" s="7" t="s">
        <v>326</v>
      </c>
      <c r="E8" s="7"/>
      <c r="F8" s="473" t="s">
        <v>249</v>
      </c>
      <c r="G8" s="523">
        <f>BaseOM4!G8</f>
        <v>1.9393939393939394</v>
      </c>
      <c r="H8" s="122" t="s">
        <v>131</v>
      </c>
      <c r="I8" s="7"/>
      <c r="J8" s="7"/>
      <c r="K8" s="483" t="s">
        <v>238</v>
      </c>
      <c r="L8" s="198">
        <f>$L$6-$L$7</f>
        <v>6.6999999999999993</v>
      </c>
      <c r="M8" s="136" t="s">
        <v>232</v>
      </c>
      <c r="N8" s="484"/>
      <c r="O8" s="473" t="s">
        <v>130</v>
      </c>
      <c r="P8" s="704">
        <f>BaseOM4!P8</f>
        <v>0.10274999999999999</v>
      </c>
      <c r="Q8" s="122" t="s">
        <v>354</v>
      </c>
      <c r="R8" s="478"/>
      <c r="S8" s="485" t="s">
        <v>54</v>
      </c>
      <c r="T8" s="154">
        <f>$G$14*10^6/$C$4</f>
        <v>7.7575757575757551</v>
      </c>
      <c r="U8" s="122" t="s">
        <v>219</v>
      </c>
      <c r="V8" s="149" t="s">
        <v>356</v>
      </c>
      <c r="W8" s="486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17.014949494949494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513">
        <f>10*LOG10((2*AB12+AB11)/(2*AB12-AB11))</f>
        <v>3.9999080306699346</v>
      </c>
      <c r="D9" s="198" t="s">
        <v>232</v>
      </c>
      <c r="E9" s="7"/>
      <c r="F9" s="196" t="s">
        <v>339</v>
      </c>
      <c r="G9" s="487">
        <f>(10^-6)*($G$7-$G$8)*$L$11</f>
        <v>0.52841473487022506</v>
      </c>
      <c r="H9" s="470" t="s">
        <v>332</v>
      </c>
      <c r="I9" s="7"/>
      <c r="J9" s="7"/>
      <c r="K9" s="196" t="s">
        <v>254</v>
      </c>
      <c r="L9" s="488">
        <v>480</v>
      </c>
      <c r="M9" s="7" t="s">
        <v>255</v>
      </c>
      <c r="N9" s="120"/>
      <c r="O9" s="196" t="s">
        <v>129</v>
      </c>
      <c r="P9" s="550">
        <f>0.25*$P$8*Uc*(1-(Uo/Uc)^4)</f>
        <v>-108.41177997222221</v>
      </c>
      <c r="Q9" s="470" t="s">
        <v>223</v>
      </c>
      <c r="R9" s="478"/>
      <c r="S9" s="485" t="s">
        <v>52</v>
      </c>
      <c r="T9" s="489"/>
      <c r="U9" s="318" t="s">
        <v>53</v>
      </c>
      <c r="V9" s="490" t="s">
        <v>51</v>
      </c>
      <c r="W9" s="197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1.682272440868382</v>
      </c>
      <c r="AC9" s="197" t="s">
        <v>229</v>
      </c>
      <c r="AD9" s="194"/>
      <c r="AE9" s="74"/>
      <c r="AF9" s="74" t="s">
        <v>45</v>
      </c>
      <c r="AG9" s="322">
        <f>SQRT(H17^2+$AG$8^2)</f>
        <v>36.139414778899557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521">
        <f>BaseOM4!C10</f>
        <v>-2.35</v>
      </c>
      <c r="D10" s="7" t="s">
        <v>326</v>
      </c>
      <c r="E10" s="7"/>
      <c r="F10" s="196" t="s">
        <v>258</v>
      </c>
      <c r="G10" s="352">
        <v>0.3</v>
      </c>
      <c r="H10" s="122"/>
      <c r="I10" s="7"/>
      <c r="J10" s="7"/>
      <c r="K10" s="26" t="s">
        <v>336</v>
      </c>
      <c r="L10" s="141">
        <v>0</v>
      </c>
      <c r="M10" s="469" t="s">
        <v>239</v>
      </c>
      <c r="N10" s="120"/>
      <c r="O10" s="491"/>
      <c r="P10" s="9"/>
      <c r="Q10" s="318"/>
      <c r="R10" s="478"/>
      <c r="S10" s="483" t="s">
        <v>353</v>
      </c>
      <c r="T10" s="525">
        <f>BaseOM4!T10</f>
        <v>2.5000000000000001E-2</v>
      </c>
      <c r="U10" s="492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1.6066711375876841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197">
        <f>10*LOG10(AB7)</f>
        <v>3.660299956639808</v>
      </c>
      <c r="D11" s="7" t="s">
        <v>229</v>
      </c>
      <c r="E11" s="7"/>
      <c r="F11" s="196" t="s">
        <v>259</v>
      </c>
      <c r="G11" s="493">
        <f>$AG$12-2.519*SQRT($AG$6)</f>
        <v>0.10355681732905583</v>
      </c>
      <c r="H11" s="494"/>
      <c r="I11" s="7"/>
      <c r="J11" s="7"/>
      <c r="K11" s="481" t="s">
        <v>351</v>
      </c>
      <c r="L11" s="462">
        <f>1/((1/$C$4)-$G$8*10^-6)</f>
        <v>27138.15789473684</v>
      </c>
      <c r="M11" s="198" t="s">
        <v>248</v>
      </c>
      <c r="N11" s="120"/>
      <c r="O11" s="481" t="str">
        <f>IF(L2="SMF","PolMD DGDmax","(not in use)")</f>
        <v>(not in use)</v>
      </c>
      <c r="P11" s="352">
        <v>10</v>
      </c>
      <c r="Q11" s="495" t="str">
        <f>IF(L2="SMF","ps at target "&amp;L3&amp;M3,"")</f>
        <v/>
      </c>
      <c r="R11" s="478"/>
      <c r="S11" s="7"/>
      <c r="T11" s="27"/>
      <c r="U11" s="496"/>
      <c r="V11" s="786" t="s">
        <v>135</v>
      </c>
      <c r="W11" s="644">
        <f>-10*LOG10(ERF(AQ39)+ERF(AR39) - 1)</f>
        <v>4.8679467495552888</v>
      </c>
      <c r="X11" s="133" t="s">
        <v>229</v>
      </c>
      <c r="Y11" s="96"/>
      <c r="AA11" s="134" t="s">
        <v>62</v>
      </c>
      <c r="AB11" s="10">
        <f>10^(($C$8/10)+3)</f>
        <v>501.18723362727269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0.24120189638108019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114">
        <v>-12</v>
      </c>
      <c r="H12" s="127" t="s">
        <v>232</v>
      </c>
      <c r="I12" s="7"/>
      <c r="J12" s="7"/>
      <c r="K12" s="121" t="s">
        <v>317</v>
      </c>
      <c r="L12" s="10">
        <f>1000000/$L$11</f>
        <v>36.848484848484851</v>
      </c>
      <c r="M12" s="7" t="s">
        <v>219</v>
      </c>
      <c r="N12" s="120"/>
      <c r="O12" s="116" t="s">
        <v>224</v>
      </c>
      <c r="P12" s="782">
        <v>2000</v>
      </c>
      <c r="Q12" s="318" t="s">
        <v>225</v>
      </c>
      <c r="R12" s="153"/>
      <c r="S12" s="151" t="s">
        <v>352</v>
      </c>
      <c r="T12" s="19">
        <f>10*LOG10(1/SQRT(1-(Q*SD_blw)^2))</f>
        <v>2.0639897068902759E-2</v>
      </c>
      <c r="U12" s="155" t="s">
        <v>232</v>
      </c>
      <c r="V12" s="536"/>
      <c r="W12" s="537"/>
      <c r="X12" s="416" t="s">
        <v>261</v>
      </c>
      <c r="Y12" s="70"/>
      <c r="AA12" s="94" t="s">
        <v>244</v>
      </c>
      <c r="AB12" s="193">
        <f>1000*10^(C10/10)</f>
        <v>582.10321777087142</v>
      </c>
      <c r="AC12" s="86" t="s">
        <v>245</v>
      </c>
      <c r="AD12" s="74"/>
      <c r="AE12" s="74"/>
      <c r="AF12" s="126" t="s">
        <v>48</v>
      </c>
      <c r="AG12" s="321">
        <f>ERF(AG10)+ERF(AG11)-1</f>
        <v>0.24390409525602608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525">
        <f>BaseOM4!G13</f>
        <v>0.12909999999999999</v>
      </c>
      <c r="H13" s="125" t="s">
        <v>232</v>
      </c>
      <c r="I13" s="110"/>
      <c r="J13" s="110"/>
      <c r="K13" s="123" t="s">
        <v>357</v>
      </c>
      <c r="L13" s="30">
        <f>(10^-6)*$T$8*$L$11</f>
        <v>0.21052631578947359</v>
      </c>
      <c r="M13" s="240" t="s">
        <v>325</v>
      </c>
      <c r="N13" s="11"/>
      <c r="O13" s="138" t="s">
        <v>241</v>
      </c>
      <c r="P13" s="785">
        <f>IF(L2="SMF",1000000*L3/(3*P11),P12)</f>
        <v>2000</v>
      </c>
      <c r="Q13" s="133" t="s">
        <v>225</v>
      </c>
      <c r="R13" s="157"/>
      <c r="S13" s="143" t="s">
        <v>265</v>
      </c>
      <c r="T13" s="31">
        <f>10*LOG10(1/SQRT(1-(Q*SD_blw/$AG$5)^2))</f>
        <v>2.2526054156101684E-2</v>
      </c>
      <c r="U13" s="144" t="s">
        <v>232</v>
      </c>
      <c r="V13" s="538"/>
      <c r="W13" s="738"/>
      <c r="X13" s="417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8" t="s">
        <v>270</v>
      </c>
      <c r="AH13" s="749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110">
        <f>2*(0.5-$C$13)</f>
        <v>0.19999999999999996</v>
      </c>
      <c r="H14" s="133" t="s">
        <v>325</v>
      </c>
      <c r="I14" s="96"/>
      <c r="J14" s="701" t="s">
        <v>267</v>
      </c>
      <c r="K14" s="582" t="s">
        <v>25</v>
      </c>
      <c r="L14" s="703" t="s">
        <v>316</v>
      </c>
      <c r="M14" s="589" t="s">
        <v>316</v>
      </c>
      <c r="N14" s="355" t="s">
        <v>67</v>
      </c>
      <c r="O14" s="361"/>
      <c r="P14" s="361"/>
      <c r="Q14" s="361"/>
      <c r="R14" s="652"/>
      <c r="S14" s="32" t="s">
        <v>283</v>
      </c>
      <c r="T14" s="203" t="s">
        <v>284</v>
      </c>
      <c r="U14" s="597" t="s">
        <v>66</v>
      </c>
      <c r="V14" s="32" t="s">
        <v>286</v>
      </c>
      <c r="W14" s="358"/>
      <c r="X14" s="418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582" t="s">
        <v>268</v>
      </c>
      <c r="L15" s="20" t="s">
        <v>288</v>
      </c>
      <c r="M15" s="590" t="s">
        <v>268</v>
      </c>
      <c r="N15" s="256" t="s">
        <v>288</v>
      </c>
      <c r="O15" s="70" t="s">
        <v>279</v>
      </c>
      <c r="P15" s="64" t="s">
        <v>280</v>
      </c>
      <c r="Q15" s="64" t="s">
        <v>281</v>
      </c>
      <c r="R15" s="644" t="s">
        <v>282</v>
      </c>
      <c r="S15" s="356" t="s">
        <v>288</v>
      </c>
      <c r="T15" s="276" t="s">
        <v>288</v>
      </c>
      <c r="U15" s="598" t="s">
        <v>268</v>
      </c>
      <c r="V15" s="256" t="s">
        <v>288</v>
      </c>
      <c r="W15" s="357" t="s">
        <v>242</v>
      </c>
      <c r="X15" s="533" t="s">
        <v>207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702" t="s">
        <v>305</v>
      </c>
      <c r="K16" s="583" t="s">
        <v>302</v>
      </c>
      <c r="L16" s="650" t="s">
        <v>302</v>
      </c>
      <c r="M16" s="591" t="s">
        <v>302</v>
      </c>
      <c r="N16" s="258" t="s">
        <v>302</v>
      </c>
      <c r="O16" s="147"/>
      <c r="P16" s="158"/>
      <c r="Q16" s="158" t="s">
        <v>302</v>
      </c>
      <c r="R16" s="650" t="s">
        <v>302</v>
      </c>
      <c r="S16" s="158" t="s">
        <v>302</v>
      </c>
      <c r="T16" s="204" t="s">
        <v>302</v>
      </c>
      <c r="U16" s="599" t="s">
        <v>303</v>
      </c>
      <c r="V16" s="158" t="s">
        <v>303</v>
      </c>
      <c r="W16" s="172" t="s">
        <v>302</v>
      </c>
      <c r="X16" s="142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4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-0.21682355994444441</v>
      </c>
      <c r="E17" s="44">
        <f t="shared" ref="E17:E38" si="3">A17*$AB$4</f>
        <v>8.6309999999999992E-5</v>
      </c>
      <c r="F17" s="129">
        <f t="shared" ref="F17:F38" si="4">(0.187/$C$7)*10^6/(SQRT(D17^2+E17^2))</f>
        <v>1437420.5554680745</v>
      </c>
      <c r="G17" s="45">
        <f t="shared" ref="G17:G38" si="5">$P$13/A17</f>
        <v>1000000</v>
      </c>
      <c r="H17" s="46">
        <f t="shared" ref="H17:H38" si="6">SQRT((1000*C_1/F17)^2+(1000*C_1/G17)^2+$G$3^2)</f>
        <v>31.883362342225791</v>
      </c>
      <c r="I17" s="46">
        <f t="shared" ref="I17:I38" si="7">SQRT(H17^2+$T$7^2)</f>
        <v>36.727212512948967</v>
      </c>
      <c r="J17" s="646">
        <f t="shared" ref="J17:J38" si="8">-10*LOG10(2*Z17 - 1)</f>
        <v>2.1973580655922587</v>
      </c>
      <c r="K17" s="584">
        <f t="shared" ref="K17:K38" si="9">-10*LOG10(AB17)-J17</f>
        <v>0.24154660246521065</v>
      </c>
      <c r="L17" s="646">
        <f t="shared" ref="L17:L38" si="10">-10*LOG10(AD17)-J17</f>
        <v>1.714103090358988</v>
      </c>
      <c r="M17" s="592">
        <f t="shared" ref="M17:M38" si="11">-10*LOG10(AC17)-J17-K17</f>
        <v>3.8044164933089766</v>
      </c>
      <c r="N17" s="262"/>
      <c r="O17" s="129">
        <f t="shared" ref="O17:O38" si="12">(10^-6)*3.14*$L$11*D17*$C$7</f>
        <v>-1.1085817737554274E-2</v>
      </c>
      <c r="P17" s="44">
        <f t="shared" ref="P17:P38" si="13">($G$10/SQRT(2))*(1-EXP(-1*O17^2))</f>
        <v>2.606843977212655E-5</v>
      </c>
      <c r="Q17" s="44">
        <f t="shared" ref="Q17:Q38" si="14">10*LOG10(1/SQRT(1-(Q*P17)^2))</f>
        <v>2.2335476925216865E-8</v>
      </c>
      <c r="R17" s="646"/>
      <c r="S17" s="44">
        <f>-10*LOG10(SQRT(1-Q*Q*(((SD_blw/AC17)^2)+AK17+Vmn+(P17*P17))))-$T$13-Q17-R17-Pmn</f>
        <v>0.40306623885126358</v>
      </c>
      <c r="T17" s="205">
        <f>J17+L17+B17+Q17+S17+Pmn</f>
        <v>4.4508726073764668</v>
      </c>
      <c r="U17" s="600">
        <f>J17+K17+B17+Q17+S17+Pmn+M17</f>
        <v>6.7827326127916656</v>
      </c>
      <c r="V17" s="174">
        <f t="shared" ref="V17:V38" si="15">T17-B17</f>
        <v>4.4436274171379875</v>
      </c>
      <c r="W17" s="175">
        <f t="shared" ref="W17:W38" si="16">$L$8-T17</f>
        <v>2.2491273926235325</v>
      </c>
      <c r="X17" s="412">
        <f t="shared" ref="X17:X38" si="17">$C$8-C17-(Q17+N17+R17+S17/2+Pmn) -$W$3</f>
        <v>-5.0075579559874033</v>
      </c>
      <c r="Y17" s="47">
        <f t="shared" ref="Y17:Y38" si="18">B_1*Tb_eff/(SQRT(8)*I17)</f>
        <v>0.90914944892422245</v>
      </c>
      <c r="Z17" s="49">
        <f t="shared" ref="Z17:Z38" si="19">IF(ABS(Y17)&lt;10,SIGN(Y17)*ERF(ABS(Y17)),SIGN(Y17))</f>
        <v>0.80146312569200873</v>
      </c>
      <c r="AA17" s="370">
        <f>$AD17</f>
        <v>0.40630660691288645</v>
      </c>
      <c r="AB17" s="43">
        <f t="shared" ref="AB17:AB38" si="20">ERF(AE17)+ERF(AF17)-1</f>
        <v>0.57030809126242854</v>
      </c>
      <c r="AC17" s="47">
        <f t="shared" ref="AC17:AC38" si="21">ERF(AG17)+ERF(AH17)-1</f>
        <v>0.23750233506725071</v>
      </c>
      <c r="AD17" s="47">
        <f t="shared" ref="AD17:AD38" si="22">ERF(AI17)+ERF(AJ17)-1</f>
        <v>0.40630660691288645</v>
      </c>
      <c r="AE17" s="50">
        <f t="shared" ref="AE17:AE38" si="23">MAX(MIN(B_1*Tb_eff*($L$13+1)/(SQRT(8)*$I17),10),-10)</f>
        <v>1.1005493329082692</v>
      </c>
      <c r="AF17" s="50">
        <f t="shared" ref="AF17:AF38" si="24">MAX(MIN(B_1*Tb_eff*(1-$L$13)/(SQRT(8)*$I17),10),-10)</f>
        <v>0.71774956494017572</v>
      </c>
      <c r="AG17" s="50">
        <f t="shared" ref="AG17:AG38" si="25">MAX(MIN(B_1*Tb_eff*($L$13+$G$9+1)/(SQRT(8)*$I17),10),-10)</f>
        <v>1.5809572979189737</v>
      </c>
      <c r="AH17" s="50">
        <f t="shared" ref="AH17:AH38" si="26">MAX(MIN(B_1*Tb_eff*(1-$L$13-$G$9)/(SQRT(8)*$I17),10),-10)</f>
        <v>0.23734159992947151</v>
      </c>
      <c r="AI17" s="50">
        <f t="shared" ref="AI17:AI38" si="27">MAX(MIN(B_1*Tb_eff*($G$9+1)/(SQRT(8)*$I17),10),-10)</f>
        <v>1.3895574139349267</v>
      </c>
      <c r="AJ17" s="50">
        <f t="shared" ref="AJ17:AJ38" si="28">MAX(MIN(B_1*Tb_eff*(1-$G$9)/(SQRT(8)*$I17),10),-10)</f>
        <v>0.42874148391351824</v>
      </c>
      <c r="AK17" s="298"/>
      <c r="AL17" s="747">
        <f t="shared" ref="AL17:AL38" si="29">$L$6-$L$7</f>
        <v>6.6999999999999993</v>
      </c>
      <c r="AM17" s="185"/>
      <c r="AN17" s="185"/>
      <c r="AO17" s="2"/>
      <c r="AP17" s="293"/>
      <c r="AQ17" s="293"/>
    </row>
    <row r="18" spans="1:44" s="62" customFormat="1" ht="15" customHeight="1">
      <c r="A18" s="51">
        <f>$L$4</f>
        <v>0.02</v>
      </c>
      <c r="B18" s="52">
        <f t="shared" si="0"/>
        <v>7.2451902384791364E-2</v>
      </c>
      <c r="C18" s="52">
        <f t="shared" si="1"/>
        <v>1.5724519023847914</v>
      </c>
      <c r="D18" s="176">
        <f t="shared" si="2"/>
        <v>-2.168235599444444</v>
      </c>
      <c r="E18" s="52">
        <f t="shared" si="3"/>
        <v>8.6309999999999989E-4</v>
      </c>
      <c r="F18" s="53">
        <f t="shared" si="4"/>
        <v>143742.05554680747</v>
      </c>
      <c r="G18" s="53">
        <f t="shared" si="5"/>
        <v>100000</v>
      </c>
      <c r="H18" s="54">
        <f t="shared" si="6"/>
        <v>32.409842772931768</v>
      </c>
      <c r="I18" s="54">
        <f t="shared" si="7"/>
        <v>37.185175181674367</v>
      </c>
      <c r="J18" s="647">
        <f t="shared" si="8"/>
        <v>2.2785661407318427</v>
      </c>
      <c r="K18" s="585">
        <f t="shared" si="9"/>
        <v>0.24197414601570433</v>
      </c>
      <c r="L18" s="247">
        <f t="shared" si="10"/>
        <v>1.7174785754290136</v>
      </c>
      <c r="M18" s="593">
        <f t="shared" si="11"/>
        <v>3.8148263587880784</v>
      </c>
      <c r="N18" s="265">
        <f t="shared" ref="N18:N38" si="30">-10*LOG10(1-2*$L$10*10^(-$C18/10)*$AB$5*SQRT(2*ER*($AD18*(ER-1)+ER+1))/($AD18*(ER-1)))</f>
        <v>0</v>
      </c>
      <c r="O18" s="52">
        <f t="shared" si="12"/>
        <v>-0.11085817737554274</v>
      </c>
      <c r="P18" s="52">
        <f t="shared" si="13"/>
        <v>2.5910501525743855E-3</v>
      </c>
      <c r="Q18" s="52">
        <f t="shared" si="14"/>
        <v>2.2066774660236356E-4</v>
      </c>
      <c r="R18" s="247">
        <f t="shared" ref="R18:R38" si="31">10*LOG10(1/SQRT(1-AK18*(Q/AA18)^2))</f>
        <v>0.66364463771143578</v>
      </c>
      <c r="S18" s="52">
        <f t="shared" ref="S18:S38" si="32">-10*LOG10(AA18*SQRT(1-Q*Q*((SD_blw^2+AK18)/AA18^2+Vmn+(P18*P18))))-$T$13-J18-L18-Q18-N18-R18-Pmn</f>
        <v>0.22512493031710257</v>
      </c>
      <c r="T18" s="277">
        <f t="shared" ref="T18:T38" si="33">J18+L18+B18+Q18+N18+R18+S18+Pmn</f>
        <v>5.0865868543207879</v>
      </c>
      <c r="U18" s="601">
        <f t="shared" ref="U18:U38" si="34">J18+K18+B18+Q18+N18+R18+S18+Pmn+M18</f>
        <v>7.425908783695558</v>
      </c>
      <c r="V18" s="177">
        <f t="shared" si="15"/>
        <v>5.014134951935997</v>
      </c>
      <c r="W18" s="178">
        <f t="shared" si="16"/>
        <v>1.6134131456792113</v>
      </c>
      <c r="X18" s="413">
        <f t="shared" si="17"/>
        <v>-5.6476592969891968</v>
      </c>
      <c r="Y18" s="59">
        <f t="shared" si="18"/>
        <v>0.89795260755221362</v>
      </c>
      <c r="Z18" s="60">
        <f t="shared" si="19"/>
        <v>0.79587848770127312</v>
      </c>
      <c r="AA18" s="294">
        <f t="shared" ref="AA18:AA38" si="35">$AD18*(1-2*$L$10*10^(-$C18/10)*$AB$5*SQRT(2*ER*($AD18*(ER-1)+ER+1))/($AD18*(ER-1)))</f>
        <v>0.3984699069402986</v>
      </c>
      <c r="AB18" s="56">
        <f t="shared" si="20"/>
        <v>0.55968796883447647</v>
      </c>
      <c r="AC18" s="55">
        <f t="shared" si="21"/>
        <v>0.23252161752700329</v>
      </c>
      <c r="AD18" s="55">
        <f t="shared" si="22"/>
        <v>0.3984699069402986</v>
      </c>
      <c r="AE18" s="61">
        <f t="shared" si="23"/>
        <v>1.0869952617737322</v>
      </c>
      <c r="AF18" s="61">
        <f t="shared" si="24"/>
        <v>0.70890995333069506</v>
      </c>
      <c r="AG18" s="61">
        <f t="shared" si="25"/>
        <v>1.5614866508194625</v>
      </c>
      <c r="AH18" s="61">
        <f t="shared" si="26"/>
        <v>0.23441856428496485</v>
      </c>
      <c r="AI18" s="61">
        <f t="shared" si="27"/>
        <v>1.372443996597944</v>
      </c>
      <c r="AJ18" s="61">
        <f t="shared" si="28"/>
        <v>0.42346121850648344</v>
      </c>
      <c r="AK18" s="299">
        <f t="shared" ref="AK18:AK38" si="36">kRIN*10^6*$AK$7*$AK$7/(SQRT((1/F18)^2+(1/G18)^2+0.477*(1/$T$5)^2))*10^($G$4/10)</f>
        <v>2.762395795934439E-3</v>
      </c>
      <c r="AL18" s="57">
        <f t="shared" si="29"/>
        <v>6.6999999999999993</v>
      </c>
      <c r="AM18" s="186">
        <f t="shared" ref="AM18:AM38" si="37">$L$3</f>
        <v>7.0000000000000007E-2</v>
      </c>
      <c r="AN18" s="186">
        <v>0</v>
      </c>
      <c r="AO18" s="58">
        <f t="shared" ref="AO18:AO38" si="38">IF(A18=$L$3,W18,0)</f>
        <v>0</v>
      </c>
      <c r="AP18" s="340">
        <f t="shared" ref="AP18:AP38" si="39">IF($A18=$L$3,I18,0)</f>
        <v>0</v>
      </c>
      <c r="AQ18" s="505">
        <f t="shared" ref="AQ18:AQ38" si="40">IF($A18=$L$3,B_1*Tb_eff*(1+$G$9)/(SQRT(8)*SQRT($H18^2+$AG$8^2)),0)</f>
        <v>0</v>
      </c>
      <c r="AR18" s="341">
        <f t="shared" ref="AR18:AR38" si="41">IF($A18=$L$3,B_1*Tb_eff*(1-$G$9)/(SQRT(8)*SQRT($H18^2+$AG$8^2)),0)</f>
        <v>0</v>
      </c>
    </row>
    <row r="19" spans="1:44" s="74" customFormat="1" ht="15" customHeight="1">
      <c r="A19" s="63">
        <f t="shared" ref="A19:A38" si="42">A18+$L$5</f>
        <v>2.5000000000000001E-2</v>
      </c>
      <c r="B19" s="64">
        <f t="shared" si="0"/>
        <v>9.0564877980989208E-2</v>
      </c>
      <c r="C19" s="64">
        <f t="shared" si="1"/>
        <v>1.5905648779809891</v>
      </c>
      <c r="D19" s="179">
        <f t="shared" si="2"/>
        <v>-2.7102944993055553</v>
      </c>
      <c r="E19" s="64">
        <f t="shared" si="3"/>
        <v>1.0788749999999998E-3</v>
      </c>
      <c r="F19" s="65">
        <f t="shared" si="4"/>
        <v>114993.64443744595</v>
      </c>
      <c r="G19" s="65">
        <f t="shared" si="5"/>
        <v>80000</v>
      </c>
      <c r="H19" s="66">
        <f t="shared" si="6"/>
        <v>32.705203865510782</v>
      </c>
      <c r="I19" s="66">
        <f t="shared" si="7"/>
        <v>37.442885901199908</v>
      </c>
      <c r="J19" s="648">
        <f t="shared" si="8"/>
        <v>2.3247701356304953</v>
      </c>
      <c r="K19" s="586">
        <f t="shared" si="9"/>
        <v>0.24221198842822922</v>
      </c>
      <c r="L19" s="644">
        <f t="shared" si="10"/>
        <v>1.7194309494715139</v>
      </c>
      <c r="M19" s="594">
        <f t="shared" si="11"/>
        <v>3.8210121547012275</v>
      </c>
      <c r="N19" s="251">
        <f t="shared" si="30"/>
        <v>0</v>
      </c>
      <c r="O19" s="64">
        <f t="shared" si="12"/>
        <v>-0.13857272171942842</v>
      </c>
      <c r="P19" s="64">
        <f t="shared" si="13"/>
        <v>4.0345831966204565E-3</v>
      </c>
      <c r="Q19" s="64">
        <f t="shared" si="14"/>
        <v>5.3507666598837198E-4</v>
      </c>
      <c r="R19" s="644">
        <f t="shared" si="31"/>
        <v>0.66128057738184298</v>
      </c>
      <c r="S19" s="64">
        <f t="shared" si="32"/>
        <v>0.22955464621652466</v>
      </c>
      <c r="T19" s="334">
        <f t="shared" si="33"/>
        <v>5.155236263347355</v>
      </c>
      <c r="U19" s="602">
        <f t="shared" si="34"/>
        <v>7.4990294570052969</v>
      </c>
      <c r="V19" s="164">
        <f t="shared" si="15"/>
        <v>5.0646713853663661</v>
      </c>
      <c r="W19" s="180">
        <f t="shared" si="16"/>
        <v>1.5447637366526443</v>
      </c>
      <c r="X19" s="414">
        <f t="shared" si="17"/>
        <v>-5.6659374791248984</v>
      </c>
      <c r="Y19" s="72">
        <f t="shared" si="18"/>
        <v>0.89177220753703479</v>
      </c>
      <c r="Z19" s="73">
        <f t="shared" si="19"/>
        <v>0.79274736234911158</v>
      </c>
      <c r="AA19" s="295">
        <f t="shared" si="35"/>
        <v>0.39407591398192965</v>
      </c>
      <c r="AB19" s="69">
        <f t="shared" si="20"/>
        <v>0.5537347611973007</v>
      </c>
      <c r="AC19" s="68">
        <f t="shared" si="21"/>
        <v>0.22972093334177068</v>
      </c>
      <c r="AD19" s="68">
        <f t="shared" si="22"/>
        <v>0.39407591398192965</v>
      </c>
      <c r="AE19" s="23">
        <f t="shared" si="23"/>
        <v>1.0795137249132527</v>
      </c>
      <c r="AF19" s="23">
        <f t="shared" si="24"/>
        <v>0.70403069016081699</v>
      </c>
      <c r="AG19" s="23">
        <f t="shared" si="25"/>
        <v>1.5507392995235703</v>
      </c>
      <c r="AH19" s="23">
        <f t="shared" si="26"/>
        <v>0.23280511555049949</v>
      </c>
      <c r="AI19" s="23">
        <f t="shared" si="27"/>
        <v>1.3629977821473525</v>
      </c>
      <c r="AJ19" s="23">
        <f t="shared" si="28"/>
        <v>0.42054663292671729</v>
      </c>
      <c r="AK19" s="289">
        <f t="shared" si="36"/>
        <v>2.6935758678121482E-3</v>
      </c>
      <c r="AL19" s="70">
        <f t="shared" si="29"/>
        <v>6.6999999999999993</v>
      </c>
      <c r="AM19" s="187">
        <f t="shared" si="37"/>
        <v>7.0000000000000007E-2</v>
      </c>
      <c r="AN19" s="188">
        <f t="shared" ref="AN19:AN37" si="43">AN20</f>
        <v>9</v>
      </c>
      <c r="AO19" s="71">
        <f t="shared" si="38"/>
        <v>0</v>
      </c>
      <c r="AP19" s="342">
        <f t="shared" si="39"/>
        <v>0</v>
      </c>
      <c r="AQ19" s="506">
        <f t="shared" si="40"/>
        <v>0</v>
      </c>
      <c r="AR19" s="343">
        <f t="shared" si="41"/>
        <v>0</v>
      </c>
    </row>
    <row r="20" spans="1:44" s="74" customFormat="1" ht="15" customHeight="1">
      <c r="A20" s="63">
        <f t="shared" si="42"/>
        <v>3.0000000000000002E-2</v>
      </c>
      <c r="B20" s="64">
        <f t="shared" si="0"/>
        <v>0.10867785357718705</v>
      </c>
      <c r="C20" s="64">
        <f t="shared" si="1"/>
        <v>1.6086778535771871</v>
      </c>
      <c r="D20" s="179">
        <f t="shared" si="2"/>
        <v>-3.2523533991666662</v>
      </c>
      <c r="E20" s="64">
        <f t="shared" si="3"/>
        <v>1.2946499999999998E-3</v>
      </c>
      <c r="F20" s="65">
        <f t="shared" si="4"/>
        <v>95828.037031204978</v>
      </c>
      <c r="G20" s="65">
        <f t="shared" si="5"/>
        <v>66666.666666666657</v>
      </c>
      <c r="H20" s="66">
        <f t="shared" si="6"/>
        <v>33.062617701474494</v>
      </c>
      <c r="I20" s="66">
        <f t="shared" si="7"/>
        <v>37.75547687421664</v>
      </c>
      <c r="J20" s="648">
        <f t="shared" si="8"/>
        <v>2.3813030054566524</v>
      </c>
      <c r="K20" s="586">
        <f t="shared" si="9"/>
        <v>0.24250499663952363</v>
      </c>
      <c r="L20" s="644">
        <f t="shared" si="10"/>
        <v>1.7218628615380065</v>
      </c>
      <c r="M20" s="594">
        <f t="shared" si="11"/>
        <v>3.828856618405069</v>
      </c>
      <c r="N20" s="251">
        <f t="shared" si="30"/>
        <v>0</v>
      </c>
      <c r="O20" s="64">
        <f t="shared" si="12"/>
        <v>-0.16628726606331409</v>
      </c>
      <c r="P20" s="64">
        <f t="shared" si="13"/>
        <v>5.7854033382968503E-3</v>
      </c>
      <c r="Q20" s="64">
        <f t="shared" si="14"/>
        <v>1.1003794519248641E-3</v>
      </c>
      <c r="R20" s="644">
        <f t="shared" si="31"/>
        <v>0.65970095071145396</v>
      </c>
      <c r="S20" s="64">
        <f t="shared" si="32"/>
        <v>0.23549034082015208</v>
      </c>
      <c r="T20" s="334">
        <f t="shared" si="33"/>
        <v>5.2372353915553767</v>
      </c>
      <c r="U20" s="602">
        <f t="shared" si="34"/>
        <v>7.5867341450619623</v>
      </c>
      <c r="V20" s="164">
        <f t="shared" si="15"/>
        <v>5.1285575379781898</v>
      </c>
      <c r="W20" s="180">
        <f t="shared" si="16"/>
        <v>1.4627646084446226</v>
      </c>
      <c r="X20" s="414">
        <f t="shared" si="17"/>
        <v>-5.6860039781384577</v>
      </c>
      <c r="Y20" s="72">
        <f t="shared" si="18"/>
        <v>0.88438890940013204</v>
      </c>
      <c r="Z20" s="73">
        <f t="shared" si="19"/>
        <v>0.78896131418351267</v>
      </c>
      <c r="AA20" s="295">
        <f t="shared" si="35"/>
        <v>0.38876164694809345</v>
      </c>
      <c r="AB20" s="69">
        <f t="shared" si="20"/>
        <v>0.54653653590210105</v>
      </c>
      <c r="AC20" s="68">
        <f t="shared" si="21"/>
        <v>0.22632552577508847</v>
      </c>
      <c r="AD20" s="68">
        <f t="shared" si="22"/>
        <v>0.38876164694809345</v>
      </c>
      <c r="AE20" s="23">
        <f t="shared" si="23"/>
        <v>1.0705760482212123</v>
      </c>
      <c r="AF20" s="23">
        <f t="shared" si="24"/>
        <v>0.69820177057905164</v>
      </c>
      <c r="AG20" s="23">
        <f t="shared" si="25"/>
        <v>1.5379001793040508</v>
      </c>
      <c r="AH20" s="23">
        <f t="shared" si="26"/>
        <v>0.23087763949621345</v>
      </c>
      <c r="AI20" s="23">
        <f t="shared" si="27"/>
        <v>1.3517130404829705</v>
      </c>
      <c r="AJ20" s="23">
        <f t="shared" si="28"/>
        <v>0.41706477831729377</v>
      </c>
      <c r="AK20" s="289">
        <f t="shared" si="36"/>
        <v>2.6160591907001779E-3</v>
      </c>
      <c r="AL20" s="70">
        <f t="shared" si="29"/>
        <v>6.6999999999999993</v>
      </c>
      <c r="AM20" s="187">
        <f t="shared" si="37"/>
        <v>7.0000000000000007E-2</v>
      </c>
      <c r="AN20" s="188">
        <f t="shared" si="43"/>
        <v>9</v>
      </c>
      <c r="AO20" s="71">
        <f t="shared" si="38"/>
        <v>0</v>
      </c>
      <c r="AP20" s="342">
        <f t="shared" si="39"/>
        <v>0</v>
      </c>
      <c r="AQ20" s="506">
        <f t="shared" si="40"/>
        <v>0</v>
      </c>
      <c r="AR20" s="343">
        <f t="shared" si="41"/>
        <v>0</v>
      </c>
    </row>
    <row r="21" spans="1:44" s="74" customFormat="1" ht="15" customHeight="1">
      <c r="A21" s="63">
        <f t="shared" si="42"/>
        <v>3.5000000000000003E-2</v>
      </c>
      <c r="B21" s="64">
        <f t="shared" si="0"/>
        <v>0.12679082917338488</v>
      </c>
      <c r="C21" s="64">
        <f t="shared" si="1"/>
        <v>1.6267908291733848</v>
      </c>
      <c r="D21" s="179">
        <f t="shared" si="2"/>
        <v>-3.7944122990277775</v>
      </c>
      <c r="E21" s="64">
        <f t="shared" si="3"/>
        <v>1.5104249999999999E-3</v>
      </c>
      <c r="F21" s="65">
        <f t="shared" si="4"/>
        <v>82138.317455318538</v>
      </c>
      <c r="G21" s="65">
        <f t="shared" si="5"/>
        <v>57142.857142857138</v>
      </c>
      <c r="H21" s="66">
        <f t="shared" si="6"/>
        <v>33.480097023961235</v>
      </c>
      <c r="I21" s="66">
        <f t="shared" si="7"/>
        <v>38.121598096873001</v>
      </c>
      <c r="J21" s="648">
        <f t="shared" si="8"/>
        <v>2.4482005283044654</v>
      </c>
      <c r="K21" s="586">
        <f t="shared" si="9"/>
        <v>0.24285347114421585</v>
      </c>
      <c r="L21" s="644">
        <f t="shared" si="10"/>
        <v>1.724816359998981</v>
      </c>
      <c r="M21" s="594">
        <f t="shared" si="11"/>
        <v>3.8385625980354319</v>
      </c>
      <c r="N21" s="251">
        <f t="shared" si="30"/>
        <v>0</v>
      </c>
      <c r="O21" s="64">
        <f t="shared" si="12"/>
        <v>-0.1940018104071998</v>
      </c>
      <c r="P21" s="64">
        <f t="shared" si="13"/>
        <v>7.8355727785664932E-3</v>
      </c>
      <c r="Q21" s="64">
        <f t="shared" si="14"/>
        <v>2.0188707874975449E-3</v>
      </c>
      <c r="R21" s="644">
        <f t="shared" si="31"/>
        <v>0.6594867237745371</v>
      </c>
      <c r="S21" s="64">
        <f t="shared" si="32"/>
        <v>0.24323262754141772</v>
      </c>
      <c r="T21" s="334">
        <f t="shared" si="33"/>
        <v>5.3336459395802844</v>
      </c>
      <c r="U21" s="602">
        <f t="shared" si="34"/>
        <v>7.6902456487609498</v>
      </c>
      <c r="V21" s="164">
        <f t="shared" si="15"/>
        <v>5.2068551104068996</v>
      </c>
      <c r="W21" s="180">
        <f t="shared" si="16"/>
        <v>1.3663540604197149</v>
      </c>
      <c r="X21" s="414">
        <f t="shared" si="17"/>
        <v>-5.7086923614939442</v>
      </c>
      <c r="Y21" s="72">
        <f t="shared" si="18"/>
        <v>0.87589520596224113</v>
      </c>
      <c r="Z21" s="73">
        <f t="shared" si="19"/>
        <v>0.78454434014612517</v>
      </c>
      <c r="AA21" s="295">
        <f t="shared" si="35"/>
        <v>0.38255890101769108</v>
      </c>
      <c r="AB21" s="69">
        <f t="shared" si="20"/>
        <v>0.53813916441286702</v>
      </c>
      <c r="AC21" s="68">
        <f t="shared" si="21"/>
        <v>0.22235061768739905</v>
      </c>
      <c r="AD21" s="68">
        <f t="shared" si="22"/>
        <v>0.38255890101769108</v>
      </c>
      <c r="AE21" s="23">
        <f t="shared" si="23"/>
        <v>1.0602941966911339</v>
      </c>
      <c r="AF21" s="23">
        <f t="shared" si="24"/>
        <v>0.69149621523334837</v>
      </c>
      <c r="AG21" s="23">
        <f t="shared" si="25"/>
        <v>1.5231301297237729</v>
      </c>
      <c r="AH21" s="23">
        <f t="shared" si="26"/>
        <v>0.22866028220070955</v>
      </c>
      <c r="AI21" s="23">
        <f t="shared" si="27"/>
        <v>1.3387311389948802</v>
      </c>
      <c r="AJ21" s="23">
        <f t="shared" si="28"/>
        <v>0.41305927292960237</v>
      </c>
      <c r="AK21" s="289">
        <f t="shared" si="36"/>
        <v>2.5325419551451215E-3</v>
      </c>
      <c r="AL21" s="70">
        <f t="shared" si="29"/>
        <v>6.6999999999999993</v>
      </c>
      <c r="AM21" s="187">
        <f t="shared" si="37"/>
        <v>7.0000000000000007E-2</v>
      </c>
      <c r="AN21" s="188">
        <f t="shared" si="43"/>
        <v>9</v>
      </c>
      <c r="AO21" s="71">
        <f t="shared" si="38"/>
        <v>0</v>
      </c>
      <c r="AP21" s="342">
        <f t="shared" si="39"/>
        <v>0</v>
      </c>
      <c r="AQ21" s="506">
        <f t="shared" si="40"/>
        <v>0</v>
      </c>
      <c r="AR21" s="343">
        <f t="shared" si="41"/>
        <v>0</v>
      </c>
    </row>
    <row r="22" spans="1:44" s="74" customFormat="1" ht="15" customHeight="1">
      <c r="A22" s="63">
        <f t="shared" si="42"/>
        <v>0.04</v>
      </c>
      <c r="B22" s="64">
        <f t="shared" si="0"/>
        <v>0.14490380476958273</v>
      </c>
      <c r="C22" s="64">
        <f t="shared" si="1"/>
        <v>1.6449038047695828</v>
      </c>
      <c r="D22" s="179">
        <f t="shared" si="2"/>
        <v>-4.336471198888888</v>
      </c>
      <c r="E22" s="64">
        <f t="shared" si="3"/>
        <v>1.7261999999999998E-3</v>
      </c>
      <c r="F22" s="65">
        <f t="shared" si="4"/>
        <v>71871.027773403737</v>
      </c>
      <c r="G22" s="65">
        <f t="shared" si="5"/>
        <v>50000</v>
      </c>
      <c r="H22" s="66">
        <f t="shared" si="6"/>
        <v>33.955426403811074</v>
      </c>
      <c r="I22" s="66">
        <f t="shared" si="7"/>
        <v>38.539724012897182</v>
      </c>
      <c r="J22" s="648">
        <f t="shared" si="8"/>
        <v>2.5255078866415426</v>
      </c>
      <c r="K22" s="586">
        <f t="shared" si="9"/>
        <v>0.24326020693361894</v>
      </c>
      <c r="L22" s="644">
        <f t="shared" si="10"/>
        <v>1.7283502504637278</v>
      </c>
      <c r="M22" s="594">
        <f t="shared" si="11"/>
        <v>3.8503910089004618</v>
      </c>
      <c r="N22" s="251">
        <f t="shared" si="30"/>
        <v>0</v>
      </c>
      <c r="O22" s="64">
        <f t="shared" si="12"/>
        <v>-0.22171635475108548</v>
      </c>
      <c r="P22" s="64">
        <f t="shared" si="13"/>
        <v>1.0175854510087127E-2</v>
      </c>
      <c r="Q22" s="64">
        <f t="shared" si="14"/>
        <v>3.4060223281080328E-3</v>
      </c>
      <c r="R22" s="644">
        <f t="shared" si="31"/>
        <v>0.66121092876508036</v>
      </c>
      <c r="S22" s="64">
        <f t="shared" si="32"/>
        <v>0.25314269707779291</v>
      </c>
      <c r="T22" s="334">
        <f t="shared" si="33"/>
        <v>5.4456215900458353</v>
      </c>
      <c r="U22" s="602">
        <f t="shared" si="34"/>
        <v>7.8109225554161874</v>
      </c>
      <c r="V22" s="164">
        <f t="shared" si="15"/>
        <v>5.3007177852762526</v>
      </c>
      <c r="W22" s="180">
        <f t="shared" si="16"/>
        <v>1.2543784099541639</v>
      </c>
      <c r="X22" s="414">
        <f t="shared" si="17"/>
        <v>-5.734871728389483</v>
      </c>
      <c r="Y22" s="72">
        <f t="shared" si="18"/>
        <v>0.86639242682423834</v>
      </c>
      <c r="Z22" s="73">
        <f t="shared" si="19"/>
        <v>0.77952407286932468</v>
      </c>
      <c r="AA22" s="295">
        <f t="shared" si="35"/>
        <v>0.37550367028897047</v>
      </c>
      <c r="AB22" s="69">
        <f t="shared" si="20"/>
        <v>0.52859517019835556</v>
      </c>
      <c r="AC22" s="68">
        <f t="shared" si="21"/>
        <v>0.21781314696413068</v>
      </c>
      <c r="AD22" s="68">
        <f t="shared" si="22"/>
        <v>0.37550367028897047</v>
      </c>
      <c r="AE22" s="23">
        <f t="shared" si="23"/>
        <v>1.0487908324714463</v>
      </c>
      <c r="AF22" s="23">
        <f t="shared" si="24"/>
        <v>0.68399402117703023</v>
      </c>
      <c r="AG22" s="23">
        <f t="shared" si="25"/>
        <v>1.5066053569853473</v>
      </c>
      <c r="AH22" s="23">
        <f t="shared" si="26"/>
        <v>0.22617949666312959</v>
      </c>
      <c r="AI22" s="23">
        <f t="shared" si="27"/>
        <v>1.3242069513381391</v>
      </c>
      <c r="AJ22" s="23">
        <f t="shared" si="28"/>
        <v>0.40857790231033758</v>
      </c>
      <c r="AK22" s="289">
        <f t="shared" si="36"/>
        <v>2.4454493379424888E-3</v>
      </c>
      <c r="AL22" s="70">
        <f t="shared" si="29"/>
        <v>6.6999999999999993</v>
      </c>
      <c r="AM22" s="187">
        <f t="shared" si="37"/>
        <v>7.0000000000000007E-2</v>
      </c>
      <c r="AN22" s="188">
        <f t="shared" si="43"/>
        <v>9</v>
      </c>
      <c r="AO22" s="71">
        <f t="shared" si="38"/>
        <v>0</v>
      </c>
      <c r="AP22" s="342">
        <f t="shared" si="39"/>
        <v>0</v>
      </c>
      <c r="AQ22" s="506">
        <f t="shared" si="40"/>
        <v>0</v>
      </c>
      <c r="AR22" s="343">
        <f t="shared" si="41"/>
        <v>0</v>
      </c>
    </row>
    <row r="23" spans="1:44" s="62" customFormat="1" ht="15" customHeight="1">
      <c r="A23" s="51">
        <f t="shared" si="42"/>
        <v>4.4999999999999998E-2</v>
      </c>
      <c r="B23" s="52">
        <f t="shared" si="0"/>
        <v>0.16301678036578054</v>
      </c>
      <c r="C23" s="52">
        <f t="shared" si="1"/>
        <v>1.6630167803657805</v>
      </c>
      <c r="D23" s="176">
        <f t="shared" si="2"/>
        <v>-4.8785300987499989</v>
      </c>
      <c r="E23" s="52">
        <f t="shared" si="3"/>
        <v>1.9419749999999996E-3</v>
      </c>
      <c r="F23" s="53">
        <f t="shared" si="4"/>
        <v>63885.358020803324</v>
      </c>
      <c r="G23" s="53">
        <f t="shared" si="5"/>
        <v>44444.444444444445</v>
      </c>
      <c r="H23" s="54">
        <f t="shared" si="6"/>
        <v>34.486213852294263</v>
      </c>
      <c r="I23" s="54">
        <f t="shared" si="7"/>
        <v>39.008182354370554</v>
      </c>
      <c r="J23" s="647">
        <f t="shared" si="8"/>
        <v>2.6132762005382211</v>
      </c>
      <c r="K23" s="585">
        <f t="shared" si="9"/>
        <v>0.24373405128435444</v>
      </c>
      <c r="L23" s="247">
        <f t="shared" si="10"/>
        <v>1.7325489609703291</v>
      </c>
      <c r="M23" s="593">
        <f t="shared" si="11"/>
        <v>3.8646732277137126</v>
      </c>
      <c r="N23" s="265">
        <f t="shared" si="30"/>
        <v>0</v>
      </c>
      <c r="O23" s="52">
        <f t="shared" si="12"/>
        <v>-0.24943089909497113</v>
      </c>
      <c r="P23" s="52">
        <f t="shared" si="13"/>
        <v>1.2795781630956866E-2</v>
      </c>
      <c r="Q23" s="52">
        <f t="shared" si="14"/>
        <v>5.3881229311764905E-3</v>
      </c>
      <c r="R23" s="247">
        <f t="shared" si="31"/>
        <v>0.66543449537742716</v>
      </c>
      <c r="S23" s="52">
        <f t="shared" si="32"/>
        <v>0.26565979008954366</v>
      </c>
      <c r="T23" s="277">
        <f t="shared" si="33"/>
        <v>5.5744243502724782</v>
      </c>
      <c r="U23" s="601">
        <f t="shared" si="34"/>
        <v>7.9502826683002157</v>
      </c>
      <c r="V23" s="177">
        <f t="shared" si="15"/>
        <v>5.4114075699066975</v>
      </c>
      <c r="W23" s="178">
        <f t="shared" si="16"/>
        <v>1.1255756497275211</v>
      </c>
      <c r="X23" s="413">
        <f t="shared" si="17"/>
        <v>-5.7654489177069719</v>
      </c>
      <c r="Y23" s="59">
        <f t="shared" si="18"/>
        <v>0.85598771850822264</v>
      </c>
      <c r="Z23" s="60">
        <f t="shared" si="19"/>
        <v>0.77393175776029111</v>
      </c>
      <c r="AA23" s="294">
        <f t="shared" si="35"/>
        <v>0.36763553582143071</v>
      </c>
      <c r="AB23" s="56">
        <f t="shared" si="20"/>
        <v>0.51796328291532245</v>
      </c>
      <c r="AC23" s="55">
        <f t="shared" si="21"/>
        <v>0.21273142636318898</v>
      </c>
      <c r="AD23" s="55">
        <f t="shared" si="22"/>
        <v>0.36763553582143071</v>
      </c>
      <c r="AE23" s="61">
        <f t="shared" si="23"/>
        <v>1.0361956592467958</v>
      </c>
      <c r="AF23" s="61">
        <f t="shared" si="24"/>
        <v>0.67577977776964948</v>
      </c>
      <c r="AG23" s="61">
        <f t="shared" si="25"/>
        <v>1.4885121825744874</v>
      </c>
      <c r="AH23" s="61">
        <f t="shared" si="26"/>
        <v>0.22346325444195825</v>
      </c>
      <c r="AI23" s="61">
        <f t="shared" si="27"/>
        <v>1.3083042418359141</v>
      </c>
      <c r="AJ23" s="61">
        <f t="shared" si="28"/>
        <v>0.40367119518053141</v>
      </c>
      <c r="AK23" s="299">
        <f t="shared" si="36"/>
        <v>2.3568376395669464E-3</v>
      </c>
      <c r="AL23" s="57">
        <f t="shared" si="29"/>
        <v>6.6999999999999993</v>
      </c>
      <c r="AM23" s="186">
        <f t="shared" si="37"/>
        <v>7.0000000000000007E-2</v>
      </c>
      <c r="AN23" s="189">
        <f t="shared" si="43"/>
        <v>9</v>
      </c>
      <c r="AO23" s="58">
        <f t="shared" si="38"/>
        <v>0</v>
      </c>
      <c r="AP23" s="340">
        <f t="shared" si="39"/>
        <v>0</v>
      </c>
      <c r="AQ23" s="505">
        <f t="shared" si="40"/>
        <v>0</v>
      </c>
      <c r="AR23" s="341">
        <f t="shared" si="41"/>
        <v>0</v>
      </c>
    </row>
    <row r="24" spans="1:44" s="74" customFormat="1" ht="15" customHeight="1">
      <c r="A24" s="63">
        <f t="shared" si="42"/>
        <v>4.9999999999999996E-2</v>
      </c>
      <c r="B24" s="64">
        <f t="shared" si="0"/>
        <v>0.18112975596197839</v>
      </c>
      <c r="C24" s="64">
        <f t="shared" si="1"/>
        <v>1.6811297559619784</v>
      </c>
      <c r="D24" s="179">
        <f t="shared" si="2"/>
        <v>-5.4205889986111098</v>
      </c>
      <c r="E24" s="64">
        <f t="shared" si="3"/>
        <v>2.1577499999999995E-3</v>
      </c>
      <c r="F24" s="65">
        <f t="shared" si="4"/>
        <v>57496.822218722991</v>
      </c>
      <c r="G24" s="65">
        <f t="shared" si="5"/>
        <v>40000</v>
      </c>
      <c r="H24" s="66">
        <f t="shared" si="6"/>
        <v>35.069941367765146</v>
      </c>
      <c r="I24" s="66">
        <f t="shared" si="7"/>
        <v>39.525183519676901</v>
      </c>
      <c r="J24" s="648">
        <f t="shared" si="8"/>
        <v>2.7115700107207492</v>
      </c>
      <c r="K24" s="586">
        <f t="shared" si="9"/>
        <v>0.2442840331085363</v>
      </c>
      <c r="L24" s="644">
        <f t="shared" si="10"/>
        <v>1.7375212258813879</v>
      </c>
      <c r="M24" s="594">
        <f t="shared" si="11"/>
        <v>3.8818238352675452</v>
      </c>
      <c r="N24" s="251">
        <f t="shared" si="30"/>
        <v>0</v>
      </c>
      <c r="O24" s="64">
        <f t="shared" si="12"/>
        <v>-0.27714544343885683</v>
      </c>
      <c r="P24" s="64">
        <f t="shared" si="13"/>
        <v>1.5683735300545235E-2</v>
      </c>
      <c r="Q24" s="64">
        <f t="shared" si="14"/>
        <v>8.0997924448331926E-3</v>
      </c>
      <c r="R24" s="644">
        <f t="shared" si="31"/>
        <v>0.67271671116007614</v>
      </c>
      <c r="S24" s="64">
        <f t="shared" si="32"/>
        <v>0.28132905642700379</v>
      </c>
      <c r="T24" s="334">
        <f t="shared" si="33"/>
        <v>5.7214665525960289</v>
      </c>
      <c r="U24" s="602">
        <f t="shared" si="34"/>
        <v>8.1100531950907229</v>
      </c>
      <c r="V24" s="164">
        <f t="shared" si="15"/>
        <v>5.5403367966340502</v>
      </c>
      <c r="W24" s="180">
        <f t="shared" si="16"/>
        <v>0.97853344740397041</v>
      </c>
      <c r="X24" s="414">
        <f t="shared" si="17"/>
        <v>-5.8013904117682058</v>
      </c>
      <c r="Y24" s="72">
        <f t="shared" si="18"/>
        <v>0.84479114436110059</v>
      </c>
      <c r="Z24" s="73">
        <f t="shared" si="19"/>
        <v>0.76780149878320492</v>
      </c>
      <c r="AA24" s="295">
        <f t="shared" si="35"/>
        <v>0.35899704709957758</v>
      </c>
      <c r="AB24" s="69">
        <f t="shared" si="20"/>
        <v>0.50630777387469861</v>
      </c>
      <c r="AC24" s="68">
        <f t="shared" si="21"/>
        <v>0.20712485247010548</v>
      </c>
      <c r="AD24" s="68">
        <f t="shared" si="22"/>
        <v>0.35899704709957758</v>
      </c>
      <c r="AE24" s="23">
        <f t="shared" si="23"/>
        <v>1.0226419115950165</v>
      </c>
      <c r="AF24" s="23">
        <f t="shared" si="24"/>
        <v>0.66694037712718468</v>
      </c>
      <c r="AG24" s="23">
        <f t="shared" si="25"/>
        <v>1.4690420001633016</v>
      </c>
      <c r="AH24" s="23">
        <f t="shared" si="26"/>
        <v>0.22054028855889976</v>
      </c>
      <c r="AI24" s="23">
        <f t="shared" si="27"/>
        <v>1.2911912329293855</v>
      </c>
      <c r="AJ24" s="23">
        <f t="shared" si="28"/>
        <v>0.39839105579281558</v>
      </c>
      <c r="AK24" s="289">
        <f t="shared" si="36"/>
        <v>2.2683625690839318E-3</v>
      </c>
      <c r="AL24" s="70">
        <f t="shared" si="29"/>
        <v>6.6999999999999993</v>
      </c>
      <c r="AM24" s="187">
        <f t="shared" si="37"/>
        <v>7.0000000000000007E-2</v>
      </c>
      <c r="AN24" s="188">
        <f t="shared" si="43"/>
        <v>9</v>
      </c>
      <c r="AO24" s="71">
        <f t="shared" si="38"/>
        <v>0</v>
      </c>
      <c r="AP24" s="342">
        <f t="shared" si="39"/>
        <v>0</v>
      </c>
      <c r="AQ24" s="506">
        <f t="shared" si="40"/>
        <v>0</v>
      </c>
      <c r="AR24" s="343">
        <f t="shared" si="41"/>
        <v>0</v>
      </c>
    </row>
    <row r="25" spans="1:44" s="74" customFormat="1" ht="15" customHeight="1">
      <c r="A25" s="63">
        <f t="shared" si="42"/>
        <v>5.4999999999999993E-2</v>
      </c>
      <c r="B25" s="64">
        <f t="shared" si="0"/>
        <v>0.19924273155817621</v>
      </c>
      <c r="C25" s="64">
        <f t="shared" si="1"/>
        <v>1.6992427315581762</v>
      </c>
      <c r="D25" s="179">
        <f t="shared" si="2"/>
        <v>-5.9626478984722207</v>
      </c>
      <c r="E25" s="64">
        <f t="shared" si="3"/>
        <v>2.3735249999999992E-3</v>
      </c>
      <c r="F25" s="65">
        <f t="shared" si="4"/>
        <v>52269.83838065726</v>
      </c>
      <c r="G25" s="65">
        <f t="shared" si="5"/>
        <v>36363.636363636368</v>
      </c>
      <c r="H25" s="66">
        <f t="shared" si="6"/>
        <v>35.704012481534434</v>
      </c>
      <c r="I25" s="66">
        <f t="shared" si="7"/>
        <v>40.088849472231303</v>
      </c>
      <c r="J25" s="648">
        <f t="shared" si="8"/>
        <v>2.8204648369239353</v>
      </c>
      <c r="K25" s="586">
        <f t="shared" si="9"/>
        <v>0.24492578093205175</v>
      </c>
      <c r="L25" s="644">
        <f t="shared" si="10"/>
        <v>1.7434091229572837</v>
      </c>
      <c r="M25" s="594">
        <f t="shared" si="11"/>
        <v>3.9023532033814572</v>
      </c>
      <c r="N25" s="251">
        <f t="shared" si="30"/>
        <v>0</v>
      </c>
      <c r="O25" s="64">
        <f t="shared" si="12"/>
        <v>-0.30485998778274254</v>
      </c>
      <c r="P25" s="64">
        <f t="shared" si="13"/>
        <v>1.8827030525264108E-2</v>
      </c>
      <c r="Q25" s="64">
        <f t="shared" si="14"/>
        <v>1.1681441244420377E-2</v>
      </c>
      <c r="R25" s="644">
        <f t="shared" si="31"/>
        <v>0.68363750977099524</v>
      </c>
      <c r="S25" s="64">
        <f t="shared" si="32"/>
        <v>0.30084307798783061</v>
      </c>
      <c r="T25" s="334">
        <f t="shared" si="33"/>
        <v>5.8883787204426419</v>
      </c>
      <c r="U25" s="602">
        <f t="shared" si="34"/>
        <v>8.2922485817988658</v>
      </c>
      <c r="V25" s="164">
        <f t="shared" si="15"/>
        <v>5.6891359888844653</v>
      </c>
      <c r="W25" s="180">
        <f t="shared" si="16"/>
        <v>0.81162127955735741</v>
      </c>
      <c r="X25" s="414">
        <f t="shared" si="17"/>
        <v>-5.8437628455553225</v>
      </c>
      <c r="Y25" s="72">
        <f t="shared" si="18"/>
        <v>0.8329130283421895</v>
      </c>
      <c r="Z25" s="73">
        <f t="shared" si="19"/>
        <v>0.76117013926954513</v>
      </c>
      <c r="AA25" s="295">
        <f t="shared" si="35"/>
        <v>0.34963315084228652</v>
      </c>
      <c r="AB25" s="69">
        <f t="shared" si="20"/>
        <v>0.49369751157531572</v>
      </c>
      <c r="AC25" s="68">
        <f t="shared" si="21"/>
        <v>0.20101368162404065</v>
      </c>
      <c r="AD25" s="68">
        <f t="shared" si="22"/>
        <v>0.34963315084228652</v>
      </c>
      <c r="AE25" s="23">
        <f t="shared" si="23"/>
        <v>1.008263139572124</v>
      </c>
      <c r="AF25" s="23">
        <f t="shared" si="24"/>
        <v>0.6575629171122549</v>
      </c>
      <c r="AG25" s="23">
        <f t="shared" si="25"/>
        <v>1.4483866566135184</v>
      </c>
      <c r="AH25" s="23">
        <f t="shared" si="26"/>
        <v>0.21743940007086066</v>
      </c>
      <c r="AI25" s="23">
        <f t="shared" si="27"/>
        <v>1.2730365453835839</v>
      </c>
      <c r="AJ25" s="23">
        <f t="shared" si="28"/>
        <v>0.3927895113007952</v>
      </c>
      <c r="AK25" s="289">
        <f t="shared" si="36"/>
        <v>2.1812943164550009E-3</v>
      </c>
      <c r="AL25" s="70">
        <f t="shared" si="29"/>
        <v>6.6999999999999993</v>
      </c>
      <c r="AM25" s="187">
        <f t="shared" si="37"/>
        <v>7.0000000000000007E-2</v>
      </c>
      <c r="AN25" s="188">
        <f t="shared" si="43"/>
        <v>9</v>
      </c>
      <c r="AO25" s="71">
        <f t="shared" si="38"/>
        <v>0</v>
      </c>
      <c r="AP25" s="342">
        <f t="shared" si="39"/>
        <v>0</v>
      </c>
      <c r="AQ25" s="506">
        <f t="shared" si="40"/>
        <v>0</v>
      </c>
      <c r="AR25" s="343">
        <f t="shared" si="41"/>
        <v>0</v>
      </c>
    </row>
    <row r="26" spans="1:44" s="74" customFormat="1" ht="15" customHeight="1">
      <c r="A26" s="63">
        <f t="shared" si="42"/>
        <v>5.9999999999999991E-2</v>
      </c>
      <c r="B26" s="64">
        <f t="shared" si="0"/>
        <v>0.21735570715437405</v>
      </c>
      <c r="C26" s="64">
        <f t="shared" si="1"/>
        <v>1.7173557071543741</v>
      </c>
      <c r="D26" s="179">
        <f t="shared" si="2"/>
        <v>-6.5047067983333315</v>
      </c>
      <c r="E26" s="64">
        <f t="shared" si="3"/>
        <v>2.5892999999999992E-3</v>
      </c>
      <c r="F26" s="65">
        <f t="shared" si="4"/>
        <v>47914.018515602496</v>
      </c>
      <c r="G26" s="65">
        <f t="shared" si="5"/>
        <v>33333.333333333336</v>
      </c>
      <c r="H26" s="66">
        <f t="shared" si="6"/>
        <v>36.385795375330446</v>
      </c>
      <c r="I26" s="66">
        <f t="shared" si="7"/>
        <v>40.697241304799419</v>
      </c>
      <c r="J26" s="648">
        <f t="shared" si="8"/>
        <v>2.9400567889268632</v>
      </c>
      <c r="K26" s="586">
        <f t="shared" si="9"/>
        <v>0.24567714968031185</v>
      </c>
      <c r="L26" s="644">
        <f t="shared" si="10"/>
        <v>1.7503870262836947</v>
      </c>
      <c r="M26" s="594">
        <f t="shared" si="11"/>
        <v>3.9268824907701219</v>
      </c>
      <c r="N26" s="251">
        <f t="shared" si="30"/>
        <v>0</v>
      </c>
      <c r="O26" s="64">
        <f t="shared" si="12"/>
        <v>-0.33257453212662819</v>
      </c>
      <c r="P26" s="64">
        <f t="shared" si="13"/>
        <v>2.2212008888521467E-2</v>
      </c>
      <c r="Q26" s="64">
        <f t="shared" si="14"/>
        <v>1.6276742376211573E-2</v>
      </c>
      <c r="R26" s="644">
        <f t="shared" si="31"/>
        <v>0.69883029255116014</v>
      </c>
      <c r="S26" s="64">
        <f t="shared" si="32"/>
        <v>0.32510333215763099</v>
      </c>
      <c r="T26" s="334">
        <f t="shared" si="33"/>
        <v>6.0771098894499342</v>
      </c>
      <c r="U26" s="602">
        <f t="shared" si="34"/>
        <v>8.4992825036166728</v>
      </c>
      <c r="V26" s="164">
        <f t="shared" si="15"/>
        <v>5.8597541822955606</v>
      </c>
      <c r="W26" s="180">
        <f t="shared" si="16"/>
        <v>0.62289011055006505</v>
      </c>
      <c r="X26" s="414">
        <f t="shared" si="17"/>
        <v>-5.8937940321483762</v>
      </c>
      <c r="Y26" s="72">
        <f t="shared" si="18"/>
        <v>0.82046163194684696</v>
      </c>
      <c r="Z26" s="73">
        <f t="shared" si="19"/>
        <v>0.75407639892161038</v>
      </c>
      <c r="AA26" s="295">
        <f t="shared" si="35"/>
        <v>0.33959056730018555</v>
      </c>
      <c r="AB26" s="69">
        <f t="shared" si="20"/>
        <v>0.48020492085875865</v>
      </c>
      <c r="AC26" s="68">
        <f t="shared" si="21"/>
        <v>0.19441884424309386</v>
      </c>
      <c r="AD26" s="68">
        <f t="shared" si="22"/>
        <v>0.33959056730018555</v>
      </c>
      <c r="AE26" s="23">
        <f t="shared" si="23"/>
        <v>0.99319039656723573</v>
      </c>
      <c r="AF26" s="23">
        <f t="shared" si="24"/>
        <v>0.64773286732645818</v>
      </c>
      <c r="AG26" s="23">
        <f t="shared" si="25"/>
        <v>1.4267344122836212</v>
      </c>
      <c r="AH26" s="23">
        <f t="shared" si="26"/>
        <v>0.21418885161007289</v>
      </c>
      <c r="AI26" s="23">
        <f t="shared" si="27"/>
        <v>1.2540056476632324</v>
      </c>
      <c r="AJ26" s="23">
        <f t="shared" si="28"/>
        <v>0.38691761623046167</v>
      </c>
      <c r="AK26" s="289">
        <f t="shared" si="36"/>
        <v>2.0965601434877195E-3</v>
      </c>
      <c r="AL26" s="70">
        <f t="shared" si="29"/>
        <v>6.6999999999999993</v>
      </c>
      <c r="AM26" s="187">
        <f t="shared" si="37"/>
        <v>7.0000000000000007E-2</v>
      </c>
      <c r="AN26" s="188">
        <f t="shared" si="43"/>
        <v>9</v>
      </c>
      <c r="AO26" s="71">
        <f t="shared" si="38"/>
        <v>0</v>
      </c>
      <c r="AP26" s="342">
        <f t="shared" si="39"/>
        <v>0</v>
      </c>
      <c r="AQ26" s="506">
        <f t="shared" si="40"/>
        <v>0</v>
      </c>
      <c r="AR26" s="343">
        <f t="shared" si="41"/>
        <v>0</v>
      </c>
    </row>
    <row r="27" spans="1:44" s="74" customFormat="1" ht="15" customHeight="1">
      <c r="A27" s="63">
        <f t="shared" si="42"/>
        <v>6.4999999999999988E-2</v>
      </c>
      <c r="B27" s="64">
        <f t="shared" si="0"/>
        <v>0.23546868275057187</v>
      </c>
      <c r="C27" s="64">
        <f t="shared" si="1"/>
        <v>1.7354686827505719</v>
      </c>
      <c r="D27" s="179">
        <f t="shared" si="2"/>
        <v>-7.0467656981944424</v>
      </c>
      <c r="E27" s="64">
        <f t="shared" si="3"/>
        <v>2.8050749999999989E-3</v>
      </c>
      <c r="F27" s="65">
        <f t="shared" si="4"/>
        <v>44228.324783633063</v>
      </c>
      <c r="G27" s="65">
        <f t="shared" si="5"/>
        <v>30769.230769230773</v>
      </c>
      <c r="H27" s="66">
        <f t="shared" si="6"/>
        <v>37.112660656170149</v>
      </c>
      <c r="I27" s="66">
        <f t="shared" si="7"/>
        <v>41.348384801654504</v>
      </c>
      <c r="J27" s="648">
        <f t="shared" si="8"/>
        <v>3.0704617216737597</v>
      </c>
      <c r="K27" s="586">
        <f t="shared" si="9"/>
        <v>0.24656317219603174</v>
      </c>
      <c r="L27" s="644">
        <f t="shared" si="10"/>
        <v>1.758670581617551</v>
      </c>
      <c r="M27" s="594">
        <f t="shared" si="11"/>
        <v>3.9561630529902905</v>
      </c>
      <c r="N27" s="251">
        <f t="shared" si="30"/>
        <v>0</v>
      </c>
      <c r="O27" s="64">
        <f t="shared" si="12"/>
        <v>-0.36028907647051384</v>
      </c>
      <c r="P27" s="64">
        <f t="shared" si="13"/>
        <v>2.5824137277234743E-2</v>
      </c>
      <c r="Q27" s="64">
        <f t="shared" si="14"/>
        <v>2.203017531917812E-2</v>
      </c>
      <c r="R27" s="644">
        <f t="shared" si="31"/>
        <v>0.71902428968910848</v>
      </c>
      <c r="S27" s="64">
        <f t="shared" si="32"/>
        <v>0.35531166635888567</v>
      </c>
      <c r="T27" s="334">
        <f t="shared" si="33"/>
        <v>6.2900671174090546</v>
      </c>
      <c r="U27" s="602">
        <f t="shared" si="34"/>
        <v>8.7341227609778258</v>
      </c>
      <c r="V27" s="164">
        <f t="shared" si="15"/>
        <v>6.0545984346584829</v>
      </c>
      <c r="W27" s="180">
        <f t="shared" si="16"/>
        <v>0.40993288259094474</v>
      </c>
      <c r="X27" s="414">
        <f t="shared" si="17"/>
        <v>-5.9529586049261169</v>
      </c>
      <c r="Y27" s="72">
        <f t="shared" si="18"/>
        <v>0.80754121779708021</v>
      </c>
      <c r="Z27" s="73">
        <f t="shared" si="19"/>
        <v>0.74656068739961223</v>
      </c>
      <c r="AA27" s="295">
        <f t="shared" si="35"/>
        <v>0.32891734020377417</v>
      </c>
      <c r="AB27" s="69">
        <f t="shared" si="20"/>
        <v>0.46590514952234652</v>
      </c>
      <c r="AC27" s="68">
        <f t="shared" si="21"/>
        <v>0.18736186698319002</v>
      </c>
      <c r="AD27" s="68">
        <f t="shared" si="22"/>
        <v>0.32891734020377417</v>
      </c>
      <c r="AE27" s="23">
        <f t="shared" si="23"/>
        <v>0.97754989522804436</v>
      </c>
      <c r="AF27" s="23">
        <f t="shared" si="24"/>
        <v>0.63753254036611595</v>
      </c>
      <c r="AG27" s="23">
        <f t="shared" si="25"/>
        <v>1.4042665737270672</v>
      </c>
      <c r="AH27" s="23">
        <f t="shared" si="26"/>
        <v>0.21081586186709322</v>
      </c>
      <c r="AI27" s="23">
        <f t="shared" si="27"/>
        <v>1.2342578962961031</v>
      </c>
      <c r="AJ27" s="23">
        <f t="shared" si="28"/>
        <v>0.38082453929805743</v>
      </c>
      <c r="AK27" s="289">
        <f t="shared" si="36"/>
        <v>2.0147991210107828E-3</v>
      </c>
      <c r="AL27" s="70">
        <f t="shared" si="29"/>
        <v>6.6999999999999993</v>
      </c>
      <c r="AM27" s="187">
        <f t="shared" si="37"/>
        <v>7.0000000000000007E-2</v>
      </c>
      <c r="AN27" s="188">
        <f t="shared" si="43"/>
        <v>9</v>
      </c>
      <c r="AO27" s="71">
        <f t="shared" si="38"/>
        <v>0</v>
      </c>
      <c r="AP27" s="342">
        <f t="shared" si="39"/>
        <v>0</v>
      </c>
      <c r="AQ27" s="506">
        <f t="shared" si="40"/>
        <v>0</v>
      </c>
      <c r="AR27" s="343">
        <f t="shared" si="41"/>
        <v>0</v>
      </c>
    </row>
    <row r="28" spans="1:44" s="450" customFormat="1" ht="15" customHeight="1">
      <c r="A28" s="430">
        <f t="shared" si="42"/>
        <v>6.9999999999999993E-2</v>
      </c>
      <c r="B28" s="431">
        <f t="shared" si="0"/>
        <v>0.25358165834676971</v>
      </c>
      <c r="C28" s="431">
        <f t="shared" si="1"/>
        <v>1.7535816583467696</v>
      </c>
      <c r="D28" s="432">
        <f t="shared" si="2"/>
        <v>-7.5888245980555533</v>
      </c>
      <c r="E28" s="431">
        <f t="shared" si="3"/>
        <v>3.020849999999999E-3</v>
      </c>
      <c r="F28" s="433">
        <f t="shared" si="4"/>
        <v>41069.158727659276</v>
      </c>
      <c r="G28" s="433">
        <f t="shared" si="5"/>
        <v>28571.428571428576</v>
      </c>
      <c r="H28" s="434">
        <f t="shared" si="6"/>
        <v>37.882013343213828</v>
      </c>
      <c r="I28" s="434">
        <f t="shared" si="7"/>
        <v>42.040293524915874</v>
      </c>
      <c r="J28" s="649">
        <f t="shared" si="8"/>
        <v>3.211827885076211</v>
      </c>
      <c r="K28" s="587">
        <f t="shared" si="9"/>
        <v>0.24761051372502019</v>
      </c>
      <c r="L28" s="651">
        <f t="shared" si="10"/>
        <v>1.7685149914053095</v>
      </c>
      <c r="M28" s="595">
        <f t="shared" si="11"/>
        <v>3.9910999125830728</v>
      </c>
      <c r="N28" s="435">
        <f t="shared" si="30"/>
        <v>0</v>
      </c>
      <c r="O28" s="431">
        <f t="shared" si="12"/>
        <v>-0.38800362081439954</v>
      </c>
      <c r="P28" s="431">
        <f t="shared" si="13"/>
        <v>2.9648111607844561E-2</v>
      </c>
      <c r="Q28" s="431">
        <f t="shared" si="14"/>
        <v>2.9084690814226506E-2</v>
      </c>
      <c r="R28" s="651">
        <f t="shared" si="31"/>
        <v>0.74509985893007069</v>
      </c>
      <c r="S28" s="431">
        <f t="shared" si="32"/>
        <v>0.39311129143959633</v>
      </c>
      <c r="T28" s="436">
        <f t="shared" si="33"/>
        <v>6.5303203760121837</v>
      </c>
      <c r="U28" s="603">
        <f t="shared" si="34"/>
        <v>9.0005158109149672</v>
      </c>
      <c r="V28" s="709">
        <f t="shared" si="15"/>
        <v>6.2767387176654141</v>
      </c>
      <c r="W28" s="510">
        <f t="shared" si="16"/>
        <v>0.16967962398781555</v>
      </c>
      <c r="X28" s="534">
        <f>$C$8-C28-(Q28+N28+R28+S28/2+Pmn) -$W$3</f>
        <v>-6.0231014777986802</v>
      </c>
      <c r="Y28" s="437">
        <f t="shared" si="18"/>
        <v>0.79425052056025525</v>
      </c>
      <c r="Z28" s="438">
        <f t="shared" si="19"/>
        <v>0.73866416525877365</v>
      </c>
      <c r="AA28" s="439">
        <f t="shared" si="35"/>
        <v>0.31766232656198135</v>
      </c>
      <c r="AB28" s="440">
        <f t="shared" si="20"/>
        <v>0.45087500497646227</v>
      </c>
      <c r="AC28" s="441">
        <f t="shared" si="21"/>
        <v>0.17986479574995062</v>
      </c>
      <c r="AD28" s="441">
        <f t="shared" si="22"/>
        <v>0.31766232656198135</v>
      </c>
      <c r="AE28" s="442">
        <f t="shared" si="23"/>
        <v>0.96146115646767727</v>
      </c>
      <c r="AF28" s="442">
        <f t="shared" si="24"/>
        <v>0.62703988465283311</v>
      </c>
      <c r="AG28" s="442">
        <f t="shared" si="25"/>
        <v>1.3811548347100628</v>
      </c>
      <c r="AH28" s="442">
        <f t="shared" si="26"/>
        <v>0.20734620641044765</v>
      </c>
      <c r="AI28" s="442">
        <f t="shared" si="27"/>
        <v>1.2139441988026407</v>
      </c>
      <c r="AJ28" s="442">
        <f t="shared" si="28"/>
        <v>0.37455684231786973</v>
      </c>
      <c r="AK28" s="443">
        <f t="shared" si="36"/>
        <v>1.9364185606527997E-3</v>
      </c>
      <c r="AL28" s="444">
        <f t="shared" si="29"/>
        <v>6.6999999999999993</v>
      </c>
      <c r="AM28" s="445">
        <f t="shared" si="37"/>
        <v>7.0000000000000007E-2</v>
      </c>
      <c r="AN28" s="446">
        <f t="shared" si="43"/>
        <v>9</v>
      </c>
      <c r="AO28" s="447">
        <f t="shared" si="38"/>
        <v>0.16967962398781555</v>
      </c>
      <c r="AP28" s="448">
        <f t="shared" si="39"/>
        <v>42.040293524915874</v>
      </c>
      <c r="AQ28" s="507">
        <f t="shared" si="40"/>
        <v>1.2289264265940751</v>
      </c>
      <c r="AR28" s="449">
        <f t="shared" si="41"/>
        <v>0.37917953909254992</v>
      </c>
    </row>
    <row r="29" spans="1:44" s="74" customFormat="1" ht="15" customHeight="1">
      <c r="A29" s="63">
        <f t="shared" si="42"/>
        <v>7.4999999999999997E-2</v>
      </c>
      <c r="B29" s="64">
        <f t="shared" si="0"/>
        <v>0.27169463394296761</v>
      </c>
      <c r="C29" s="64">
        <f t="shared" si="1"/>
        <v>1.7716946339429676</v>
      </c>
      <c r="D29" s="179">
        <f t="shared" si="2"/>
        <v>-8.1308834979166651</v>
      </c>
      <c r="E29" s="64">
        <f t="shared" si="3"/>
        <v>3.2366249999999995E-3</v>
      </c>
      <c r="F29" s="65">
        <f t="shared" si="4"/>
        <v>38331.214812481987</v>
      </c>
      <c r="G29" s="65">
        <f t="shared" si="5"/>
        <v>26666.666666666668</v>
      </c>
      <c r="H29" s="66">
        <f t="shared" si="6"/>
        <v>38.691319012946451</v>
      </c>
      <c r="I29" s="66">
        <f t="shared" si="7"/>
        <v>42.770989136180205</v>
      </c>
      <c r="J29" s="648">
        <f t="shared" si="8"/>
        <v>3.364336389710076</v>
      </c>
      <c r="K29" s="586">
        <f t="shared" si="9"/>
        <v>0.24885612493771836</v>
      </c>
      <c r="L29" s="644">
        <f t="shared" si="10"/>
        <v>1.7802278310583115</v>
      </c>
      <c r="M29" s="594">
        <f t="shared" si="11"/>
        <v>4.0327811189655662</v>
      </c>
      <c r="N29" s="251">
        <f t="shared" si="30"/>
        <v>0</v>
      </c>
      <c r="O29" s="64">
        <f t="shared" si="12"/>
        <v>-0.41571816515828525</v>
      </c>
      <c r="P29" s="64">
        <f t="shared" si="13"/>
        <v>3.3667964518255614E-2</v>
      </c>
      <c r="Q29" s="64">
        <f t="shared" si="14"/>
        <v>3.7579535744960896E-2</v>
      </c>
      <c r="R29" s="644">
        <f t="shared" si="31"/>
        <v>0.77816188311735746</v>
      </c>
      <c r="S29" s="64">
        <f t="shared" si="32"/>
        <v>0.44081177465516597</v>
      </c>
      <c r="T29" s="334">
        <f t="shared" si="33"/>
        <v>6.8019120482288402</v>
      </c>
      <c r="U29" s="602">
        <f t="shared" si="34"/>
        <v>9.3033214610738124</v>
      </c>
      <c r="V29" s="164">
        <f t="shared" si="15"/>
        <v>6.5302174142858727</v>
      </c>
      <c r="W29" s="180">
        <f t="shared" si="16"/>
        <v>-0.10191204822884092</v>
      </c>
      <c r="X29" s="414">
        <f t="shared" si="17"/>
        <v>-6.106621564120684</v>
      </c>
      <c r="Y29" s="72">
        <f t="shared" si="18"/>
        <v>0.78068161833613381</v>
      </c>
      <c r="Z29" s="73">
        <f t="shared" si="19"/>
        <v>0.73042859158552209</v>
      </c>
      <c r="AA29" s="295">
        <f t="shared" si="35"/>
        <v>0.30587471515407549</v>
      </c>
      <c r="AB29" s="69">
        <f t="shared" si="20"/>
        <v>0.43519184495318797</v>
      </c>
      <c r="AC29" s="68">
        <f t="shared" si="21"/>
        <v>0.17195018073424628</v>
      </c>
      <c r="AD29" s="68">
        <f t="shared" si="22"/>
        <v>0.30587471515407549</v>
      </c>
      <c r="AE29" s="23">
        <f t="shared" si="23"/>
        <v>0.94503564324900402</v>
      </c>
      <c r="AF29" s="23">
        <f t="shared" si="24"/>
        <v>0.61632759342326349</v>
      </c>
      <c r="AG29" s="23">
        <f t="shared" si="25"/>
        <v>1.3575593136201505</v>
      </c>
      <c r="AH29" s="23">
        <f t="shared" si="26"/>
        <v>0.20380392305211723</v>
      </c>
      <c r="AI29" s="23">
        <f t="shared" si="27"/>
        <v>1.1932052887072802</v>
      </c>
      <c r="AJ29" s="23">
        <f t="shared" si="28"/>
        <v>0.36815794796498746</v>
      </c>
      <c r="AK29" s="289">
        <f t="shared" si="36"/>
        <v>1.8616460559111466E-3</v>
      </c>
      <c r="AL29" s="70">
        <f t="shared" si="29"/>
        <v>6.6999999999999993</v>
      </c>
      <c r="AM29" s="187">
        <f t="shared" si="37"/>
        <v>7.0000000000000007E-2</v>
      </c>
      <c r="AN29" s="188">
        <f t="shared" si="43"/>
        <v>9</v>
      </c>
      <c r="AO29" s="71">
        <f t="shared" si="38"/>
        <v>0</v>
      </c>
      <c r="AP29" s="342">
        <f t="shared" si="39"/>
        <v>0</v>
      </c>
      <c r="AQ29" s="506">
        <f t="shared" si="40"/>
        <v>0</v>
      </c>
      <c r="AR29" s="343">
        <f t="shared" si="41"/>
        <v>0</v>
      </c>
    </row>
    <row r="30" spans="1:44" s="74" customFormat="1" ht="15" customHeight="1">
      <c r="A30" s="63">
        <f t="shared" si="42"/>
        <v>0.08</v>
      </c>
      <c r="B30" s="64">
        <f t="shared" si="0"/>
        <v>0.28980760953916546</v>
      </c>
      <c r="C30" s="64">
        <f t="shared" si="1"/>
        <v>1.7898076095391655</v>
      </c>
      <c r="D30" s="179">
        <f t="shared" si="2"/>
        <v>-8.672942397777776</v>
      </c>
      <c r="E30" s="64">
        <f t="shared" si="3"/>
        <v>3.4523999999999996E-3</v>
      </c>
      <c r="F30" s="65">
        <f t="shared" si="4"/>
        <v>35935.513886701869</v>
      </c>
      <c r="G30" s="65">
        <f t="shared" si="5"/>
        <v>25000</v>
      </c>
      <c r="H30" s="66">
        <f t="shared" si="6"/>
        <v>39.53812434927233</v>
      </c>
      <c r="I30" s="66">
        <f t="shared" si="7"/>
        <v>43.538518828551979</v>
      </c>
      <c r="J30" s="648">
        <f t="shared" si="8"/>
        <v>3.5282167053523645</v>
      </c>
      <c r="K30" s="586">
        <f t="shared" si="9"/>
        <v>0.25033872134722968</v>
      </c>
      <c r="L30" s="644">
        <f t="shared" si="10"/>
        <v>1.794168214612796</v>
      </c>
      <c r="M30" s="594">
        <f t="shared" si="11"/>
        <v>4.0825223484334625</v>
      </c>
      <c r="N30" s="251">
        <f t="shared" si="30"/>
        <v>0</v>
      </c>
      <c r="O30" s="64">
        <f t="shared" si="12"/>
        <v>-0.44343270950217095</v>
      </c>
      <c r="P30" s="64">
        <f t="shared" si="13"/>
        <v>3.7867175968815753E-2</v>
      </c>
      <c r="Q30" s="64">
        <f t="shared" si="14"/>
        <v>4.7648266426634021E-2</v>
      </c>
      <c r="R30" s="644">
        <f t="shared" si="31"/>
        <v>0.81964051244792169</v>
      </c>
      <c r="S30" s="64">
        <f t="shared" si="32"/>
        <v>0.50176356754470131</v>
      </c>
      <c r="T30" s="334">
        <f t="shared" si="33"/>
        <v>7.1103448759235839</v>
      </c>
      <c r="U30" s="602">
        <f t="shared" si="34"/>
        <v>9.6490377310914788</v>
      </c>
      <c r="V30" s="164">
        <f t="shared" si="15"/>
        <v>6.8205372663844184</v>
      </c>
      <c r="W30" s="180">
        <f t="shared" si="16"/>
        <v>-0.4103448759235846</v>
      </c>
      <c r="X30" s="414">
        <f t="shared" si="17"/>
        <v>-6.2067577961738873</v>
      </c>
      <c r="Y30" s="72">
        <f t="shared" si="18"/>
        <v>0.76691917674455423</v>
      </c>
      <c r="Z30" s="73">
        <f t="shared" si="19"/>
        <v>0.72189541768448873</v>
      </c>
      <c r="AA30" s="295">
        <f t="shared" si="35"/>
        <v>0.29360368900528688</v>
      </c>
      <c r="AB30" s="69">
        <f t="shared" si="20"/>
        <v>0.4189328896210871</v>
      </c>
      <c r="AC30" s="68">
        <f t="shared" si="21"/>
        <v>0.16364103681521702</v>
      </c>
      <c r="AD30" s="68">
        <f t="shared" si="22"/>
        <v>0.29360368900528688</v>
      </c>
      <c r="AE30" s="23">
        <f t="shared" si="23"/>
        <v>0.92837584553288144</v>
      </c>
      <c r="AF30" s="23">
        <f t="shared" si="24"/>
        <v>0.60546250795622714</v>
      </c>
      <c r="AG30" s="23">
        <f t="shared" si="25"/>
        <v>1.3336272389792465</v>
      </c>
      <c r="AH30" s="23">
        <f t="shared" si="26"/>
        <v>0.20021111450986223</v>
      </c>
      <c r="AI30" s="23">
        <f t="shared" si="27"/>
        <v>1.1721705701909193</v>
      </c>
      <c r="AJ30" s="23">
        <f t="shared" si="28"/>
        <v>0.36166778329818938</v>
      </c>
      <c r="AK30" s="289">
        <f t="shared" si="36"/>
        <v>1.7905742728050737E-3</v>
      </c>
      <c r="AL30" s="70">
        <f t="shared" si="29"/>
        <v>6.6999999999999993</v>
      </c>
      <c r="AM30" s="187">
        <f t="shared" si="37"/>
        <v>7.0000000000000007E-2</v>
      </c>
      <c r="AN30" s="188">
        <f t="shared" si="43"/>
        <v>9</v>
      </c>
      <c r="AO30" s="71">
        <f t="shared" si="38"/>
        <v>0</v>
      </c>
      <c r="AP30" s="342">
        <f t="shared" si="39"/>
        <v>0</v>
      </c>
      <c r="AQ30" s="506">
        <f t="shared" si="40"/>
        <v>0</v>
      </c>
      <c r="AR30" s="343">
        <f t="shared" si="41"/>
        <v>0</v>
      </c>
    </row>
    <row r="31" spans="1:44" s="74" customFormat="1" ht="15" customHeight="1">
      <c r="A31" s="63">
        <f t="shared" si="42"/>
        <v>8.5000000000000006E-2</v>
      </c>
      <c r="B31" s="64">
        <f t="shared" si="0"/>
        <v>0.3079205851353633</v>
      </c>
      <c r="C31" s="64">
        <f t="shared" si="1"/>
        <v>1.8079205851353632</v>
      </c>
      <c r="D31" s="179">
        <f t="shared" si="2"/>
        <v>-9.2150012976388886</v>
      </c>
      <c r="E31" s="64">
        <f t="shared" si="3"/>
        <v>3.6681749999999996E-3</v>
      </c>
      <c r="F31" s="65">
        <f t="shared" si="4"/>
        <v>33821.660128660573</v>
      </c>
      <c r="G31" s="65">
        <f t="shared" si="5"/>
        <v>23529.411764705881</v>
      </c>
      <c r="H31" s="66">
        <f t="shared" si="6"/>
        <v>40.420072553450737</v>
      </c>
      <c r="I31" s="66">
        <f t="shared" si="7"/>
        <v>44.340969880595473</v>
      </c>
      <c r="J31" s="648">
        <f t="shared" si="8"/>
        <v>3.7037544683165642</v>
      </c>
      <c r="K31" s="586">
        <f t="shared" si="9"/>
        <v>0.25210456665071668</v>
      </c>
      <c r="L31" s="644">
        <f t="shared" si="10"/>
        <v>1.8107585748626471</v>
      </c>
      <c r="M31" s="594">
        <f t="shared" si="11"/>
        <v>4.1419204409075174</v>
      </c>
      <c r="N31" s="251">
        <f t="shared" si="30"/>
        <v>0</v>
      </c>
      <c r="O31" s="64">
        <f t="shared" si="12"/>
        <v>-0.47114725384605666</v>
      </c>
      <c r="P31" s="64">
        <f t="shared" si="13"/>
        <v>4.2228785685412308E-2</v>
      </c>
      <c r="Q31" s="64">
        <f t="shared" si="14"/>
        <v>5.9416968495259258E-2</v>
      </c>
      <c r="R31" s="644">
        <f t="shared" si="31"/>
        <v>0.87143740495761968</v>
      </c>
      <c r="S31" s="64">
        <f t="shared" si="32"/>
        <v>0.58101648910773807</v>
      </c>
      <c r="T31" s="334">
        <f t="shared" si="33"/>
        <v>7.4634044908751926</v>
      </c>
      <c r="U31" s="602">
        <f t="shared" si="34"/>
        <v>10.04667092357078</v>
      </c>
      <c r="V31" s="164">
        <f t="shared" si="15"/>
        <v>7.1554839057398292</v>
      </c>
      <c r="W31" s="180">
        <f t="shared" si="16"/>
        <v>-0.76340449087519335</v>
      </c>
      <c r="X31" s="414">
        <f t="shared" si="17"/>
        <v>-6.3280628271299273</v>
      </c>
      <c r="Y31" s="72">
        <f t="shared" si="18"/>
        <v>0.75304002385574209</v>
      </c>
      <c r="Z31" s="73">
        <f t="shared" si="19"/>
        <v>0.71310545044998941</v>
      </c>
      <c r="AA31" s="295">
        <f t="shared" si="35"/>
        <v>0.28089803147019521</v>
      </c>
      <c r="AB31" s="69">
        <f t="shared" si="20"/>
        <v>0.40217409804942017</v>
      </c>
      <c r="AC31" s="68">
        <f t="shared" si="21"/>
        <v>0.15496087229292832</v>
      </c>
      <c r="AD31" s="68">
        <f t="shared" si="22"/>
        <v>0.28089803147019521</v>
      </c>
      <c r="AE31" s="23">
        <f t="shared" si="23"/>
        <v>0.91157476572010887</v>
      </c>
      <c r="AF31" s="23">
        <f t="shared" si="24"/>
        <v>0.59450528199137542</v>
      </c>
      <c r="AG31" s="23">
        <f t="shared" si="25"/>
        <v>1.3094922102725088</v>
      </c>
      <c r="AH31" s="23">
        <f t="shared" si="26"/>
        <v>0.19658783743897551</v>
      </c>
      <c r="AI31" s="23">
        <f t="shared" si="27"/>
        <v>1.1509574684081421</v>
      </c>
      <c r="AJ31" s="23">
        <f t="shared" si="28"/>
        <v>0.35512257930334223</v>
      </c>
      <c r="AK31" s="289">
        <f t="shared" si="36"/>
        <v>1.7231977117513947E-3</v>
      </c>
      <c r="AL31" s="70">
        <f t="shared" si="29"/>
        <v>6.6999999999999993</v>
      </c>
      <c r="AM31" s="187">
        <f t="shared" si="37"/>
        <v>7.0000000000000007E-2</v>
      </c>
      <c r="AN31" s="188">
        <f t="shared" si="43"/>
        <v>9</v>
      </c>
      <c r="AO31" s="71">
        <f t="shared" si="38"/>
        <v>0</v>
      </c>
      <c r="AP31" s="342">
        <f t="shared" si="39"/>
        <v>0</v>
      </c>
      <c r="AQ31" s="506">
        <f t="shared" si="40"/>
        <v>0</v>
      </c>
      <c r="AR31" s="343">
        <f t="shared" si="41"/>
        <v>0</v>
      </c>
    </row>
    <row r="32" spans="1:44" s="74" customFormat="1" ht="15" customHeight="1">
      <c r="A32" s="63">
        <f t="shared" si="42"/>
        <v>9.0000000000000011E-2</v>
      </c>
      <c r="B32" s="64">
        <f t="shared" si="0"/>
        <v>0.32603356073156115</v>
      </c>
      <c r="C32" s="64">
        <f t="shared" si="1"/>
        <v>1.8260335607315612</v>
      </c>
      <c r="D32" s="179">
        <f t="shared" si="2"/>
        <v>-9.7570601974999995</v>
      </c>
      <c r="E32" s="64">
        <f t="shared" si="3"/>
        <v>3.8839499999999997E-3</v>
      </c>
      <c r="F32" s="65">
        <f t="shared" si="4"/>
        <v>31942.679010401655</v>
      </c>
      <c r="G32" s="65">
        <f t="shared" si="5"/>
        <v>22222.222222222219</v>
      </c>
      <c r="H32" s="66">
        <f t="shared" si="6"/>
        <v>41.334914194475971</v>
      </c>
      <c r="I32" s="66">
        <f t="shared" si="7"/>
        <v>45.176481449868852</v>
      </c>
      <c r="J32" s="648">
        <f t="shared" si="8"/>
        <v>3.8912997059184602</v>
      </c>
      <c r="K32" s="586">
        <f t="shared" si="9"/>
        <v>0.25421138087480744</v>
      </c>
      <c r="L32" s="644">
        <f t="shared" si="10"/>
        <v>1.8305015390504402</v>
      </c>
      <c r="M32" s="594">
        <f t="shared" si="11"/>
        <v>4.2129346831349945</v>
      </c>
      <c r="N32" s="251">
        <f t="shared" si="30"/>
        <v>0</v>
      </c>
      <c r="O32" s="64">
        <f t="shared" si="12"/>
        <v>-0.49886179818994236</v>
      </c>
      <c r="P32" s="64">
        <f t="shared" si="13"/>
        <v>4.6735506380884355E-2</v>
      </c>
      <c r="Q32" s="64">
        <f t="shared" si="14"/>
        <v>7.3002692367097277E-2</v>
      </c>
      <c r="R32" s="644">
        <f t="shared" si="31"/>
        <v>0.93614722836148678</v>
      </c>
      <c r="S32" s="64">
        <f t="shared" si="32"/>
        <v>0.68655429075140362</v>
      </c>
      <c r="T32" s="334">
        <f t="shared" si="33"/>
        <v>7.8726390171804503</v>
      </c>
      <c r="U32" s="602">
        <f t="shared" si="34"/>
        <v>10.509283542139812</v>
      </c>
      <c r="V32" s="164">
        <f t="shared" si="15"/>
        <v>7.5466054564488889</v>
      </c>
      <c r="W32" s="180">
        <f t="shared" si="16"/>
        <v>-1.172639017180451</v>
      </c>
      <c r="X32" s="414">
        <f t="shared" si="17"/>
        <v>-6.4772402508236633</v>
      </c>
      <c r="Y32" s="72">
        <f t="shared" si="18"/>
        <v>0.73911300626019194</v>
      </c>
      <c r="Z32" s="73">
        <f t="shared" si="19"/>
        <v>0.7040986037739011</v>
      </c>
      <c r="AA32" s="295">
        <f t="shared" si="35"/>
        <v>0.26780573648500994</v>
      </c>
      <c r="AB32" s="69">
        <f t="shared" si="20"/>
        <v>0.38498950564562495</v>
      </c>
      <c r="AC32" s="68">
        <f t="shared" si="21"/>
        <v>0.14593364264197173</v>
      </c>
      <c r="AD32" s="68">
        <f t="shared" si="22"/>
        <v>0.26780573648500994</v>
      </c>
      <c r="AE32" s="23">
        <f t="shared" si="23"/>
        <v>0.89471574442023227</v>
      </c>
      <c r="AF32" s="23">
        <f t="shared" si="24"/>
        <v>0.5835102681001515</v>
      </c>
      <c r="AG32" s="23">
        <f t="shared" si="25"/>
        <v>1.2852739476623467</v>
      </c>
      <c r="AH32" s="23">
        <f t="shared" si="26"/>
        <v>0.19295206485803729</v>
      </c>
      <c r="AI32" s="23">
        <f t="shared" si="27"/>
        <v>1.1296712095023063</v>
      </c>
      <c r="AJ32" s="23">
        <f t="shared" si="28"/>
        <v>0.34855480301807762</v>
      </c>
      <c r="AK32" s="289">
        <f t="shared" si="36"/>
        <v>1.6594418398199352E-3</v>
      </c>
      <c r="AL32" s="70">
        <f t="shared" si="29"/>
        <v>6.6999999999999993</v>
      </c>
      <c r="AM32" s="187">
        <f t="shared" si="37"/>
        <v>7.0000000000000007E-2</v>
      </c>
      <c r="AN32" s="188">
        <f t="shared" si="43"/>
        <v>9</v>
      </c>
      <c r="AO32" s="71">
        <f t="shared" si="38"/>
        <v>0</v>
      </c>
      <c r="AP32" s="342">
        <f t="shared" si="39"/>
        <v>0</v>
      </c>
      <c r="AQ32" s="506">
        <f t="shared" si="40"/>
        <v>0</v>
      </c>
      <c r="AR32" s="343">
        <f t="shared" si="41"/>
        <v>0</v>
      </c>
    </row>
    <row r="33" spans="1:49" s="62" customFormat="1" ht="15" customHeight="1">
      <c r="A33" s="51">
        <f t="shared" si="42"/>
        <v>9.5000000000000015E-2</v>
      </c>
      <c r="B33" s="52">
        <f t="shared" si="0"/>
        <v>0.34414653632775899</v>
      </c>
      <c r="C33" s="52">
        <f t="shared" si="1"/>
        <v>1.8441465363277589</v>
      </c>
      <c r="D33" s="176">
        <f t="shared" si="2"/>
        <v>-10.29911909736111</v>
      </c>
      <c r="E33" s="52">
        <f t="shared" si="3"/>
        <v>4.0997250000000002E-3</v>
      </c>
      <c r="F33" s="53">
        <f t="shared" si="4"/>
        <v>30261.485378275254</v>
      </c>
      <c r="G33" s="53">
        <f t="shared" si="5"/>
        <v>21052.631578947367</v>
      </c>
      <c r="H33" s="54">
        <f t="shared" si="6"/>
        <v>42.280514138003703</v>
      </c>
      <c r="I33" s="54">
        <f t="shared" si="7"/>
        <v>46.043253800090888</v>
      </c>
      <c r="J33" s="647">
        <f t="shared" si="8"/>
        <v>4.0912889204730121</v>
      </c>
      <c r="K33" s="585">
        <f t="shared" si="9"/>
        <v>0.25672087640911201</v>
      </c>
      <c r="L33" s="247">
        <f t="shared" si="10"/>
        <v>1.85398745135201</v>
      </c>
      <c r="M33" s="593">
        <f t="shared" si="11"/>
        <v>4.2980005792898766</v>
      </c>
      <c r="N33" s="265">
        <f t="shared" si="30"/>
        <v>0</v>
      </c>
      <c r="O33" s="52">
        <f t="shared" si="12"/>
        <v>-0.52657634253382801</v>
      </c>
      <c r="P33" s="52">
        <f t="shared" si="13"/>
        <v>5.1369836706903108E-2</v>
      </c>
      <c r="Q33" s="52">
        <f t="shared" si="14"/>
        <v>8.8512105287009424E-2</v>
      </c>
      <c r="R33" s="247">
        <f t="shared" si="31"/>
        <v>1.0174072941545811</v>
      </c>
      <c r="S33" s="52">
        <f t="shared" si="32"/>
        <v>0.83180634964623201</v>
      </c>
      <c r="T33" s="277">
        <f t="shared" si="33"/>
        <v>8.3562486572406023</v>
      </c>
      <c r="U33" s="601">
        <f t="shared" si="34"/>
        <v>11.056982661587583</v>
      </c>
      <c r="V33" s="177">
        <f t="shared" si="15"/>
        <v>8.0121021209128429</v>
      </c>
      <c r="W33" s="178">
        <f t="shared" si="16"/>
        <v>-1.656248657240603</v>
      </c>
      <c r="X33" s="413">
        <f t="shared" si="17"/>
        <v>-6.6647487345802814</v>
      </c>
      <c r="Y33" s="59">
        <f t="shared" si="18"/>
        <v>0.72519907393261707</v>
      </c>
      <c r="Z33" s="60">
        <f t="shared" si="19"/>
        <v>0.69491313747599848</v>
      </c>
      <c r="AA33" s="294">
        <f t="shared" si="35"/>
        <v>0.25437379122199788</v>
      </c>
      <c r="AB33" s="56">
        <f t="shared" si="20"/>
        <v>0.36745065029814228</v>
      </c>
      <c r="AC33" s="55">
        <f t="shared" si="21"/>
        <v>0.13658372798075868</v>
      </c>
      <c r="AD33" s="55">
        <f t="shared" si="22"/>
        <v>0.25437379122199788</v>
      </c>
      <c r="AE33" s="61">
        <f t="shared" si="23"/>
        <v>0.87787256318158902</v>
      </c>
      <c r="AF33" s="61">
        <f t="shared" si="24"/>
        <v>0.57252558468364501</v>
      </c>
      <c r="AG33" s="61">
        <f t="shared" si="25"/>
        <v>1.2610784395618257</v>
      </c>
      <c r="AH33" s="61">
        <f t="shared" si="26"/>
        <v>0.18931970830340852</v>
      </c>
      <c r="AI33" s="61">
        <f t="shared" si="27"/>
        <v>1.1084049503128537</v>
      </c>
      <c r="AJ33" s="61">
        <f t="shared" si="28"/>
        <v>0.3419931975523805</v>
      </c>
      <c r="AK33" s="299">
        <f t="shared" si="36"/>
        <v>1.5991855504749544E-3</v>
      </c>
      <c r="AL33" s="57">
        <f t="shared" si="29"/>
        <v>6.6999999999999993</v>
      </c>
      <c r="AM33" s="186">
        <f t="shared" si="37"/>
        <v>7.0000000000000007E-2</v>
      </c>
      <c r="AN33" s="189">
        <f t="shared" si="43"/>
        <v>9</v>
      </c>
      <c r="AO33" s="58">
        <f t="shared" si="38"/>
        <v>0</v>
      </c>
      <c r="AP33" s="340">
        <f t="shared" si="39"/>
        <v>0</v>
      </c>
      <c r="AQ33" s="505">
        <f t="shared" si="40"/>
        <v>0</v>
      </c>
      <c r="AR33" s="341">
        <f t="shared" si="41"/>
        <v>0</v>
      </c>
    </row>
    <row r="34" spans="1:49" s="74" customFormat="1" ht="15" customHeight="1">
      <c r="A34" s="63">
        <f t="shared" si="42"/>
        <v>0.10000000000000002</v>
      </c>
      <c r="B34" s="64">
        <f t="shared" si="0"/>
        <v>0.36225951192395689</v>
      </c>
      <c r="C34" s="64">
        <f t="shared" si="1"/>
        <v>1.8622595119239569</v>
      </c>
      <c r="D34" s="179">
        <f t="shared" si="2"/>
        <v>-10.841177997222223</v>
      </c>
      <c r="E34" s="64">
        <f t="shared" si="3"/>
        <v>4.3154999999999999E-3</v>
      </c>
      <c r="F34" s="65">
        <f t="shared" si="4"/>
        <v>28748.411109361485</v>
      </c>
      <c r="G34" s="65">
        <f t="shared" si="5"/>
        <v>19999.999999999996</v>
      </c>
      <c r="H34" s="66">
        <f t="shared" si="6"/>
        <v>43.254855197468189</v>
      </c>
      <c r="I34" s="66">
        <f t="shared" si="7"/>
        <v>46.939555205387215</v>
      </c>
      <c r="J34" s="648">
        <f t="shared" si="8"/>
        <v>4.3042574055400671</v>
      </c>
      <c r="K34" s="586">
        <f t="shared" si="9"/>
        <v>0.25970851022542885</v>
      </c>
      <c r="L34" s="644">
        <f t="shared" si="10"/>
        <v>1.8819223018868447</v>
      </c>
      <c r="M34" s="594">
        <f t="shared" si="11"/>
        <v>4.4001922346832396</v>
      </c>
      <c r="N34" s="251">
        <f t="shared" si="30"/>
        <v>0</v>
      </c>
      <c r="O34" s="64">
        <f t="shared" si="12"/>
        <v>-0.55429088687771377</v>
      </c>
      <c r="P34" s="64">
        <f t="shared" si="13"/>
        <v>5.6114172916749618E-2</v>
      </c>
      <c r="Q34" s="64">
        <f t="shared" si="14"/>
        <v>0.10604035448524393</v>
      </c>
      <c r="R34" s="644">
        <f t="shared" si="31"/>
        <v>1.1204808628157001</v>
      </c>
      <c r="S34" s="64">
        <f t="shared" si="32"/>
        <v>1.0413579770301307</v>
      </c>
      <c r="T34" s="334">
        <f t="shared" si="33"/>
        <v>8.9454184136819421</v>
      </c>
      <c r="U34" s="602">
        <f t="shared" si="34"/>
        <v>11.723396856703767</v>
      </c>
      <c r="V34" s="164">
        <f t="shared" si="15"/>
        <v>8.5831589017579848</v>
      </c>
      <c r="W34" s="180">
        <f t="shared" si="16"/>
        <v>-2.2454184136819428</v>
      </c>
      <c r="X34" s="414">
        <f t="shared" si="17"/>
        <v>-6.9082393417277821</v>
      </c>
      <c r="Y34" s="72">
        <f t="shared" si="18"/>
        <v>0.7113515428633238</v>
      </c>
      <c r="Z34" s="73">
        <f t="shared" si="19"/>
        <v>0.68558559507202965</v>
      </c>
      <c r="AA34" s="295">
        <f t="shared" si="35"/>
        <v>0.24064787399723486</v>
      </c>
      <c r="AB34" s="69">
        <f t="shared" si="20"/>
        <v>0.34962574791949441</v>
      </c>
      <c r="AC34" s="68">
        <f t="shared" si="21"/>
        <v>0.1269358176824511</v>
      </c>
      <c r="AD34" s="68">
        <f t="shared" si="22"/>
        <v>0.24064787399723486</v>
      </c>
      <c r="AE34" s="23">
        <f t="shared" si="23"/>
        <v>0.86110976241349724</v>
      </c>
      <c r="AF34" s="23">
        <f t="shared" si="24"/>
        <v>0.56159332331315048</v>
      </c>
      <c r="AG34" s="23">
        <f t="shared" si="25"/>
        <v>1.2369983993351461</v>
      </c>
      <c r="AH34" s="23">
        <f t="shared" si="26"/>
        <v>0.18570468639150167</v>
      </c>
      <c r="AI34" s="23">
        <f t="shared" si="27"/>
        <v>1.0872401797849727</v>
      </c>
      <c r="AJ34" s="23">
        <f t="shared" si="28"/>
        <v>0.33546290594167505</v>
      </c>
      <c r="AK34" s="289">
        <f t="shared" si="36"/>
        <v>1.5422780858279637E-3</v>
      </c>
      <c r="AL34" s="70">
        <f t="shared" si="29"/>
        <v>6.6999999999999993</v>
      </c>
      <c r="AM34" s="187">
        <f t="shared" si="37"/>
        <v>7.0000000000000007E-2</v>
      </c>
      <c r="AN34" s="188">
        <f t="shared" si="43"/>
        <v>9</v>
      </c>
      <c r="AO34" s="71">
        <f t="shared" si="38"/>
        <v>0</v>
      </c>
      <c r="AP34" s="342">
        <f t="shared" si="39"/>
        <v>0</v>
      </c>
      <c r="AQ34" s="506">
        <f t="shared" si="40"/>
        <v>0</v>
      </c>
      <c r="AR34" s="343">
        <f t="shared" si="41"/>
        <v>0</v>
      </c>
    </row>
    <row r="35" spans="1:49" s="74" customFormat="1" ht="15" customHeight="1">
      <c r="A35" s="63">
        <f t="shared" si="42"/>
        <v>0.10500000000000002</v>
      </c>
      <c r="B35" s="64">
        <f t="shared" si="0"/>
        <v>0.38037248752015473</v>
      </c>
      <c r="C35" s="64">
        <f t="shared" si="1"/>
        <v>1.8803724875201548</v>
      </c>
      <c r="D35" s="179">
        <f t="shared" si="2"/>
        <v>-11.383236897083334</v>
      </c>
      <c r="E35" s="64">
        <f t="shared" si="3"/>
        <v>4.5312750000000004E-3</v>
      </c>
      <c r="F35" s="65">
        <f t="shared" si="4"/>
        <v>27379.439151772844</v>
      </c>
      <c r="G35" s="65">
        <f t="shared" si="5"/>
        <v>19047.619047619042</v>
      </c>
      <c r="H35" s="66">
        <f t="shared" si="6"/>
        <v>44.256039120155336</v>
      </c>
      <c r="I35" s="66">
        <f t="shared" si="7"/>
        <v>47.863726801518212</v>
      </c>
      <c r="J35" s="648">
        <f t="shared" si="8"/>
        <v>4.5308545521625474</v>
      </c>
      <c r="K35" s="586">
        <f t="shared" si="9"/>
        <v>0.26326784645487944</v>
      </c>
      <c r="L35" s="644">
        <f t="shared" si="10"/>
        <v>1.9151660178075316</v>
      </c>
      <c r="M35" s="594">
        <f t="shared" si="11"/>
        <v>4.5234659484745467</v>
      </c>
      <c r="N35" s="251">
        <f t="shared" si="30"/>
        <v>0</v>
      </c>
      <c r="O35" s="64">
        <f t="shared" si="12"/>
        <v>-0.58200543122159953</v>
      </c>
      <c r="P35" s="64">
        <f t="shared" si="13"/>
        <v>6.095091825933268E-2</v>
      </c>
      <c r="Q35" s="64">
        <f t="shared" si="14"/>
        <v>0.12567013097305393</v>
      </c>
      <c r="R35" s="644">
        <f t="shared" si="31"/>
        <v>1.2532872300339748</v>
      </c>
      <c r="S35" s="64">
        <f t="shared" si="32"/>
        <v>1.3661492803157784</v>
      </c>
      <c r="T35" s="334">
        <f t="shared" si="33"/>
        <v>9.7005996988130399</v>
      </c>
      <c r="U35" s="602">
        <f t="shared" si="34"/>
        <v>12.572167475934936</v>
      </c>
      <c r="V35" s="164">
        <f t="shared" si="15"/>
        <v>9.3202272112928846</v>
      </c>
      <c r="W35" s="180">
        <f t="shared" si="16"/>
        <v>-3.0005996988130406</v>
      </c>
      <c r="X35" s="414">
        <f t="shared" si="17"/>
        <v>-7.2411841126728884</v>
      </c>
      <c r="Y35" s="72">
        <f t="shared" si="18"/>
        <v>0.69761648847643076</v>
      </c>
      <c r="Z35" s="73">
        <f t="shared" si="19"/>
        <v>0.67615077129235612</v>
      </c>
      <c r="AA35" s="295">
        <f t="shared" si="35"/>
        <v>0.22667203467867281</v>
      </c>
      <c r="AB35" s="69">
        <f t="shared" si="20"/>
        <v>0.33157956704509695</v>
      </c>
      <c r="AC35" s="68">
        <f t="shared" si="21"/>
        <v>0.11701489985940738</v>
      </c>
      <c r="AD35" s="68">
        <f t="shared" si="22"/>
        <v>0.22667203467867281</v>
      </c>
      <c r="AE35" s="23">
        <f t="shared" si="23"/>
        <v>0.84448311762936357</v>
      </c>
      <c r="AF35" s="23">
        <f t="shared" si="24"/>
        <v>0.55074985932349807</v>
      </c>
      <c r="AG35" s="23">
        <f t="shared" si="25"/>
        <v>1.2131139494287342</v>
      </c>
      <c r="AH35" s="23">
        <f t="shared" si="26"/>
        <v>0.18211902752412748</v>
      </c>
      <c r="AI35" s="23">
        <f t="shared" si="27"/>
        <v>1.0662473202758016</v>
      </c>
      <c r="AJ35" s="23">
        <f t="shared" si="28"/>
        <v>0.32898565667706026</v>
      </c>
      <c r="AK35" s="289">
        <f t="shared" si="36"/>
        <v>1.4885515260515355E-3</v>
      </c>
      <c r="AL35" s="70">
        <f t="shared" si="29"/>
        <v>6.6999999999999993</v>
      </c>
      <c r="AM35" s="187">
        <f t="shared" si="37"/>
        <v>7.0000000000000007E-2</v>
      </c>
      <c r="AN35" s="188">
        <f t="shared" si="43"/>
        <v>9</v>
      </c>
      <c r="AO35" s="71">
        <f t="shared" si="38"/>
        <v>0</v>
      </c>
      <c r="AP35" s="342">
        <f t="shared" si="39"/>
        <v>0</v>
      </c>
      <c r="AQ35" s="506">
        <f t="shared" si="40"/>
        <v>0</v>
      </c>
      <c r="AR35" s="343">
        <f t="shared" si="41"/>
        <v>0</v>
      </c>
    </row>
    <row r="36" spans="1:49" s="74" customFormat="1" ht="15" customHeight="1">
      <c r="A36" s="63">
        <f t="shared" si="42"/>
        <v>0.11000000000000003</v>
      </c>
      <c r="B36" s="64">
        <f t="shared" si="0"/>
        <v>0.39848546311635258</v>
      </c>
      <c r="C36" s="64">
        <f t="shared" si="1"/>
        <v>1.8984854631163526</v>
      </c>
      <c r="D36" s="179">
        <f t="shared" si="2"/>
        <v>-11.925295796944445</v>
      </c>
      <c r="E36" s="64">
        <f t="shared" si="3"/>
        <v>4.7470500000000001E-3</v>
      </c>
      <c r="F36" s="65">
        <f t="shared" si="4"/>
        <v>26134.919190328623</v>
      </c>
      <c r="G36" s="65">
        <f t="shared" si="5"/>
        <v>18181.818181818177</v>
      </c>
      <c r="H36" s="66">
        <f t="shared" si="6"/>
        <v>45.282285467125746</v>
      </c>
      <c r="I36" s="66">
        <f t="shared" si="7"/>
        <v>48.814185662079019</v>
      </c>
      <c r="J36" s="648">
        <f t="shared" si="8"/>
        <v>4.7718964150561796</v>
      </c>
      <c r="K36" s="586">
        <f t="shared" si="9"/>
        <v>0.26749087184388376</v>
      </c>
      <c r="L36" s="644">
        <f t="shared" si="10"/>
        <v>1.954746424513556</v>
      </c>
      <c r="M36" s="594">
        <f t="shared" si="11"/>
        <v>4.6730277012705974</v>
      </c>
      <c r="N36" s="251">
        <f t="shared" si="30"/>
        <v>0</v>
      </c>
      <c r="O36" s="64">
        <f t="shared" si="12"/>
        <v>-0.60971997556548518</v>
      </c>
      <c r="P36" s="64">
        <f t="shared" si="13"/>
        <v>6.5862589175502403E-2</v>
      </c>
      <c r="Q36" s="64">
        <f t="shared" si="14"/>
        <v>0.147470919985387</v>
      </c>
      <c r="R36" s="644">
        <f t="shared" si="31"/>
        <v>1.428350532104292</v>
      </c>
      <c r="S36" s="64">
        <f t="shared" si="32"/>
        <v>1.9354614820979672</v>
      </c>
      <c r="T36" s="334">
        <f t="shared" si="33"/>
        <v>10.765511236873733</v>
      </c>
      <c r="U36" s="602">
        <f t="shared" si="34"/>
        <v>13.751283385474657</v>
      </c>
      <c r="V36" s="164">
        <f t="shared" si="15"/>
        <v>10.36702577375738</v>
      </c>
      <c r="W36" s="180">
        <f t="shared" si="16"/>
        <v>-4.0655112368737338</v>
      </c>
      <c r="X36" s="414">
        <f t="shared" si="17"/>
        <v>-7.7408172802428306</v>
      </c>
      <c r="Y36" s="72">
        <f t="shared" si="18"/>
        <v>0.68403322853359749</v>
      </c>
      <c r="Z36" s="73">
        <f t="shared" si="19"/>
        <v>0.66664042433388049</v>
      </c>
      <c r="AA36" s="295">
        <f t="shared" si="35"/>
        <v>0.21248863958380437</v>
      </c>
      <c r="AB36" s="69">
        <f t="shared" si="20"/>
        <v>0.31337278069854957</v>
      </c>
      <c r="AC36" s="68">
        <f t="shared" si="21"/>
        <v>0.10684605734445651</v>
      </c>
      <c r="AD36" s="68">
        <f t="shared" si="22"/>
        <v>0.21248863958380437</v>
      </c>
      <c r="AE36" s="23">
        <f t="shared" si="23"/>
        <v>0.82804022401435484</v>
      </c>
      <c r="AF36" s="23">
        <f t="shared" si="24"/>
        <v>0.54002623305284014</v>
      </c>
      <c r="AG36" s="23">
        <f t="shared" si="25"/>
        <v>1.18949346111236</v>
      </c>
      <c r="AH36" s="23">
        <f t="shared" si="26"/>
        <v>0.17857299595483522</v>
      </c>
      <c r="AI36" s="23">
        <f t="shared" si="27"/>
        <v>1.0454864656316025</v>
      </c>
      <c r="AJ36" s="23">
        <f t="shared" si="28"/>
        <v>0.32257999143559257</v>
      </c>
      <c r="AK36" s="289">
        <f t="shared" si="36"/>
        <v>1.4378298224309695E-3</v>
      </c>
      <c r="AL36" s="70">
        <f t="shared" si="29"/>
        <v>6.6999999999999993</v>
      </c>
      <c r="AM36" s="187">
        <f t="shared" si="37"/>
        <v>7.0000000000000007E-2</v>
      </c>
      <c r="AN36" s="188">
        <f t="shared" si="43"/>
        <v>9</v>
      </c>
      <c r="AO36" s="71">
        <f t="shared" si="38"/>
        <v>0</v>
      </c>
      <c r="AP36" s="342">
        <f t="shared" si="39"/>
        <v>0</v>
      </c>
      <c r="AQ36" s="506">
        <f t="shared" si="40"/>
        <v>0</v>
      </c>
      <c r="AR36" s="343">
        <f t="shared" si="41"/>
        <v>0</v>
      </c>
    </row>
    <row r="37" spans="1:49" s="74" customFormat="1" ht="15" customHeight="1">
      <c r="A37" s="63">
        <f t="shared" si="42"/>
        <v>0.11500000000000003</v>
      </c>
      <c r="B37" s="64">
        <f t="shared" si="0"/>
        <v>0.41659843871255042</v>
      </c>
      <c r="C37" s="64">
        <f t="shared" si="1"/>
        <v>1.9165984387125503</v>
      </c>
      <c r="D37" s="179">
        <f t="shared" si="2"/>
        <v>-12.467354696805558</v>
      </c>
      <c r="E37" s="64">
        <f t="shared" si="3"/>
        <v>4.9628250000000006E-3</v>
      </c>
      <c r="F37" s="65">
        <f t="shared" si="4"/>
        <v>24998.618355966504</v>
      </c>
      <c r="G37" s="65">
        <f t="shared" si="5"/>
        <v>17391.304347826081</v>
      </c>
      <c r="H37" s="66">
        <f t="shared" si="6"/>
        <v>46.331928879754038</v>
      </c>
      <c r="I37" s="66">
        <f t="shared" si="7"/>
        <v>49.789426371913947</v>
      </c>
      <c r="J37" s="648">
        <f t="shared" si="8"/>
        <v>5.0283590248805732</v>
      </c>
      <c r="K37" s="586">
        <f t="shared" si="9"/>
        <v>0.27250982295930992</v>
      </c>
      <c r="L37" s="644">
        <f t="shared" si="10"/>
        <v>2.0019628323592871</v>
      </c>
      <c r="M37" s="594">
        <f t="shared" si="11"/>
        <v>4.8559102312999425</v>
      </c>
      <c r="N37" s="251">
        <f t="shared" si="30"/>
        <v>0</v>
      </c>
      <c r="O37" s="64">
        <f t="shared" si="12"/>
        <v>-0.63743451990937094</v>
      </c>
      <c r="P37" s="64">
        <f t="shared" si="13"/>
        <v>7.0831917428236205E-2</v>
      </c>
      <c r="Q37" s="64">
        <f t="shared" si="14"/>
        <v>0.17149842190820336</v>
      </c>
      <c r="R37" s="644">
        <f t="shared" si="31"/>
        <v>1.6668613539273864</v>
      </c>
      <c r="S37" s="64">
        <f t="shared" si="32"/>
        <v>3.2510946711955562</v>
      </c>
      <c r="T37" s="334">
        <f t="shared" si="33"/>
        <v>12.665474742983555</v>
      </c>
      <c r="U37" s="602">
        <f t="shared" si="34"/>
        <v>15.791931964883521</v>
      </c>
      <c r="V37" s="164">
        <f t="shared" si="15"/>
        <v>12.248876304271004</v>
      </c>
      <c r="W37" s="180">
        <f t="shared" si="16"/>
        <v>-5.965474742983556</v>
      </c>
      <c r="X37" s="414">
        <f t="shared" si="17"/>
        <v>-8.6792851741337351</v>
      </c>
      <c r="Y37" s="72">
        <f t="shared" si="18"/>
        <v>0.67063486064795974</v>
      </c>
      <c r="Z37" s="73">
        <f t="shared" si="19"/>
        <v>0.65708477772701601</v>
      </c>
      <c r="AA37" s="295">
        <f t="shared" si="35"/>
        <v>0.1981380179548986</v>
      </c>
      <c r="AB37" s="69">
        <f t="shared" si="20"/>
        <v>0.29506188679595691</v>
      </c>
      <c r="AC37" s="68">
        <f t="shared" si="21"/>
        <v>9.6454410719253536E-2</v>
      </c>
      <c r="AD37" s="68">
        <f t="shared" si="22"/>
        <v>0.1981380179548986</v>
      </c>
      <c r="AE37" s="23">
        <f t="shared" si="23"/>
        <v>0.81182114710016173</v>
      </c>
      <c r="AF37" s="23">
        <f t="shared" si="24"/>
        <v>0.52944857419575775</v>
      </c>
      <c r="AG37" s="23">
        <f t="shared" si="25"/>
        <v>1.1661944891841838</v>
      </c>
      <c r="AH37" s="23">
        <f t="shared" si="26"/>
        <v>0.17507523211173578</v>
      </c>
      <c r="AI37" s="23">
        <f t="shared" si="27"/>
        <v>1.0250082027319818</v>
      </c>
      <c r="AJ37" s="23">
        <f t="shared" si="28"/>
        <v>0.31626151856393775</v>
      </c>
      <c r="AK37" s="289">
        <f t="shared" si="36"/>
        <v>1.3899351894471682E-3</v>
      </c>
      <c r="AL37" s="70">
        <f t="shared" si="29"/>
        <v>6.6999999999999993</v>
      </c>
      <c r="AM37" s="187">
        <f t="shared" si="37"/>
        <v>7.0000000000000007E-2</v>
      </c>
      <c r="AN37" s="188">
        <f t="shared" si="43"/>
        <v>9</v>
      </c>
      <c r="AO37" s="71">
        <f t="shared" si="38"/>
        <v>0</v>
      </c>
      <c r="AP37" s="342">
        <f t="shared" si="39"/>
        <v>0</v>
      </c>
      <c r="AQ37" s="506">
        <f t="shared" si="40"/>
        <v>0</v>
      </c>
      <c r="AR37" s="343">
        <f t="shared" si="41"/>
        <v>0</v>
      </c>
    </row>
    <row r="38" spans="1:49" s="85" customFormat="1" ht="15" customHeight="1">
      <c r="A38" s="75">
        <f t="shared" si="42"/>
        <v>0.12000000000000004</v>
      </c>
      <c r="B38" s="76">
        <f t="shared" si="0"/>
        <v>0.43471141430874832</v>
      </c>
      <c r="C38" s="76">
        <f t="shared" si="1"/>
        <v>1.9347114143087483</v>
      </c>
      <c r="D38" s="181">
        <f t="shared" si="2"/>
        <v>-13.009413596666668</v>
      </c>
      <c r="E38" s="76">
        <f t="shared" si="3"/>
        <v>5.1786000000000002E-3</v>
      </c>
      <c r="F38" s="77">
        <f t="shared" si="4"/>
        <v>23957.009257801237</v>
      </c>
      <c r="G38" s="77">
        <f t="shared" si="5"/>
        <v>16666.666666666661</v>
      </c>
      <c r="H38" s="78">
        <f t="shared" si="6"/>
        <v>47.403415155257271</v>
      </c>
      <c r="I38" s="78">
        <f t="shared" si="7"/>
        <v>50.788021354521469</v>
      </c>
      <c r="J38" s="249">
        <f t="shared" si="8"/>
        <v>5.3014444678231936</v>
      </c>
      <c r="K38" s="588">
        <f t="shared" si="9"/>
        <v>0.27847645405552779</v>
      </c>
      <c r="L38" s="249">
        <f t="shared" si="10"/>
        <v>2.0584449878523046</v>
      </c>
      <c r="M38" s="596">
        <f t="shared" si="11"/>
        <v>5.0819197569250987</v>
      </c>
      <c r="N38" s="265">
        <f t="shared" si="30"/>
        <v>0</v>
      </c>
      <c r="O38" s="76">
        <f t="shared" si="12"/>
        <v>-0.66514906425325659</v>
      </c>
      <c r="P38" s="76">
        <f t="shared" si="13"/>
        <v>7.5841947367505089E-2</v>
      </c>
      <c r="Q38" s="76">
        <f t="shared" si="14"/>
        <v>0.19779412654675405</v>
      </c>
      <c r="R38" s="249">
        <f t="shared" si="31"/>
        <v>2.0082852213096816</v>
      </c>
      <c r="S38" s="76" t="e">
        <f t="shared" si="32"/>
        <v>#NUM!</v>
      </c>
      <c r="T38" s="278" t="e">
        <f t="shared" si="33"/>
        <v>#NUM!</v>
      </c>
      <c r="U38" s="604" t="e">
        <f t="shared" si="34"/>
        <v>#NUM!</v>
      </c>
      <c r="V38" s="182" t="e">
        <f t="shared" si="15"/>
        <v>#NUM!</v>
      </c>
      <c r="W38" s="183" t="e">
        <f t="shared" si="16"/>
        <v>#NUM!</v>
      </c>
      <c r="X38" s="415" t="e">
        <f t="shared" si="17"/>
        <v>#NUM!</v>
      </c>
      <c r="Y38" s="80">
        <f t="shared" si="18"/>
        <v>0.65744882604483901</v>
      </c>
      <c r="Z38" s="83">
        <f t="shared" si="19"/>
        <v>0.64751139073610064</v>
      </c>
      <c r="AA38" s="294">
        <f t="shared" si="35"/>
        <v>0.18365850907703996</v>
      </c>
      <c r="AB38" s="79">
        <f t="shared" si="20"/>
        <v>0.27669920274790205</v>
      </c>
      <c r="AC38" s="80">
        <f t="shared" si="21"/>
        <v>8.5864952126600169E-2</v>
      </c>
      <c r="AD38" s="80">
        <f t="shared" si="22"/>
        <v>0.18365850907703996</v>
      </c>
      <c r="AE38" s="84">
        <f t="shared" si="23"/>
        <v>0.79585910521217351</v>
      </c>
      <c r="AF38" s="84">
        <f t="shared" si="24"/>
        <v>0.5190385468775045</v>
      </c>
      <c r="AG38" s="84">
        <f t="shared" si="25"/>
        <v>1.143264752317398</v>
      </c>
      <c r="AH38" s="84">
        <f t="shared" si="26"/>
        <v>0.17163289977228025</v>
      </c>
      <c r="AI38" s="84">
        <f t="shared" si="27"/>
        <v>1.0048544731500635</v>
      </c>
      <c r="AJ38" s="84">
        <f t="shared" si="28"/>
        <v>0.31004317893961475</v>
      </c>
      <c r="AK38" s="364">
        <f t="shared" si="36"/>
        <v>1.3446925118286873E-3</v>
      </c>
      <c r="AL38" s="81">
        <f t="shared" si="29"/>
        <v>6.6999999999999993</v>
      </c>
      <c r="AM38" s="190">
        <f t="shared" si="37"/>
        <v>7.0000000000000007E-2</v>
      </c>
      <c r="AN38" s="191">
        <f>ROUNDUP(L6,0)</f>
        <v>9</v>
      </c>
      <c r="AO38" s="82">
        <f t="shared" si="38"/>
        <v>0</v>
      </c>
      <c r="AP38" s="344">
        <f t="shared" si="39"/>
        <v>0</v>
      </c>
      <c r="AQ38" s="505">
        <f t="shared" si="40"/>
        <v>0</v>
      </c>
      <c r="AR38" s="341">
        <f t="shared" si="41"/>
        <v>0</v>
      </c>
    </row>
    <row r="39" spans="1:49" s="74" customFormat="1" ht="15" customHeight="1">
      <c r="A39" s="451" t="s">
        <v>206</v>
      </c>
      <c r="B39" s="452"/>
      <c r="C39" s="452"/>
      <c r="D39" s="452"/>
      <c r="E39" s="452"/>
      <c r="F39" s="452"/>
      <c r="G39" s="452"/>
      <c r="H39" s="452"/>
      <c r="I39" s="452"/>
      <c r="J39" s="453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0.16967962398781555</v>
      </c>
      <c r="AP39" s="345">
        <f>SUM(AP18:AP38)</f>
        <v>42.040293524915874</v>
      </c>
      <c r="AQ39" s="346">
        <f>SUM(AQ18:AQ38)</f>
        <v>1.2289264265940751</v>
      </c>
      <c r="AR39" s="346">
        <f>SUM(AR18:AR38)</f>
        <v>0.37917953909254992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643"/>
      <c r="B40" s="136"/>
      <c r="C40" s="136"/>
      <c r="D40" s="136"/>
      <c r="E40" s="556" t="s">
        <v>437</v>
      </c>
      <c r="F40" s="775">
        <f>BaseOM4!F40</f>
        <v>0.11</v>
      </c>
      <c r="G40" s="554">
        <f>F40*10^6/$C$4</f>
        <v>4.2666666666666666</v>
      </c>
      <c r="H40" s="553" t="s">
        <v>453</v>
      </c>
      <c r="I40" s="136"/>
      <c r="J40" s="454"/>
      <c r="K40" s="1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552"/>
      <c r="B41" s="553"/>
      <c r="E41" s="556" t="s">
        <v>449</v>
      </c>
      <c r="F41" s="776">
        <f>BaseOM4!F41</f>
        <v>7.9282707720694234E-3</v>
      </c>
      <c r="G41" s="554">
        <f>F41*10^6/$C$4</f>
        <v>0.30752080570451096</v>
      </c>
      <c r="H41" s="553" t="s">
        <v>219</v>
      </c>
      <c r="I41" s="136"/>
      <c r="J41" s="454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44">0.5+(-0.5+Z41)*$Y$44</f>
        <v>-0.28947368421052633</v>
      </c>
      <c r="AB41" s="288">
        <f t="shared" ref="AB41:AB71" si="45">MAX(MIN(B_1*Tb_eff*($AA41)/(SQRT(2)*$AG$9),10),-10)</f>
        <v>-0.53491061509622118</v>
      </c>
      <c r="AC41" s="288">
        <f t="shared" ref="AC41:AC71" si="46">MAX(MIN(B_1*Tb_eff*(1-$AA41)/(SQRT(2)*$AG$9),10),-10)</f>
        <v>2.3827836490649852</v>
      </c>
      <c r="AD41" s="308" t="e">
        <f t="shared" ref="AD41:AE71" si="47">(ERF(AB41)+1)/2</f>
        <v>#NUM!</v>
      </c>
      <c r="AE41" s="308">
        <f t="shared" si="47"/>
        <v>0.999623838360157</v>
      </c>
      <c r="AF41" s="309" t="e">
        <f t="shared" ref="AF41:AF71" si="48">AD41+AE41-1</f>
        <v>#NUM!</v>
      </c>
      <c r="AG41" s="309" t="e">
        <f t="shared" ref="AG41:AI71" si="49">1-AD41</f>
        <v>#NUM!</v>
      </c>
      <c r="AH41" s="309">
        <f t="shared" si="49"/>
        <v>3.7616163984299789E-4</v>
      </c>
      <c r="AI41" s="309" t="e">
        <f t="shared" si="49"/>
        <v>#NUM!</v>
      </c>
      <c r="AJ41" s="288">
        <f t="shared" ref="AJ41:AJ71" si="50">Z41-1</f>
        <v>-1.25</v>
      </c>
      <c r="AK41" s="288">
        <f t="shared" ref="AK41:AK71" si="51">Z41+1</f>
        <v>0.75</v>
      </c>
      <c r="AL41" s="288">
        <f t="shared" ref="AL41:AL71" si="52">$Z41-$G$9/(2*$Y$44)</f>
        <v>-0.50099699906335693</v>
      </c>
      <c r="AM41" s="306">
        <f t="shared" ref="AM41:AM71" si="53">$Z41+$G$9/(2*$Y$44)</f>
        <v>9.9699906335692923E-4</v>
      </c>
      <c r="AN41" s="288">
        <f>$C$12</f>
        <v>0.3</v>
      </c>
      <c r="AO41" s="316">
        <v>0.5</v>
      </c>
      <c r="AP41" s="307">
        <f t="shared" ref="AP41:AP69" si="54">MAX(MIN(B_1*Tb_eff*($AA41)/(SQRT(2)*$AP$39),10),-10)</f>
        <v>-0.45982924874541092</v>
      </c>
      <c r="AQ41" s="288">
        <f t="shared" ref="AQ41:AQ69" si="55">MAX(MIN(B_1*Tb_eff*(1-$AA41)/(SQRT(2)*$AP$39),10),-10)</f>
        <v>2.0483302898659215</v>
      </c>
      <c r="AR41" s="308" t="e">
        <f t="shared" ref="AR41:AS69" si="56">(ERF(AP41)+1)/2</f>
        <v>#NUM!</v>
      </c>
      <c r="AS41" s="308">
        <f t="shared" si="56"/>
        <v>0.99811490856081109</v>
      </c>
      <c r="AT41" s="309" t="e">
        <f t="shared" ref="AT41:AT69" si="57">AR41+AS41-1</f>
        <v>#NUM!</v>
      </c>
      <c r="AU41" s="309" t="e">
        <f t="shared" ref="AU41:AW69" si="58">1-AR41</f>
        <v>#NUM!</v>
      </c>
      <c r="AV41" s="309">
        <f t="shared" si="58"/>
        <v>1.8850914391889129E-3</v>
      </c>
      <c r="AW41" s="328" t="e">
        <f t="shared" si="58"/>
        <v>#NUM!</v>
      </c>
    </row>
    <row r="42" spans="1:49" s="74" customFormat="1" ht="15" customHeight="1">
      <c r="A42" s="552"/>
      <c r="B42" s="553"/>
      <c r="C42" s="553"/>
      <c r="D42" s="553"/>
      <c r="E42" s="556" t="s">
        <v>448</v>
      </c>
      <c r="F42" s="724">
        <f>BaseOM4!F42</f>
        <v>5.8970478002652371E-2</v>
      </c>
      <c r="G42" s="554">
        <f>F42*10^6/$C$4</f>
        <v>2.2873397528301527</v>
      </c>
      <c r="H42" s="553" t="s">
        <v>219</v>
      </c>
      <c r="I42" s="136"/>
      <c r="J42" s="454"/>
      <c r="K42" s="93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59">Z41+$Y$42</f>
        <v>-0.2</v>
      </c>
      <c r="AA42" s="288">
        <f t="shared" si="44"/>
        <v>-0.23684210526315785</v>
      </c>
      <c r="AB42" s="288">
        <f t="shared" si="45"/>
        <v>-0.43765413962418087</v>
      </c>
      <c r="AC42" s="288">
        <f t="shared" si="46"/>
        <v>2.2855271735929454</v>
      </c>
      <c r="AD42" s="308" t="e">
        <f t="shared" si="47"/>
        <v>#NUM!</v>
      </c>
      <c r="AE42" s="308">
        <f t="shared" si="47"/>
        <v>0.99938584531415253</v>
      </c>
      <c r="AF42" s="309" t="e">
        <f t="shared" si="48"/>
        <v>#NUM!</v>
      </c>
      <c r="AG42" s="309" t="e">
        <f t="shared" si="49"/>
        <v>#NUM!</v>
      </c>
      <c r="AH42" s="309">
        <f t="shared" si="49"/>
        <v>6.141546858474678E-4</v>
      </c>
      <c r="AI42" s="309" t="e">
        <f t="shared" si="49"/>
        <v>#NUM!</v>
      </c>
      <c r="AJ42" s="288">
        <f t="shared" si="50"/>
        <v>-1.2</v>
      </c>
      <c r="AK42" s="288">
        <f t="shared" si="51"/>
        <v>0.8</v>
      </c>
      <c r="AL42" s="288">
        <f t="shared" si="52"/>
        <v>-0.45099699906335694</v>
      </c>
      <c r="AM42" s="306">
        <f t="shared" si="53"/>
        <v>5.0996999063356918E-2</v>
      </c>
      <c r="AN42" s="288">
        <f>$C$13</f>
        <v>0.4</v>
      </c>
      <c r="AO42" s="316">
        <f>$C$14</f>
        <v>0.25</v>
      </c>
      <c r="AP42" s="307">
        <f t="shared" si="54"/>
        <v>-0.37622393079169975</v>
      </c>
      <c r="AQ42" s="288">
        <f t="shared" si="55"/>
        <v>1.9647249719122104</v>
      </c>
      <c r="AR42" s="308" t="e">
        <f t="shared" si="56"/>
        <v>#NUM!</v>
      </c>
      <c r="AS42" s="308">
        <f t="shared" si="56"/>
        <v>0.99726981619873212</v>
      </c>
      <c r="AT42" s="309" t="e">
        <f t="shared" si="57"/>
        <v>#NUM!</v>
      </c>
      <c r="AU42" s="309" t="e">
        <f t="shared" si="58"/>
        <v>#NUM!</v>
      </c>
      <c r="AV42" s="309">
        <f t="shared" si="58"/>
        <v>2.7301838012678825E-3</v>
      </c>
      <c r="AW42" s="328" t="e">
        <f t="shared" si="58"/>
        <v>#NUM!</v>
      </c>
    </row>
    <row r="43" spans="1:49" s="74" customFormat="1" ht="15" customHeight="1">
      <c r="A43" s="552"/>
      <c r="B43" s="553"/>
      <c r="C43" s="553"/>
      <c r="D43" s="553"/>
      <c r="E43" s="556" t="s">
        <v>438</v>
      </c>
      <c r="F43" s="724">
        <f>BaseOM4!F43</f>
        <v>0.11</v>
      </c>
      <c r="G43" s="554">
        <f t="shared" ref="G43:G46" si="60">F43*10^6/$C$4</f>
        <v>4.2666666666666666</v>
      </c>
      <c r="H43" s="553" t="s">
        <v>219</v>
      </c>
      <c r="I43" s="455"/>
      <c r="J43" s="454"/>
      <c r="K43" s="69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59"/>
        <v>-0.15000000000000002</v>
      </c>
      <c r="AA43" s="288">
        <f t="shared" si="44"/>
        <v>-0.18421052631578949</v>
      </c>
      <c r="AB43" s="288">
        <f t="shared" si="45"/>
        <v>-0.34039766415214084</v>
      </c>
      <c r="AC43" s="288">
        <f t="shared" si="46"/>
        <v>2.1882706981209048</v>
      </c>
      <c r="AD43" s="308" t="e">
        <f t="shared" si="47"/>
        <v>#NUM!</v>
      </c>
      <c r="AE43" s="308">
        <f t="shared" si="47"/>
        <v>0.99901488024850105</v>
      </c>
      <c r="AF43" s="309" t="e">
        <f t="shared" si="48"/>
        <v>#NUM!</v>
      </c>
      <c r="AG43" s="309" t="e">
        <f t="shared" si="49"/>
        <v>#NUM!</v>
      </c>
      <c r="AH43" s="309">
        <f t="shared" si="49"/>
        <v>9.8511975149895292E-4</v>
      </c>
      <c r="AI43" s="309" t="e">
        <f t="shared" si="49"/>
        <v>#NUM!</v>
      </c>
      <c r="AJ43" s="288">
        <f t="shared" si="50"/>
        <v>-1.1499999999999999</v>
      </c>
      <c r="AK43" s="288">
        <f t="shared" si="51"/>
        <v>0.85</v>
      </c>
      <c r="AL43" s="288">
        <f t="shared" si="52"/>
        <v>-0.40099699906335695</v>
      </c>
      <c r="AM43" s="306">
        <f t="shared" si="53"/>
        <v>0.10099699906335691</v>
      </c>
      <c r="AN43" s="288">
        <f>1-AN42</f>
        <v>0.6</v>
      </c>
      <c r="AO43" s="316">
        <f>$C$14</f>
        <v>0.25</v>
      </c>
      <c r="AP43" s="307">
        <f t="shared" si="54"/>
        <v>-0.29261861283798879</v>
      </c>
      <c r="AQ43" s="288">
        <f t="shared" si="55"/>
        <v>1.8811196539584989</v>
      </c>
      <c r="AR43" s="308" t="e">
        <f t="shared" si="56"/>
        <v>#NUM!</v>
      </c>
      <c r="AS43" s="308">
        <f t="shared" si="56"/>
        <v>0.99609650303810215</v>
      </c>
      <c r="AT43" s="309" t="e">
        <f t="shared" si="57"/>
        <v>#NUM!</v>
      </c>
      <c r="AU43" s="309" t="e">
        <f t="shared" si="58"/>
        <v>#NUM!</v>
      </c>
      <c r="AV43" s="309">
        <f t="shared" si="58"/>
        <v>3.9034969618978455E-3</v>
      </c>
      <c r="AW43" s="328" t="e">
        <f t="shared" si="58"/>
        <v>#NUM!</v>
      </c>
    </row>
    <row r="44" spans="1:49" s="74" customFormat="1" ht="15" customHeight="1">
      <c r="A44" s="553" t="s">
        <v>447</v>
      </c>
      <c r="B44" s="642">
        <f>0.5*ERFC(Q/SQRT(2))</f>
        <v>5.0018939344254054E-5</v>
      </c>
      <c r="C44" s="553"/>
      <c r="D44" s="553"/>
      <c r="E44" s="556" t="s">
        <v>439</v>
      </c>
      <c r="F44" s="724">
        <f>BaseOM4!F44</f>
        <v>0.247</v>
      </c>
      <c r="G44" s="554">
        <f t="shared" si="60"/>
        <v>9.5806060606060601</v>
      </c>
      <c r="H44" s="553" t="s">
        <v>219</v>
      </c>
      <c r="I44" s="136"/>
      <c r="J44" s="454"/>
      <c r="K44" s="69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1.0526315789473684</v>
      </c>
      <c r="Z44" s="288">
        <f t="shared" si="59"/>
        <v>-0.10000000000000002</v>
      </c>
      <c r="AA44" s="288">
        <f t="shared" si="44"/>
        <v>-0.13157894736842102</v>
      </c>
      <c r="AB44" s="288">
        <f t="shared" si="45"/>
        <v>-0.24314118868010048</v>
      </c>
      <c r="AC44" s="288">
        <f t="shared" si="46"/>
        <v>2.0910142226488646</v>
      </c>
      <c r="AD44" s="308" t="e">
        <f t="shared" si="47"/>
        <v>#NUM!</v>
      </c>
      <c r="AE44" s="308">
        <f t="shared" si="47"/>
        <v>0.99844746784495975</v>
      </c>
      <c r="AF44" s="309" t="e">
        <f t="shared" si="48"/>
        <v>#NUM!</v>
      </c>
      <c r="AG44" s="309" t="e">
        <f t="shared" si="49"/>
        <v>#NUM!</v>
      </c>
      <c r="AH44" s="309">
        <f t="shared" si="49"/>
        <v>1.5525321550402538E-3</v>
      </c>
      <c r="AI44" s="309" t="e">
        <f t="shared" si="49"/>
        <v>#NUM!</v>
      </c>
      <c r="AJ44" s="288">
        <f t="shared" si="50"/>
        <v>-1.1000000000000001</v>
      </c>
      <c r="AK44" s="288">
        <f t="shared" si="51"/>
        <v>0.9</v>
      </c>
      <c r="AL44" s="288">
        <f t="shared" si="52"/>
        <v>-0.35099699906335696</v>
      </c>
      <c r="AM44" s="306">
        <f t="shared" si="53"/>
        <v>0.1509969990633569</v>
      </c>
      <c r="AN44" s="288">
        <f>1-AN41</f>
        <v>0.7</v>
      </c>
      <c r="AO44" s="316">
        <v>0.5</v>
      </c>
      <c r="AP44" s="307">
        <f t="shared" si="54"/>
        <v>-0.20901329488427764</v>
      </c>
      <c r="AQ44" s="288">
        <f t="shared" si="55"/>
        <v>1.797514336004788</v>
      </c>
      <c r="AR44" s="308" t="e">
        <f t="shared" si="56"/>
        <v>#NUM!</v>
      </c>
      <c r="AS44" s="308">
        <f t="shared" si="56"/>
        <v>0.99449008115581905</v>
      </c>
      <c r="AT44" s="309" t="e">
        <f t="shared" si="57"/>
        <v>#NUM!</v>
      </c>
      <c r="AU44" s="309" t="e">
        <f t="shared" si="58"/>
        <v>#NUM!</v>
      </c>
      <c r="AV44" s="309">
        <f t="shared" si="58"/>
        <v>5.5099188441809499E-3</v>
      </c>
      <c r="AW44" s="328" t="e">
        <f t="shared" si="58"/>
        <v>#NUM!</v>
      </c>
    </row>
    <row r="45" spans="1:49" s="74" customFormat="1" ht="15" customHeight="1">
      <c r="A45" s="721" t="s">
        <v>454</v>
      </c>
      <c r="B45" s="706"/>
      <c r="C45" s="553"/>
      <c r="D45" s="553"/>
      <c r="E45" s="556" t="s">
        <v>440</v>
      </c>
      <c r="F45" s="724">
        <f>BaseOM4!F45</f>
        <v>3.1E-2</v>
      </c>
      <c r="G45" s="554">
        <f t="shared" si="60"/>
        <v>1.2024242424242424</v>
      </c>
      <c r="H45" s="553" t="s">
        <v>219</v>
      </c>
      <c r="I45" s="136"/>
      <c r="J45" s="454"/>
      <c r="K45" s="69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59"/>
        <v>-5.0000000000000017E-2</v>
      </c>
      <c r="AA45" s="288">
        <f t="shared" si="44"/>
        <v>-7.8947368421052655E-2</v>
      </c>
      <c r="AB45" s="288">
        <f t="shared" si="45"/>
        <v>-0.14588471320806037</v>
      </c>
      <c r="AC45" s="288">
        <f t="shared" si="46"/>
        <v>1.9937577471768244</v>
      </c>
      <c r="AD45" s="308" t="e">
        <f t="shared" si="47"/>
        <v>#NUM!</v>
      </c>
      <c r="AE45" s="308">
        <f t="shared" si="47"/>
        <v>0.99759581689845911</v>
      </c>
      <c r="AF45" s="309" t="e">
        <f t="shared" si="48"/>
        <v>#NUM!</v>
      </c>
      <c r="AG45" s="309" t="e">
        <f t="shared" si="49"/>
        <v>#NUM!</v>
      </c>
      <c r="AH45" s="309">
        <f t="shared" si="49"/>
        <v>2.404183101540891E-3</v>
      </c>
      <c r="AI45" s="309" t="e">
        <f t="shared" si="49"/>
        <v>#NUM!</v>
      </c>
      <c r="AJ45" s="288">
        <f t="shared" si="50"/>
        <v>-1.05</v>
      </c>
      <c r="AK45" s="288">
        <f t="shared" si="51"/>
        <v>0.95</v>
      </c>
      <c r="AL45" s="288">
        <f t="shared" si="52"/>
        <v>-0.30099699906335697</v>
      </c>
      <c r="AM45" s="306">
        <f t="shared" si="53"/>
        <v>0.20099699906335691</v>
      </c>
      <c r="AN45" s="288">
        <f>AN43</f>
        <v>0.6</v>
      </c>
      <c r="AO45" s="316">
        <f>1-$C$14</f>
        <v>0.75</v>
      </c>
      <c r="AP45" s="307">
        <f t="shared" si="54"/>
        <v>-0.12540797693056666</v>
      </c>
      <c r="AQ45" s="288">
        <f t="shared" si="55"/>
        <v>1.713909018051077</v>
      </c>
      <c r="AR45" s="308" t="e">
        <f t="shared" si="56"/>
        <v>#NUM!</v>
      </c>
      <c r="AS45" s="308">
        <f t="shared" si="56"/>
        <v>0.99232117461016678</v>
      </c>
      <c r="AT45" s="309" t="e">
        <f t="shared" si="57"/>
        <v>#NUM!</v>
      </c>
      <c r="AU45" s="309" t="e">
        <f t="shared" si="58"/>
        <v>#NUM!</v>
      </c>
      <c r="AV45" s="309">
        <f t="shared" si="58"/>
        <v>7.6788253898332215E-3</v>
      </c>
      <c r="AW45" s="328" t="e">
        <f t="shared" si="58"/>
        <v>#NUM!</v>
      </c>
    </row>
    <row r="46" spans="1:49" s="74" customFormat="1" ht="15" customHeight="1">
      <c r="A46" s="777">
        <f>BaseOM4!A46</f>
        <v>3.7189999999999999</v>
      </c>
      <c r="B46" s="707"/>
      <c r="C46" s="553"/>
      <c r="D46" s="553"/>
      <c r="E46" s="712" t="s">
        <v>452</v>
      </c>
      <c r="F46" s="724">
        <f>BaseOM4!F46</f>
        <v>0.32800000000000001</v>
      </c>
      <c r="G46" s="554">
        <f t="shared" si="60"/>
        <v>12.722424242424243</v>
      </c>
      <c r="H46" s="553" t="s">
        <v>219</v>
      </c>
      <c r="I46" s="248"/>
      <c r="J46" s="136"/>
      <c r="K46" s="69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59"/>
        <v>0</v>
      </c>
      <c r="AA46" s="288">
        <f t="shared" si="44"/>
        <v>-2.6315789473684181E-2</v>
      </c>
      <c r="AB46" s="288">
        <f t="shared" si="45"/>
        <v>-4.8628237736020055E-2</v>
      </c>
      <c r="AC46" s="288">
        <f t="shared" si="46"/>
        <v>1.896501271704784</v>
      </c>
      <c r="AD46" s="308" t="e">
        <f t="shared" si="47"/>
        <v>#NUM!</v>
      </c>
      <c r="AE46" s="308">
        <f t="shared" si="47"/>
        <v>0.99634145927687523</v>
      </c>
      <c r="AF46" s="309" t="e">
        <f t="shared" si="48"/>
        <v>#NUM!</v>
      </c>
      <c r="AG46" s="309" t="e">
        <f t="shared" si="49"/>
        <v>#NUM!</v>
      </c>
      <c r="AH46" s="309">
        <f t="shared" si="49"/>
        <v>3.6585407231247702E-3</v>
      </c>
      <c r="AI46" s="309" t="e">
        <f t="shared" si="49"/>
        <v>#NUM!</v>
      </c>
      <c r="AJ46" s="288">
        <f t="shared" si="50"/>
        <v>-1</v>
      </c>
      <c r="AK46" s="288">
        <f t="shared" si="51"/>
        <v>1</v>
      </c>
      <c r="AL46" s="288">
        <f t="shared" si="52"/>
        <v>-0.25099699906335693</v>
      </c>
      <c r="AM46" s="306">
        <f t="shared" si="53"/>
        <v>0.25099699906335693</v>
      </c>
      <c r="AN46" s="288">
        <f>AN42</f>
        <v>0.4</v>
      </c>
      <c r="AO46" s="316">
        <f>AO45</f>
        <v>0.75</v>
      </c>
      <c r="AP46" s="307">
        <f t="shared" si="54"/>
        <v>-4.1802658976855492E-2</v>
      </c>
      <c r="AQ46" s="288">
        <f t="shared" si="55"/>
        <v>1.6303037000973657</v>
      </c>
      <c r="AR46" s="308" t="e">
        <f t="shared" si="56"/>
        <v>#NUM!</v>
      </c>
      <c r="AS46" s="308">
        <f t="shared" si="56"/>
        <v>0.98943343520035887</v>
      </c>
      <c r="AT46" s="309" t="e">
        <f t="shared" si="57"/>
        <v>#NUM!</v>
      </c>
      <c r="AU46" s="309" t="e">
        <f t="shared" si="58"/>
        <v>#NUM!</v>
      </c>
      <c r="AV46" s="309">
        <f t="shared" si="58"/>
        <v>1.0566564799641132E-2</v>
      </c>
      <c r="AW46" s="328" t="e">
        <f t="shared" si="58"/>
        <v>#NUM!</v>
      </c>
    </row>
    <row r="47" spans="1:49" s="74" customFormat="1" ht="15" customHeight="1">
      <c r="A47" s="721" t="s">
        <v>455</v>
      </c>
      <c r="B47" s="706"/>
      <c r="C47" s="553"/>
      <c r="D47" s="553"/>
      <c r="E47" s="714" t="s">
        <v>441</v>
      </c>
      <c r="F47" s="566">
        <f>G47/(1000000/$C$4)</f>
        <v>0.4480060018732861</v>
      </c>
      <c r="G47" s="581">
        <f>(1000000/C4)-G7</f>
        <v>17.377202496903219</v>
      </c>
      <c r="H47" s="564" t="s">
        <v>219</v>
      </c>
      <c r="I47" s="136"/>
      <c r="J47" s="454"/>
      <c r="K47" s="69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59"/>
        <v>0.05</v>
      </c>
      <c r="AA47" s="288">
        <f t="shared" si="44"/>
        <v>2.6315789473684237E-2</v>
      </c>
      <c r="AB47" s="288">
        <f t="shared" si="45"/>
        <v>4.8628237736020159E-2</v>
      </c>
      <c r="AC47" s="288">
        <f t="shared" si="46"/>
        <v>1.7992447962327438</v>
      </c>
      <c r="AD47" s="308">
        <f t="shared" si="47"/>
        <v>0.52741393486642663</v>
      </c>
      <c r="AE47" s="308">
        <f t="shared" si="47"/>
        <v>0.99452854082997399</v>
      </c>
      <c r="AF47" s="309">
        <f t="shared" si="48"/>
        <v>0.52194247569640062</v>
      </c>
      <c r="AG47" s="309">
        <f t="shared" si="49"/>
        <v>0.47258606513357337</v>
      </c>
      <c r="AH47" s="309">
        <f t="shared" si="49"/>
        <v>5.4714591700260051E-3</v>
      </c>
      <c r="AI47" s="309">
        <f t="shared" si="49"/>
        <v>0.47805752430359938</v>
      </c>
      <c r="AJ47" s="288">
        <f t="shared" si="50"/>
        <v>-0.95</v>
      </c>
      <c r="AK47" s="288">
        <f t="shared" si="51"/>
        <v>1.05</v>
      </c>
      <c r="AL47" s="288">
        <f t="shared" si="52"/>
        <v>-0.20099699906335694</v>
      </c>
      <c r="AM47" s="306">
        <f t="shared" si="53"/>
        <v>0.30099699906335692</v>
      </c>
      <c r="AN47" s="312">
        <f>AN41</f>
        <v>0.3</v>
      </c>
      <c r="AO47" s="317">
        <v>0.5</v>
      </c>
      <c r="AP47" s="307">
        <f t="shared" si="54"/>
        <v>4.1802658976855582E-2</v>
      </c>
      <c r="AQ47" s="288">
        <f t="shared" si="55"/>
        <v>1.5466983821436546</v>
      </c>
      <c r="AR47" s="308">
        <f t="shared" si="56"/>
        <v>0.5235708942091486</v>
      </c>
      <c r="AS47" s="308">
        <f t="shared" si="56"/>
        <v>0.98564193851505977</v>
      </c>
      <c r="AT47" s="309">
        <f t="shared" si="57"/>
        <v>0.50921283272420848</v>
      </c>
      <c r="AU47" s="309">
        <f t="shared" si="58"/>
        <v>0.4764291057908514</v>
      </c>
      <c r="AV47" s="309">
        <f t="shared" si="58"/>
        <v>1.4358061484940232E-2</v>
      </c>
      <c r="AW47" s="328">
        <f t="shared" si="58"/>
        <v>0.49078716727579152</v>
      </c>
    </row>
    <row r="48" spans="1:49" s="74" customFormat="1" ht="15" customHeight="1">
      <c r="A48" s="777">
        <f>BaseOM4!A48</f>
        <v>6.9371999999999998</v>
      </c>
      <c r="B48" s="723"/>
      <c r="C48" s="553"/>
      <c r="D48" s="553"/>
      <c r="E48" s="556" t="s">
        <v>442</v>
      </c>
      <c r="F48" s="557">
        <f>G48/(1000000/$C$4)</f>
        <v>0.45187044049190489</v>
      </c>
      <c r="G48" s="560">
        <f>SQRT((G42^2)+(G47^2))</f>
        <v>17.527095873625402</v>
      </c>
      <c r="H48" s="553" t="s">
        <v>219</v>
      </c>
      <c r="I48" s="136"/>
      <c r="J48" s="454"/>
      <c r="K48" s="69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59"/>
        <v>0.1</v>
      </c>
      <c r="AA48" s="288">
        <f t="shared" si="44"/>
        <v>7.8947368421052655E-2</v>
      </c>
      <c r="AB48" s="288">
        <f t="shared" si="45"/>
        <v>0.14588471320806037</v>
      </c>
      <c r="AC48" s="288">
        <f t="shared" si="46"/>
        <v>1.7019883207607038</v>
      </c>
      <c r="AD48" s="308">
        <f t="shared" si="47"/>
        <v>0.58172645189250338</v>
      </c>
      <c r="AE48" s="308">
        <f t="shared" si="47"/>
        <v>0.99195736333531048</v>
      </c>
      <c r="AF48" s="309">
        <f t="shared" si="48"/>
        <v>0.57368381522781386</v>
      </c>
      <c r="AG48" s="309">
        <f t="shared" si="49"/>
        <v>0.41827354810749662</v>
      </c>
      <c r="AH48" s="309">
        <f t="shared" si="49"/>
        <v>8.0426366646895175E-3</v>
      </c>
      <c r="AI48" s="309">
        <f t="shared" si="49"/>
        <v>0.42631618477218614</v>
      </c>
      <c r="AJ48" s="288">
        <f t="shared" si="50"/>
        <v>-0.9</v>
      </c>
      <c r="AK48" s="288">
        <f t="shared" si="51"/>
        <v>1.1000000000000001</v>
      </c>
      <c r="AL48" s="288">
        <f t="shared" si="52"/>
        <v>-0.15099699906335692</v>
      </c>
      <c r="AM48" s="306">
        <f t="shared" si="53"/>
        <v>0.35099699906335691</v>
      </c>
      <c r="AP48" s="307">
        <f t="shared" si="54"/>
        <v>0.12540797693056666</v>
      </c>
      <c r="AQ48" s="288">
        <f t="shared" si="55"/>
        <v>1.4630930641899438</v>
      </c>
      <c r="AR48" s="308">
        <f t="shared" si="56"/>
        <v>0.570384698536477</v>
      </c>
      <c r="AS48" s="308">
        <f t="shared" si="56"/>
        <v>0.98073286864267906</v>
      </c>
      <c r="AT48" s="309">
        <f t="shared" si="57"/>
        <v>0.55111756717915616</v>
      </c>
      <c r="AU48" s="309">
        <f t="shared" si="58"/>
        <v>0.429615301463523</v>
      </c>
      <c r="AV48" s="309">
        <f t="shared" si="58"/>
        <v>1.9267131357320944E-2</v>
      </c>
      <c r="AW48" s="328">
        <f t="shared" si="58"/>
        <v>0.44888243282084384</v>
      </c>
    </row>
    <row r="49" spans="1:49" s="74" customFormat="1" ht="15" customHeight="1">
      <c r="A49" s="247" t="s">
        <v>209</v>
      </c>
      <c r="B49" s="561" t="s">
        <v>208</v>
      </c>
      <c r="C49" s="553"/>
      <c r="D49" s="564"/>
      <c r="E49" s="718" t="s">
        <v>450</v>
      </c>
      <c r="F49" s="719">
        <f>G49/(1000000/$C$4)</f>
        <v>0.7798704404919049</v>
      </c>
      <c r="G49" s="720">
        <f>G46+G48</f>
        <v>30.249520116049645</v>
      </c>
      <c r="H49" s="717" t="s">
        <v>219</v>
      </c>
      <c r="I49" s="136"/>
      <c r="J49" s="454"/>
      <c r="K49" s="69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59"/>
        <v>0.15000000000000002</v>
      </c>
      <c r="AA49" s="288">
        <f t="shared" si="44"/>
        <v>0.13157894736842107</v>
      </c>
      <c r="AB49" s="288">
        <f t="shared" si="45"/>
        <v>0.2431411886801006</v>
      </c>
      <c r="AC49" s="288">
        <f t="shared" si="46"/>
        <v>1.6047318452886636</v>
      </c>
      <c r="AD49" s="308">
        <f t="shared" si="47"/>
        <v>0.63452179302964062</v>
      </c>
      <c r="AE49" s="308">
        <f t="shared" si="47"/>
        <v>0.98837901115771554</v>
      </c>
      <c r="AF49" s="309">
        <f t="shared" si="48"/>
        <v>0.62290080418735627</v>
      </c>
      <c r="AG49" s="309">
        <f t="shared" si="49"/>
        <v>0.36547820697035938</v>
      </c>
      <c r="AH49" s="309">
        <f t="shared" si="49"/>
        <v>1.1620988842284463E-2</v>
      </c>
      <c r="AI49" s="309">
        <f t="shared" si="49"/>
        <v>0.37709919581264373</v>
      </c>
      <c r="AJ49" s="288">
        <f t="shared" si="50"/>
        <v>-0.85</v>
      </c>
      <c r="AK49" s="288">
        <f t="shared" si="51"/>
        <v>1.1499999999999999</v>
      </c>
      <c r="AL49" s="288">
        <f t="shared" si="52"/>
        <v>-0.10099699906335691</v>
      </c>
      <c r="AM49" s="306">
        <f t="shared" si="53"/>
        <v>0.40099699906335695</v>
      </c>
      <c r="AP49" s="307">
        <f t="shared" si="54"/>
        <v>0.20901329488427772</v>
      </c>
      <c r="AQ49" s="288">
        <f t="shared" si="55"/>
        <v>1.3794877462362329</v>
      </c>
      <c r="AR49" s="308">
        <f t="shared" si="56"/>
        <v>0.61622817898062476</v>
      </c>
      <c r="AS49" s="308">
        <f t="shared" si="56"/>
        <v>0.97446494504775782</v>
      </c>
      <c r="AT49" s="309">
        <f t="shared" si="57"/>
        <v>0.59069312402838259</v>
      </c>
      <c r="AU49" s="309">
        <f t="shared" si="58"/>
        <v>0.38377182101937524</v>
      </c>
      <c r="AV49" s="309">
        <f t="shared" si="58"/>
        <v>2.5535054952242175E-2</v>
      </c>
      <c r="AW49" s="328">
        <f t="shared" si="58"/>
        <v>0.40930687597161741</v>
      </c>
    </row>
    <row r="50" spans="1:49" s="74" customFormat="1" ht="15" customHeight="1">
      <c r="A50" s="779">
        <f>BaseOM4!A50</f>
        <v>2.5758000000000001</v>
      </c>
      <c r="B50" s="780">
        <f>BaseOM4!B50</f>
        <v>0.85</v>
      </c>
      <c r="C50" s="553"/>
      <c r="D50" s="564"/>
      <c r="E50" s="565" t="s">
        <v>443</v>
      </c>
      <c r="F50" s="566">
        <f>((G48*(A50/A46))+B50*(G46))/(1000000/$C$4)</f>
        <v>0.59176797005083326</v>
      </c>
      <c r="G50" s="567">
        <f>F50*(1000000/$C$4)</f>
        <v>22.953424292880804</v>
      </c>
      <c r="H50" s="553" t="s">
        <v>219</v>
      </c>
      <c r="I50" s="136"/>
      <c r="J50" s="454"/>
      <c r="K50" s="69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59"/>
        <v>0.2</v>
      </c>
      <c r="AA50" s="288">
        <f t="shared" si="44"/>
        <v>0.18421052631578949</v>
      </c>
      <c r="AB50" s="288">
        <f t="shared" si="45"/>
        <v>0.34039766415214084</v>
      </c>
      <c r="AC50" s="288">
        <f t="shared" si="46"/>
        <v>1.5074753698166234</v>
      </c>
      <c r="AD50" s="308">
        <f t="shared" si="47"/>
        <v>0.68488210257583149</v>
      </c>
      <c r="AE50" s="308">
        <f t="shared" si="47"/>
        <v>0.98349213944902425</v>
      </c>
      <c r="AF50" s="309">
        <f t="shared" si="48"/>
        <v>0.66837424202485574</v>
      </c>
      <c r="AG50" s="309">
        <f t="shared" si="49"/>
        <v>0.31511789742416851</v>
      </c>
      <c r="AH50" s="309">
        <f t="shared" si="49"/>
        <v>1.650786055097575E-2</v>
      </c>
      <c r="AI50" s="309">
        <f t="shared" si="49"/>
        <v>0.33162575797514426</v>
      </c>
      <c r="AJ50" s="288">
        <f t="shared" si="50"/>
        <v>-0.8</v>
      </c>
      <c r="AK50" s="288">
        <f t="shared" si="51"/>
        <v>1.2</v>
      </c>
      <c r="AL50" s="288">
        <f t="shared" si="52"/>
        <v>-5.0996999063356918E-2</v>
      </c>
      <c r="AM50" s="306">
        <f t="shared" si="53"/>
        <v>0.45099699906335694</v>
      </c>
      <c r="AP50" s="307">
        <f t="shared" si="54"/>
        <v>0.29261861283798879</v>
      </c>
      <c r="AQ50" s="288">
        <f t="shared" si="55"/>
        <v>1.2958824282825216</v>
      </c>
      <c r="AR50" s="308">
        <f t="shared" si="56"/>
        <v>0.66049894034966394</v>
      </c>
      <c r="AS50" s="308">
        <f t="shared" si="56"/>
        <v>0.96657300825770742</v>
      </c>
      <c r="AT50" s="309">
        <f t="shared" si="57"/>
        <v>0.62707194860737125</v>
      </c>
      <c r="AU50" s="309">
        <f t="shared" si="58"/>
        <v>0.33950105965033606</v>
      </c>
      <c r="AV50" s="309">
        <f t="shared" si="58"/>
        <v>3.3426991742292578E-2</v>
      </c>
      <c r="AW50" s="328">
        <f t="shared" si="58"/>
        <v>0.37292805139262875</v>
      </c>
    </row>
    <row r="51" spans="1:49" s="74" customFormat="1" ht="15" customHeight="1">
      <c r="A51" s="779">
        <f>BaseOM4!A51</f>
        <v>6.1093999999999999</v>
      </c>
      <c r="B51" s="781">
        <f>BaseOM4!B51</f>
        <v>1</v>
      </c>
      <c r="C51" s="553"/>
      <c r="D51" s="564"/>
      <c r="E51" s="565" t="s">
        <v>476</v>
      </c>
      <c r="F51" s="774">
        <f>((G48*(A52/A46))+B52*(G46))/(1000000/$C$4)</f>
        <v>0.80072039144334639</v>
      </c>
      <c r="G51" s="567">
        <f>F51*(1000000/$C$4)</f>
        <v>31.058245486287376</v>
      </c>
      <c r="H51" s="564" t="s">
        <v>219</v>
      </c>
      <c r="I51" s="136"/>
      <c r="J51" s="454"/>
      <c r="K51" s="69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59"/>
        <v>0.25</v>
      </c>
      <c r="AA51" s="288">
        <f t="shared" si="44"/>
        <v>0.23684210526315791</v>
      </c>
      <c r="AB51" s="288">
        <f t="shared" si="45"/>
        <v>0.43765413962418104</v>
      </c>
      <c r="AC51" s="288">
        <f t="shared" si="46"/>
        <v>1.410218894344583</v>
      </c>
      <c r="AD51" s="308">
        <f t="shared" si="47"/>
        <v>0.73202087748141098</v>
      </c>
      <c r="AE51" s="308">
        <f t="shared" si="47"/>
        <v>0.97694312467720557</v>
      </c>
      <c r="AF51" s="309">
        <f t="shared" si="48"/>
        <v>0.70896400215861655</v>
      </c>
      <c r="AG51" s="309">
        <f t="shared" si="49"/>
        <v>0.26797912251858902</v>
      </c>
      <c r="AH51" s="309">
        <f t="shared" si="49"/>
        <v>2.3056875322794435E-2</v>
      </c>
      <c r="AI51" s="309">
        <f t="shared" si="49"/>
        <v>0.29103599784138345</v>
      </c>
      <c r="AJ51" s="288">
        <f t="shared" si="50"/>
        <v>-0.75</v>
      </c>
      <c r="AK51" s="288">
        <f t="shared" si="51"/>
        <v>1.25</v>
      </c>
      <c r="AL51" s="288">
        <f t="shared" si="52"/>
        <v>-9.9699906335692923E-4</v>
      </c>
      <c r="AM51" s="306">
        <f t="shared" si="53"/>
        <v>0.50099699906335693</v>
      </c>
      <c r="AP51" s="307">
        <f t="shared" si="54"/>
        <v>0.37622393079169986</v>
      </c>
      <c r="AQ51" s="288">
        <f t="shared" si="55"/>
        <v>1.2122771103288106</v>
      </c>
      <c r="AR51" s="308">
        <f t="shared" si="56"/>
        <v>0.70265812041129849</v>
      </c>
      <c r="AS51" s="308">
        <f t="shared" si="56"/>
        <v>0.95677406698992773</v>
      </c>
      <c r="AT51" s="309">
        <f t="shared" si="57"/>
        <v>0.65943218740122633</v>
      </c>
      <c r="AU51" s="309">
        <f t="shared" si="58"/>
        <v>0.29734187958870151</v>
      </c>
      <c r="AV51" s="309">
        <f t="shared" si="58"/>
        <v>4.3225933010072271E-2</v>
      </c>
      <c r="AW51" s="328">
        <f t="shared" si="58"/>
        <v>0.34056781259877367</v>
      </c>
    </row>
    <row r="52" spans="1:49" s="74" customFormat="1" ht="15" customHeight="1">
      <c r="A52" s="779">
        <f>BaseOM4!A52</f>
        <v>3.8906000000000001</v>
      </c>
      <c r="B52" s="781">
        <f>BaseOM4!B52</f>
        <v>1</v>
      </c>
      <c r="C52" s="564"/>
      <c r="D52" s="390"/>
      <c r="E52" s="565" t="s">
        <v>444</v>
      </c>
      <c r="F52" s="566">
        <f>((G48*(A51/A46))+G46)/(1000000/$C$4)</f>
        <v>1.0703117152840127</v>
      </c>
      <c r="G52" s="567">
        <f>F52*(1000000/$C$4)</f>
        <v>41.51512107768292</v>
      </c>
      <c r="H52" s="564" t="s">
        <v>219</v>
      </c>
      <c r="I52" s="136"/>
      <c r="J52" s="454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59"/>
        <v>0.3</v>
      </c>
      <c r="AA52" s="288">
        <f t="shared" si="44"/>
        <v>0.28947368421052633</v>
      </c>
      <c r="AB52" s="288">
        <f t="shared" si="45"/>
        <v>0.53491061509622118</v>
      </c>
      <c r="AC52" s="288">
        <f t="shared" si="46"/>
        <v>1.3129624188725431</v>
      </c>
      <c r="AD52" s="308">
        <f t="shared" si="47"/>
        <v>0.77531862274078733</v>
      </c>
      <c r="AE52" s="308">
        <f t="shared" si="47"/>
        <v>0.96833084562312743</v>
      </c>
      <c r="AF52" s="309">
        <f t="shared" si="48"/>
        <v>0.74364946836391477</v>
      </c>
      <c r="AG52" s="309">
        <f t="shared" si="49"/>
        <v>0.22468137725921267</v>
      </c>
      <c r="AH52" s="309">
        <f t="shared" si="49"/>
        <v>3.1669154376872566E-2</v>
      </c>
      <c r="AI52" s="309">
        <f t="shared" si="49"/>
        <v>0.25635053163608523</v>
      </c>
      <c r="AJ52" s="288">
        <f t="shared" si="50"/>
        <v>-0.7</v>
      </c>
      <c r="AK52" s="288">
        <f t="shared" si="51"/>
        <v>1.3</v>
      </c>
      <c r="AL52" s="288">
        <f t="shared" si="52"/>
        <v>4.900300093664306E-2</v>
      </c>
      <c r="AM52" s="306">
        <f t="shared" si="53"/>
        <v>0.55099699906335697</v>
      </c>
      <c r="AP52" s="307">
        <f t="shared" si="54"/>
        <v>0.45982924874541092</v>
      </c>
      <c r="AQ52" s="288">
        <f t="shared" si="55"/>
        <v>1.1286717923750995</v>
      </c>
      <c r="AR52" s="308">
        <f t="shared" si="56"/>
        <v>0.74224972493851538</v>
      </c>
      <c r="AS52" s="308">
        <f t="shared" si="56"/>
        <v>0.94477600858157817</v>
      </c>
      <c r="AT52" s="309">
        <f t="shared" si="57"/>
        <v>0.68702573352009355</v>
      </c>
      <c r="AU52" s="309">
        <f t="shared" si="58"/>
        <v>0.25775027506148462</v>
      </c>
      <c r="AV52" s="309">
        <f t="shared" si="58"/>
        <v>5.5223991418421825E-2</v>
      </c>
      <c r="AW52" s="328">
        <f t="shared" si="58"/>
        <v>0.31297426647990645</v>
      </c>
    </row>
    <row r="53" spans="1:49" s="74" customFormat="1" ht="15" customHeight="1">
      <c r="A53" s="457"/>
      <c r="B53" s="136"/>
      <c r="C53" s="136"/>
      <c r="D53" s="136"/>
      <c r="E53" s="556" t="s">
        <v>473</v>
      </c>
      <c r="F53" s="557">
        <f>G53/(1000000/C4)</f>
        <v>0.22012955950809512</v>
      </c>
      <c r="G53" s="560">
        <f>(1000000/C4)-G49</f>
        <v>8.538358671829144</v>
      </c>
      <c r="H53" s="553" t="s">
        <v>219</v>
      </c>
      <c r="I53" s="136"/>
      <c r="J53" s="454"/>
      <c r="K53" s="100"/>
      <c r="L53" s="100"/>
      <c r="M53" s="100"/>
      <c r="N53" s="100"/>
      <c r="O53" s="69"/>
      <c r="P53" s="69"/>
      <c r="R53" s="206"/>
      <c r="T53" s="89"/>
      <c r="U53" s="89"/>
      <c r="X53" s="96"/>
      <c r="Y53" s="310"/>
      <c r="Z53" s="288">
        <f t="shared" si="59"/>
        <v>0.35</v>
      </c>
      <c r="AA53" s="288">
        <f t="shared" si="44"/>
        <v>0.34210526315789469</v>
      </c>
      <c r="AB53" s="288">
        <f t="shared" si="45"/>
        <v>0.63216709056826137</v>
      </c>
      <c r="AC53" s="288">
        <f t="shared" si="46"/>
        <v>1.2157059434005029</v>
      </c>
      <c r="AD53" s="308">
        <f t="shared" si="47"/>
        <v>0.81434420913041294</v>
      </c>
      <c r="AE53" s="308">
        <f t="shared" si="47"/>
        <v>0.95721717926067684</v>
      </c>
      <c r="AF53" s="309">
        <f t="shared" si="48"/>
        <v>0.77156138839108968</v>
      </c>
      <c r="AG53" s="309">
        <f t="shared" si="49"/>
        <v>0.18565579086958706</v>
      </c>
      <c r="AH53" s="309">
        <f t="shared" si="49"/>
        <v>4.2782820739323157E-2</v>
      </c>
      <c r="AI53" s="309">
        <f t="shared" si="49"/>
        <v>0.22843861160891032</v>
      </c>
      <c r="AJ53" s="288">
        <f t="shared" si="50"/>
        <v>-0.65</v>
      </c>
      <c r="AK53" s="288">
        <f t="shared" si="51"/>
        <v>1.35</v>
      </c>
      <c r="AL53" s="288">
        <f t="shared" si="52"/>
        <v>9.9003000936643049E-2</v>
      </c>
      <c r="AM53" s="306">
        <f t="shared" si="53"/>
        <v>0.60099699906335691</v>
      </c>
      <c r="AP53" s="307">
        <f t="shared" si="54"/>
        <v>0.54343456669912193</v>
      </c>
      <c r="AQ53" s="288">
        <f t="shared" si="55"/>
        <v>1.0450664744213884</v>
      </c>
      <c r="AR53" s="308">
        <f t="shared" si="56"/>
        <v>0.77891456230386313</v>
      </c>
      <c r="AS53" s="308">
        <f t="shared" si="56"/>
        <v>0.93028902045696238</v>
      </c>
      <c r="AT53" s="309">
        <f t="shared" si="57"/>
        <v>0.7092035827608254</v>
      </c>
      <c r="AU53" s="309">
        <f t="shared" si="58"/>
        <v>0.22108543769613687</v>
      </c>
      <c r="AV53" s="309">
        <f t="shared" si="58"/>
        <v>6.9710979543037621E-2</v>
      </c>
      <c r="AW53" s="328">
        <f t="shared" si="58"/>
        <v>0.2907964172391746</v>
      </c>
    </row>
    <row r="54" spans="1:49" s="74" customFormat="1" ht="14.25" customHeight="1">
      <c r="A54" s="541"/>
      <c r="B54" s="136"/>
      <c r="C54" s="136"/>
      <c r="D54" s="136"/>
      <c r="E54" s="136"/>
      <c r="F54" s="136"/>
      <c r="G54" s="136"/>
      <c r="H54" s="136"/>
      <c r="I54" s="136"/>
      <c r="J54" s="136"/>
      <c r="K54" s="100"/>
      <c r="L54" s="100"/>
      <c r="M54" s="100"/>
      <c r="N54" s="100"/>
      <c r="O54" s="69"/>
      <c r="P54" s="69"/>
      <c r="R54" s="91"/>
      <c r="S54" s="86"/>
      <c r="T54" s="207"/>
      <c r="U54" s="69"/>
      <c r="V54" s="86"/>
      <c r="W54" s="86"/>
      <c r="X54" s="94"/>
      <c r="Y54" s="310"/>
      <c r="Z54" s="288">
        <f t="shared" si="59"/>
        <v>0.39999999999999997</v>
      </c>
      <c r="AA54" s="288">
        <f t="shared" si="44"/>
        <v>0.39473684210526311</v>
      </c>
      <c r="AB54" s="288">
        <f t="shared" si="45"/>
        <v>0.72942356604030156</v>
      </c>
      <c r="AC54" s="288">
        <f t="shared" si="46"/>
        <v>1.1184494679284627</v>
      </c>
      <c r="AD54" s="308">
        <f t="shared" si="47"/>
        <v>0.84886089937986609</v>
      </c>
      <c r="AE54" s="308">
        <f t="shared" si="47"/>
        <v>0.94314396078530116</v>
      </c>
      <c r="AF54" s="309">
        <f t="shared" si="48"/>
        <v>0.79200486016516725</v>
      </c>
      <c r="AG54" s="309">
        <f t="shared" si="49"/>
        <v>0.15113910062013391</v>
      </c>
      <c r="AH54" s="309">
        <f t="shared" si="49"/>
        <v>5.6856039214698839E-2</v>
      </c>
      <c r="AI54" s="309">
        <f t="shared" si="49"/>
        <v>0.20799513983483275</v>
      </c>
      <c r="AJ54" s="288">
        <f t="shared" si="50"/>
        <v>-0.60000000000000009</v>
      </c>
      <c r="AK54" s="288">
        <f t="shared" si="51"/>
        <v>1.4</v>
      </c>
      <c r="AL54" s="288">
        <f t="shared" si="52"/>
        <v>0.14900300093664304</v>
      </c>
      <c r="AM54" s="306">
        <f t="shared" si="53"/>
        <v>0.65099699906335684</v>
      </c>
      <c r="AP54" s="307">
        <f t="shared" si="54"/>
        <v>0.627039884652833</v>
      </c>
      <c r="AQ54" s="288">
        <f t="shared" si="55"/>
        <v>0.9614611564676776</v>
      </c>
      <c r="AR54" s="308">
        <f t="shared" si="56"/>
        <v>0.81239817245647483</v>
      </c>
      <c r="AS54" s="308">
        <f t="shared" si="56"/>
        <v>0.91303933003175652</v>
      </c>
      <c r="AT54" s="309">
        <f t="shared" si="57"/>
        <v>0.72543750248823136</v>
      </c>
      <c r="AU54" s="309">
        <f t="shared" si="58"/>
        <v>0.18760182754352517</v>
      </c>
      <c r="AV54" s="309">
        <f t="shared" si="58"/>
        <v>8.6960669968243476E-2</v>
      </c>
      <c r="AW54" s="328">
        <f t="shared" si="58"/>
        <v>0.27456249751176864</v>
      </c>
    </row>
    <row r="55" spans="1:49" s="74" customFormat="1" ht="15" customHeight="1">
      <c r="A55" s="541"/>
      <c r="B55" s="136"/>
      <c r="C55" s="136"/>
      <c r="D55" s="136"/>
      <c r="E55" s="136"/>
      <c r="F55" s="136"/>
      <c r="G55" s="136"/>
      <c r="H55" s="136"/>
      <c r="I55" s="136"/>
      <c r="J55" s="136"/>
      <c r="K55" s="100"/>
      <c r="L55" s="100"/>
      <c r="M55" s="100"/>
      <c r="N55" s="100"/>
      <c r="O55" s="69"/>
      <c r="P55" s="69"/>
      <c r="R55" s="86"/>
      <c r="S55" s="86"/>
      <c r="T55" s="86"/>
      <c r="U55" s="69"/>
      <c r="V55" s="86"/>
      <c r="W55" s="86"/>
      <c r="X55" s="94"/>
      <c r="Y55" s="310"/>
      <c r="Z55" s="288">
        <f t="shared" si="59"/>
        <v>0.44999999999999996</v>
      </c>
      <c r="AA55" s="288">
        <f t="shared" si="44"/>
        <v>0.44736842105263153</v>
      </c>
      <c r="AB55" s="288">
        <f t="shared" si="45"/>
        <v>0.82668004151234176</v>
      </c>
      <c r="AC55" s="288">
        <f t="shared" si="46"/>
        <v>1.0211929924564225</v>
      </c>
      <c r="AD55" s="308">
        <f t="shared" si="47"/>
        <v>0.87881868603355917</v>
      </c>
      <c r="AE55" s="308">
        <f t="shared" si="47"/>
        <v>0.92565649342136802</v>
      </c>
      <c r="AF55" s="309">
        <f t="shared" si="48"/>
        <v>0.80447517945492719</v>
      </c>
      <c r="AG55" s="309">
        <f t="shared" si="49"/>
        <v>0.12118131396644083</v>
      </c>
      <c r="AH55" s="309">
        <f t="shared" si="49"/>
        <v>7.4343506578631979E-2</v>
      </c>
      <c r="AI55" s="309">
        <f t="shared" si="49"/>
        <v>0.19552482054507281</v>
      </c>
      <c r="AJ55" s="288">
        <f t="shared" si="50"/>
        <v>-0.55000000000000004</v>
      </c>
      <c r="AK55" s="288">
        <f t="shared" si="51"/>
        <v>1.45</v>
      </c>
      <c r="AL55" s="288">
        <f t="shared" si="52"/>
        <v>0.19900300093664303</v>
      </c>
      <c r="AM55" s="306">
        <f t="shared" si="53"/>
        <v>0.70099699906335688</v>
      </c>
      <c r="AP55" s="307">
        <f t="shared" si="54"/>
        <v>0.71064520260654407</v>
      </c>
      <c r="AQ55" s="288">
        <f t="shared" si="55"/>
        <v>0.87785583851396642</v>
      </c>
      <c r="AR55" s="308">
        <f t="shared" si="56"/>
        <v>0.84255241715597007</v>
      </c>
      <c r="AS55" s="308">
        <f t="shared" si="56"/>
        <v>0.89278490082568918</v>
      </c>
      <c r="AT55" s="309">
        <f t="shared" si="57"/>
        <v>0.73533731798165913</v>
      </c>
      <c r="AU55" s="309">
        <f t="shared" si="58"/>
        <v>0.15744758284402993</v>
      </c>
      <c r="AV55" s="309">
        <f t="shared" si="58"/>
        <v>0.10721509917431082</v>
      </c>
      <c r="AW55" s="328">
        <f t="shared" si="58"/>
        <v>0.26466268201834087</v>
      </c>
    </row>
    <row r="56" spans="1:49" s="74" customFormat="1" ht="15" customHeight="1">
      <c r="A56" s="541"/>
      <c r="B56" s="136"/>
      <c r="H56" s="69"/>
      <c r="I56" s="136"/>
      <c r="J56" s="136"/>
      <c r="K56" s="69"/>
      <c r="L56" s="69"/>
      <c r="M56" s="69"/>
      <c r="N56" s="86"/>
      <c r="O56" s="69"/>
      <c r="P56" s="69"/>
      <c r="R56" s="69"/>
      <c r="S56" s="92"/>
      <c r="T56" s="93"/>
      <c r="U56" s="93"/>
      <c r="V56" s="86"/>
      <c r="W56" s="86"/>
      <c r="X56" s="94"/>
      <c r="Y56" s="310"/>
      <c r="Z56" s="288">
        <f t="shared" si="59"/>
        <v>0.49999999999999994</v>
      </c>
      <c r="AA56" s="288">
        <f t="shared" si="44"/>
        <v>0.49999999999999994</v>
      </c>
      <c r="AB56" s="288">
        <f t="shared" si="45"/>
        <v>0.92393651698438195</v>
      </c>
      <c r="AC56" s="288">
        <f t="shared" si="46"/>
        <v>0.92393651698438206</v>
      </c>
      <c r="AD56" s="308">
        <f t="shared" si="47"/>
        <v>0.90433305376838524</v>
      </c>
      <c r="AE56" s="308">
        <f t="shared" si="47"/>
        <v>0.90433305376838513</v>
      </c>
      <c r="AF56" s="309">
        <f t="shared" si="48"/>
        <v>0.80866610753677026</v>
      </c>
      <c r="AG56" s="309">
        <f t="shared" si="49"/>
        <v>9.5666946231614758E-2</v>
      </c>
      <c r="AH56" s="309">
        <f t="shared" si="49"/>
        <v>9.5666946231614869E-2</v>
      </c>
      <c r="AI56" s="309">
        <f t="shared" si="49"/>
        <v>0.19133389246322974</v>
      </c>
      <c r="AJ56" s="288">
        <f t="shared" si="50"/>
        <v>-0.5</v>
      </c>
      <c r="AK56" s="288">
        <f t="shared" si="51"/>
        <v>1.5</v>
      </c>
      <c r="AL56" s="288">
        <f t="shared" si="52"/>
        <v>0.24900300093664302</v>
      </c>
      <c r="AM56" s="306">
        <f t="shared" si="53"/>
        <v>0.75099699906335693</v>
      </c>
      <c r="AP56" s="307">
        <f t="shared" si="54"/>
        <v>0.79425052056025514</v>
      </c>
      <c r="AQ56" s="288">
        <f t="shared" si="55"/>
        <v>0.79425052056025525</v>
      </c>
      <c r="AR56" s="308">
        <f t="shared" si="56"/>
        <v>0.86933208262938677</v>
      </c>
      <c r="AS56" s="308">
        <f t="shared" si="56"/>
        <v>0.86933208262938688</v>
      </c>
      <c r="AT56" s="309">
        <f t="shared" si="57"/>
        <v>0.73866416525877376</v>
      </c>
      <c r="AU56" s="309">
        <f t="shared" si="58"/>
        <v>0.13066791737061323</v>
      </c>
      <c r="AV56" s="309">
        <f t="shared" si="58"/>
        <v>0.13066791737061312</v>
      </c>
      <c r="AW56" s="328">
        <f t="shared" si="58"/>
        <v>0.26133583474122624</v>
      </c>
    </row>
    <row r="57" spans="1:49" s="74" customFormat="1" ht="15" customHeight="1">
      <c r="I57" s="69"/>
      <c r="J57" s="69"/>
      <c r="K57" s="69"/>
      <c r="L57" s="69"/>
      <c r="M57" s="69"/>
      <c r="N57" s="86"/>
      <c r="O57" s="69"/>
      <c r="P57" s="69"/>
      <c r="R57" s="86"/>
      <c r="S57" s="93"/>
      <c r="T57" s="86"/>
      <c r="U57" s="69"/>
      <c r="V57" s="86"/>
      <c r="W57" s="86"/>
      <c r="X57" s="94"/>
      <c r="Y57" s="310"/>
      <c r="Z57" s="288">
        <f t="shared" si="59"/>
        <v>0.54999999999999993</v>
      </c>
      <c r="AA57" s="288">
        <f t="shared" si="44"/>
        <v>0.55263157894736836</v>
      </c>
      <c r="AB57" s="288">
        <f t="shared" si="45"/>
        <v>1.021192992456422</v>
      </c>
      <c r="AC57" s="288">
        <f t="shared" si="46"/>
        <v>0.82668004151234198</v>
      </c>
      <c r="AD57" s="308">
        <f t="shared" si="47"/>
        <v>0.92565649342136802</v>
      </c>
      <c r="AE57" s="308">
        <f t="shared" si="47"/>
        <v>0.87881868603355917</v>
      </c>
      <c r="AF57" s="309">
        <f t="shared" si="48"/>
        <v>0.80447517945492719</v>
      </c>
      <c r="AG57" s="309">
        <f t="shared" si="49"/>
        <v>7.4343506578631979E-2</v>
      </c>
      <c r="AH57" s="309">
        <f t="shared" si="49"/>
        <v>0.12118131396644083</v>
      </c>
      <c r="AI57" s="309">
        <f t="shared" si="49"/>
        <v>0.19552482054507281</v>
      </c>
      <c r="AJ57" s="288">
        <f t="shared" si="50"/>
        <v>-0.45000000000000007</v>
      </c>
      <c r="AK57" s="288">
        <f t="shared" si="51"/>
        <v>1.5499999999999998</v>
      </c>
      <c r="AL57" s="288">
        <f t="shared" si="52"/>
        <v>0.299003000936643</v>
      </c>
      <c r="AM57" s="306">
        <f t="shared" si="53"/>
        <v>0.80099699906335686</v>
      </c>
      <c r="AP57" s="307">
        <f t="shared" si="54"/>
        <v>0.87785583851396609</v>
      </c>
      <c r="AQ57" s="288">
        <f t="shared" si="55"/>
        <v>0.71064520260654429</v>
      </c>
      <c r="AR57" s="308">
        <f t="shared" si="56"/>
        <v>0.89278490082568895</v>
      </c>
      <c r="AS57" s="308">
        <f t="shared" si="56"/>
        <v>0.84255241715597007</v>
      </c>
      <c r="AT57" s="309">
        <f t="shared" si="57"/>
        <v>0.73533731798165913</v>
      </c>
      <c r="AU57" s="309">
        <f t="shared" si="58"/>
        <v>0.10721509917431105</v>
      </c>
      <c r="AV57" s="309">
        <f t="shared" si="58"/>
        <v>0.15744758284402993</v>
      </c>
      <c r="AW57" s="328">
        <f t="shared" si="58"/>
        <v>0.26466268201834087</v>
      </c>
    </row>
    <row r="58" spans="1:49" s="74" customFormat="1" ht="15" customHeight="1">
      <c r="I58" s="69"/>
      <c r="J58" s="69"/>
      <c r="K58" s="69"/>
      <c r="L58" s="69"/>
      <c r="M58" s="69"/>
      <c r="N58" s="86"/>
      <c r="O58" s="69"/>
      <c r="P58" s="69"/>
      <c r="R58" s="86"/>
      <c r="S58" s="93"/>
      <c r="T58" s="86"/>
      <c r="U58" s="69"/>
      <c r="V58" s="86"/>
      <c r="W58" s="86"/>
      <c r="X58" s="94"/>
      <c r="Y58" s="310"/>
      <c r="Z58" s="288">
        <f t="shared" si="59"/>
        <v>0.6</v>
      </c>
      <c r="AA58" s="288">
        <f t="shared" si="44"/>
        <v>0.60526315789473684</v>
      </c>
      <c r="AB58" s="288">
        <f t="shared" si="45"/>
        <v>1.1184494679284624</v>
      </c>
      <c r="AC58" s="288">
        <f t="shared" si="46"/>
        <v>0.72942356604030167</v>
      </c>
      <c r="AD58" s="308">
        <f t="shared" si="47"/>
        <v>0.94314396078530116</v>
      </c>
      <c r="AE58" s="308">
        <f t="shared" si="47"/>
        <v>0.84886089937986609</v>
      </c>
      <c r="AF58" s="309">
        <f t="shared" si="48"/>
        <v>0.79200486016516725</v>
      </c>
      <c r="AG58" s="309">
        <f t="shared" si="49"/>
        <v>5.6856039214698839E-2</v>
      </c>
      <c r="AH58" s="309">
        <f t="shared" si="49"/>
        <v>0.15113910062013391</v>
      </c>
      <c r="AI58" s="309">
        <f t="shared" si="49"/>
        <v>0.20799513983483275</v>
      </c>
      <c r="AJ58" s="288">
        <f t="shared" si="50"/>
        <v>-0.4</v>
      </c>
      <c r="AK58" s="288">
        <f t="shared" si="51"/>
        <v>1.6</v>
      </c>
      <c r="AL58" s="288">
        <f t="shared" si="52"/>
        <v>0.34900300093664305</v>
      </c>
      <c r="AM58" s="306">
        <f t="shared" si="53"/>
        <v>0.85099699906335691</v>
      </c>
      <c r="AP58" s="307">
        <f t="shared" si="54"/>
        <v>0.96146115646767727</v>
      </c>
      <c r="AQ58" s="288">
        <f t="shared" si="55"/>
        <v>0.62703988465283311</v>
      </c>
      <c r="AR58" s="308">
        <f t="shared" si="56"/>
        <v>0.91303933003175641</v>
      </c>
      <c r="AS58" s="308">
        <f t="shared" si="56"/>
        <v>0.81239817245647483</v>
      </c>
      <c r="AT58" s="309">
        <f t="shared" si="57"/>
        <v>0.72543750248823136</v>
      </c>
      <c r="AU58" s="309">
        <f t="shared" si="58"/>
        <v>8.6960669968243587E-2</v>
      </c>
      <c r="AV58" s="309">
        <f t="shared" si="58"/>
        <v>0.18760182754352517</v>
      </c>
      <c r="AW58" s="328">
        <f t="shared" si="58"/>
        <v>0.27456249751176864</v>
      </c>
    </row>
    <row r="59" spans="1:49" s="74" customFormat="1" ht="15" customHeight="1">
      <c r="I59" s="69"/>
      <c r="J59" s="69"/>
      <c r="K59" s="69"/>
      <c r="L59" s="69"/>
      <c r="M59" s="69"/>
      <c r="N59" s="86"/>
      <c r="O59" s="69"/>
      <c r="P59" s="69"/>
      <c r="R59" s="206"/>
      <c r="T59" s="89"/>
      <c r="U59" s="89"/>
      <c r="X59" s="96"/>
      <c r="Y59" s="310"/>
      <c r="Z59" s="288">
        <f t="shared" si="59"/>
        <v>0.65</v>
      </c>
      <c r="AA59" s="288">
        <f t="shared" si="44"/>
        <v>0.65789473684210531</v>
      </c>
      <c r="AB59" s="288">
        <f t="shared" si="45"/>
        <v>1.2157059434005029</v>
      </c>
      <c r="AC59" s="288">
        <f t="shared" si="46"/>
        <v>0.63216709056826137</v>
      </c>
      <c r="AD59" s="308">
        <f t="shared" si="47"/>
        <v>0.95721717926067684</v>
      </c>
      <c r="AE59" s="308">
        <f t="shared" si="47"/>
        <v>0.81434420913041294</v>
      </c>
      <c r="AF59" s="309">
        <f t="shared" si="48"/>
        <v>0.77156138839108968</v>
      </c>
      <c r="AG59" s="309">
        <f t="shared" si="49"/>
        <v>4.2782820739323157E-2</v>
      </c>
      <c r="AH59" s="309">
        <f t="shared" si="49"/>
        <v>0.18565579086958706</v>
      </c>
      <c r="AI59" s="309">
        <f t="shared" si="49"/>
        <v>0.22843861160891032</v>
      </c>
      <c r="AJ59" s="288">
        <f t="shared" si="50"/>
        <v>-0.35</v>
      </c>
      <c r="AK59" s="288">
        <f t="shared" si="51"/>
        <v>1.65</v>
      </c>
      <c r="AL59" s="288">
        <f t="shared" si="52"/>
        <v>0.39900300093664309</v>
      </c>
      <c r="AM59" s="306">
        <f t="shared" si="53"/>
        <v>0.90099699906335695</v>
      </c>
      <c r="AP59" s="307">
        <f t="shared" si="54"/>
        <v>1.0450664744213884</v>
      </c>
      <c r="AQ59" s="288">
        <f t="shared" si="55"/>
        <v>0.54343456669912193</v>
      </c>
      <c r="AR59" s="308">
        <f t="shared" si="56"/>
        <v>0.93028902045696238</v>
      </c>
      <c r="AS59" s="308">
        <f t="shared" si="56"/>
        <v>0.77891456230386313</v>
      </c>
      <c r="AT59" s="309">
        <f t="shared" si="57"/>
        <v>0.7092035827608254</v>
      </c>
      <c r="AU59" s="309">
        <f t="shared" si="58"/>
        <v>6.9710979543037621E-2</v>
      </c>
      <c r="AV59" s="309">
        <f t="shared" si="58"/>
        <v>0.22108543769613687</v>
      </c>
      <c r="AW59" s="328">
        <f t="shared" si="58"/>
        <v>0.2907964172391746</v>
      </c>
    </row>
    <row r="60" spans="1:49" s="74" customFormat="1" ht="15" customHeight="1">
      <c r="I60" s="69"/>
      <c r="J60" s="69"/>
      <c r="K60" s="69"/>
      <c r="L60" s="69"/>
      <c r="M60" s="69"/>
      <c r="N60" s="86"/>
      <c r="O60" s="69"/>
      <c r="P60" s="69"/>
      <c r="R60" s="206"/>
      <c r="T60" s="89"/>
      <c r="U60" s="89"/>
      <c r="X60" s="96"/>
      <c r="Y60" s="310"/>
      <c r="Z60" s="288">
        <f t="shared" si="59"/>
        <v>0.70000000000000007</v>
      </c>
      <c r="AA60" s="288">
        <f t="shared" si="44"/>
        <v>0.71052631578947378</v>
      </c>
      <c r="AB60" s="288">
        <f t="shared" si="45"/>
        <v>1.3129624188725431</v>
      </c>
      <c r="AC60" s="288">
        <f t="shared" si="46"/>
        <v>0.53491061509622106</v>
      </c>
      <c r="AD60" s="308">
        <f t="shared" si="47"/>
        <v>0.96833084562312743</v>
      </c>
      <c r="AE60" s="308">
        <f t="shared" si="47"/>
        <v>0.77531862274078733</v>
      </c>
      <c r="AF60" s="309">
        <f t="shared" si="48"/>
        <v>0.74364946836391477</v>
      </c>
      <c r="AG60" s="309">
        <f t="shared" si="49"/>
        <v>3.1669154376872566E-2</v>
      </c>
      <c r="AH60" s="309">
        <f t="shared" si="49"/>
        <v>0.22468137725921267</v>
      </c>
      <c r="AI60" s="309">
        <f t="shared" si="49"/>
        <v>0.25635053163608523</v>
      </c>
      <c r="AJ60" s="288">
        <f t="shared" si="50"/>
        <v>-0.29999999999999993</v>
      </c>
      <c r="AK60" s="288">
        <f t="shared" si="51"/>
        <v>1.7000000000000002</v>
      </c>
      <c r="AL60" s="288">
        <f t="shared" si="52"/>
        <v>0.44900300093664314</v>
      </c>
      <c r="AM60" s="306">
        <f t="shared" si="53"/>
        <v>0.950996999063357</v>
      </c>
      <c r="AP60" s="307">
        <f t="shared" si="54"/>
        <v>1.1286717923750995</v>
      </c>
      <c r="AQ60" s="288">
        <f t="shared" si="55"/>
        <v>0.45982924874541076</v>
      </c>
      <c r="AR60" s="308">
        <f t="shared" si="56"/>
        <v>0.94477600858157817</v>
      </c>
      <c r="AS60" s="308">
        <f t="shared" si="56"/>
        <v>0.74224972493851527</v>
      </c>
      <c r="AT60" s="309">
        <f t="shared" si="57"/>
        <v>0.68702573352009333</v>
      </c>
      <c r="AU60" s="309">
        <f t="shared" si="58"/>
        <v>5.5223991418421825E-2</v>
      </c>
      <c r="AV60" s="309">
        <f t="shared" si="58"/>
        <v>0.25775027506148473</v>
      </c>
      <c r="AW60" s="328">
        <f t="shared" si="58"/>
        <v>0.31297426647990667</v>
      </c>
    </row>
    <row r="61" spans="1:49" s="74" customFormat="1" ht="15" customHeight="1">
      <c r="C61" s="86"/>
      <c r="D61" s="95"/>
      <c r="E61" s="86"/>
      <c r="F61" s="86"/>
      <c r="G61" s="94"/>
      <c r="H61" s="69"/>
      <c r="I61" s="69"/>
      <c r="J61" s="69"/>
      <c r="K61" s="69"/>
      <c r="L61" s="69"/>
      <c r="M61" s="69"/>
      <c r="N61" s="86"/>
      <c r="O61" s="69"/>
      <c r="P61" s="69"/>
      <c r="R61" s="206"/>
      <c r="T61" s="89"/>
      <c r="U61" s="89"/>
      <c r="X61" s="96"/>
      <c r="Y61" s="310"/>
      <c r="Z61" s="288">
        <f t="shared" si="59"/>
        <v>0.75000000000000011</v>
      </c>
      <c r="AA61" s="288">
        <f t="shared" si="44"/>
        <v>0.76315789473684226</v>
      </c>
      <c r="AB61" s="288">
        <f t="shared" si="45"/>
        <v>1.4102188943445833</v>
      </c>
      <c r="AC61" s="288">
        <f t="shared" si="46"/>
        <v>0.43765413962418065</v>
      </c>
      <c r="AD61" s="308">
        <f t="shared" si="47"/>
        <v>0.97694312467720557</v>
      </c>
      <c r="AE61" s="308">
        <f t="shared" si="47"/>
        <v>0.73202087748141076</v>
      </c>
      <c r="AF61" s="309">
        <f t="shared" si="48"/>
        <v>0.70896400215861632</v>
      </c>
      <c r="AG61" s="309">
        <f t="shared" si="49"/>
        <v>2.3056875322794435E-2</v>
      </c>
      <c r="AH61" s="309">
        <f t="shared" si="49"/>
        <v>0.26797912251858924</v>
      </c>
      <c r="AI61" s="309">
        <f t="shared" si="49"/>
        <v>0.29103599784138368</v>
      </c>
      <c r="AJ61" s="288">
        <f t="shared" si="50"/>
        <v>-0.24999999999999989</v>
      </c>
      <c r="AK61" s="288">
        <f t="shared" si="51"/>
        <v>1.75</v>
      </c>
      <c r="AL61" s="288">
        <f t="shared" si="52"/>
        <v>0.49900300093664318</v>
      </c>
      <c r="AM61" s="306">
        <f t="shared" si="53"/>
        <v>1.0009969990633572</v>
      </c>
      <c r="AP61" s="307">
        <f t="shared" si="54"/>
        <v>1.2122771103288108</v>
      </c>
      <c r="AQ61" s="288">
        <f t="shared" si="55"/>
        <v>0.37622393079169958</v>
      </c>
      <c r="AR61" s="308">
        <f t="shared" si="56"/>
        <v>0.95677406698992773</v>
      </c>
      <c r="AS61" s="308">
        <f t="shared" si="56"/>
        <v>0.70265812041129849</v>
      </c>
      <c r="AT61" s="309">
        <f t="shared" si="57"/>
        <v>0.65943218740122633</v>
      </c>
      <c r="AU61" s="309">
        <f t="shared" si="58"/>
        <v>4.3225933010072271E-2</v>
      </c>
      <c r="AV61" s="309">
        <f t="shared" si="58"/>
        <v>0.29734187958870151</v>
      </c>
      <c r="AW61" s="328">
        <f t="shared" si="58"/>
        <v>0.34056781259877367</v>
      </c>
    </row>
    <row r="62" spans="1:49" s="74" customFormat="1" ht="15" customHeight="1">
      <c r="A62" s="94"/>
      <c r="B62" s="86"/>
      <c r="C62" s="86"/>
      <c r="D62" s="95"/>
      <c r="E62" s="86"/>
      <c r="F62" s="86"/>
      <c r="G62" s="94"/>
      <c r="H62" s="69"/>
      <c r="I62" s="69"/>
      <c r="J62" s="69"/>
      <c r="K62" s="69"/>
      <c r="L62" s="69"/>
      <c r="M62" s="69"/>
      <c r="N62" s="86"/>
      <c r="O62" s="69"/>
      <c r="P62" s="69"/>
      <c r="R62" s="206"/>
      <c r="T62" s="89"/>
      <c r="U62" s="89"/>
      <c r="X62" s="96"/>
      <c r="Y62" s="310"/>
      <c r="Z62" s="288">
        <f t="shared" si="59"/>
        <v>0.80000000000000016</v>
      </c>
      <c r="AA62" s="288">
        <f t="shared" si="44"/>
        <v>0.81578947368421062</v>
      </c>
      <c r="AB62" s="288">
        <f t="shared" si="45"/>
        <v>1.5074753698166237</v>
      </c>
      <c r="AC62" s="288">
        <f t="shared" si="46"/>
        <v>0.34039766415214062</v>
      </c>
      <c r="AD62" s="308">
        <f t="shared" si="47"/>
        <v>0.98349213944902425</v>
      </c>
      <c r="AE62" s="308">
        <f t="shared" si="47"/>
        <v>0.68488210257583126</v>
      </c>
      <c r="AF62" s="309">
        <f t="shared" si="48"/>
        <v>0.66837424202485551</v>
      </c>
      <c r="AG62" s="309">
        <f t="shared" si="49"/>
        <v>1.650786055097575E-2</v>
      </c>
      <c r="AH62" s="309">
        <f t="shared" si="49"/>
        <v>0.31511789742416874</v>
      </c>
      <c r="AI62" s="309">
        <f t="shared" si="49"/>
        <v>0.33162575797514449</v>
      </c>
      <c r="AJ62" s="288">
        <f t="shared" si="50"/>
        <v>-0.19999999999999984</v>
      </c>
      <c r="AK62" s="288">
        <f t="shared" si="51"/>
        <v>1.8000000000000003</v>
      </c>
      <c r="AL62" s="288">
        <f t="shared" si="52"/>
        <v>0.54900300093664323</v>
      </c>
      <c r="AM62" s="306">
        <f t="shared" si="53"/>
        <v>1.050996999063357</v>
      </c>
      <c r="AP62" s="307">
        <f t="shared" si="54"/>
        <v>1.2958824282825219</v>
      </c>
      <c r="AQ62" s="288">
        <f t="shared" si="55"/>
        <v>0.29261861283798862</v>
      </c>
      <c r="AR62" s="308">
        <f t="shared" si="56"/>
        <v>0.96657300825770753</v>
      </c>
      <c r="AS62" s="308">
        <f t="shared" si="56"/>
        <v>0.66049894034966383</v>
      </c>
      <c r="AT62" s="309">
        <f t="shared" si="57"/>
        <v>0.62707194860737125</v>
      </c>
      <c r="AU62" s="309">
        <f t="shared" si="58"/>
        <v>3.3426991742292467E-2</v>
      </c>
      <c r="AV62" s="309">
        <f t="shared" si="58"/>
        <v>0.33950105965033617</v>
      </c>
      <c r="AW62" s="328">
        <f t="shared" si="58"/>
        <v>0.37292805139262875</v>
      </c>
    </row>
    <row r="63" spans="1:49" s="74" customFormat="1" ht="15" customHeight="1">
      <c r="A63" s="94"/>
      <c r="B63" s="86"/>
      <c r="C63" s="86"/>
      <c r="D63" s="95"/>
      <c r="E63" s="86"/>
      <c r="F63" s="86"/>
      <c r="G63" s="94"/>
      <c r="H63" s="69"/>
      <c r="I63" s="69"/>
      <c r="J63" s="69"/>
      <c r="K63" s="69"/>
      <c r="L63" s="69"/>
      <c r="M63" s="69"/>
      <c r="N63" s="86"/>
      <c r="O63" s="69"/>
      <c r="P63" s="69"/>
      <c r="R63" s="206"/>
      <c r="T63" s="89"/>
      <c r="U63" s="89"/>
      <c r="X63" s="96"/>
      <c r="Y63" s="310"/>
      <c r="Z63" s="288">
        <f t="shared" si="59"/>
        <v>0.8500000000000002</v>
      </c>
      <c r="AA63" s="288">
        <f t="shared" si="44"/>
        <v>0.8684210526315792</v>
      </c>
      <c r="AB63" s="288">
        <f t="shared" si="45"/>
        <v>1.6047318452886641</v>
      </c>
      <c r="AC63" s="288">
        <f t="shared" si="46"/>
        <v>0.24314118868010007</v>
      </c>
      <c r="AD63" s="308">
        <f t="shared" si="47"/>
        <v>0.98837901115771554</v>
      </c>
      <c r="AE63" s="308">
        <f t="shared" si="47"/>
        <v>0.63452179302964029</v>
      </c>
      <c r="AF63" s="309">
        <f t="shared" si="48"/>
        <v>0.62290080418735583</v>
      </c>
      <c r="AG63" s="309">
        <f t="shared" si="49"/>
        <v>1.1620988842284463E-2</v>
      </c>
      <c r="AH63" s="309">
        <f t="shared" si="49"/>
        <v>0.36547820697035971</v>
      </c>
      <c r="AI63" s="309">
        <f t="shared" si="49"/>
        <v>0.37709919581264417</v>
      </c>
      <c r="AJ63" s="288">
        <f t="shared" si="50"/>
        <v>-0.1499999999999998</v>
      </c>
      <c r="AK63" s="288">
        <f t="shared" si="51"/>
        <v>1.85</v>
      </c>
      <c r="AL63" s="288">
        <f t="shared" si="52"/>
        <v>0.59900300093664327</v>
      </c>
      <c r="AM63" s="306">
        <f t="shared" si="53"/>
        <v>1.1009969990633572</v>
      </c>
      <c r="AP63" s="307">
        <f t="shared" si="54"/>
        <v>1.3794877462362332</v>
      </c>
      <c r="AQ63" s="288">
        <f t="shared" si="55"/>
        <v>0.20901329488427728</v>
      </c>
      <c r="AR63" s="308">
        <f t="shared" si="56"/>
        <v>0.97446494504775782</v>
      </c>
      <c r="AS63" s="308">
        <f t="shared" si="56"/>
        <v>0.61622817898062454</v>
      </c>
      <c r="AT63" s="309">
        <f t="shared" si="57"/>
        <v>0.59069312402838237</v>
      </c>
      <c r="AU63" s="309">
        <f t="shared" si="58"/>
        <v>2.5535054952242175E-2</v>
      </c>
      <c r="AV63" s="309">
        <f t="shared" si="58"/>
        <v>0.38377182101937546</v>
      </c>
      <c r="AW63" s="328">
        <f t="shared" si="58"/>
        <v>0.40930687597161763</v>
      </c>
    </row>
    <row r="64" spans="1:49" s="74" customFormat="1" ht="15" customHeight="1">
      <c r="A64" s="94"/>
      <c r="B64" s="86"/>
      <c r="C64" s="86"/>
      <c r="D64" s="95"/>
      <c r="E64" s="86"/>
      <c r="F64" s="86"/>
      <c r="G64" s="94"/>
      <c r="H64" s="69"/>
      <c r="I64" s="69"/>
      <c r="J64" s="69"/>
      <c r="K64" s="69"/>
      <c r="L64" s="69"/>
      <c r="M64" s="69"/>
      <c r="N64" s="86"/>
      <c r="O64" s="69"/>
      <c r="P64" s="69"/>
      <c r="R64" s="206"/>
      <c r="T64" s="89"/>
      <c r="U64" s="89"/>
      <c r="X64" s="96"/>
      <c r="Y64" s="310"/>
      <c r="Z64" s="288">
        <f t="shared" si="59"/>
        <v>0.90000000000000024</v>
      </c>
      <c r="AA64" s="288">
        <f t="shared" si="44"/>
        <v>0.92105263157894757</v>
      </c>
      <c r="AB64" s="288">
        <f t="shared" si="45"/>
        <v>1.7019883207607041</v>
      </c>
      <c r="AC64" s="288">
        <f t="shared" si="46"/>
        <v>0.14588471320805996</v>
      </c>
      <c r="AD64" s="308">
        <f t="shared" si="47"/>
        <v>0.99195736333531048</v>
      </c>
      <c r="AE64" s="308">
        <f t="shared" si="47"/>
        <v>0.58172645189250316</v>
      </c>
      <c r="AF64" s="309">
        <f t="shared" si="48"/>
        <v>0.57368381522781364</v>
      </c>
      <c r="AG64" s="309">
        <f t="shared" si="49"/>
        <v>8.0426366646895175E-3</v>
      </c>
      <c r="AH64" s="309">
        <f t="shared" si="49"/>
        <v>0.41827354810749684</v>
      </c>
      <c r="AI64" s="309">
        <f t="shared" si="49"/>
        <v>0.42631618477218636</v>
      </c>
      <c r="AJ64" s="288">
        <f t="shared" si="50"/>
        <v>-9.9999999999999756E-2</v>
      </c>
      <c r="AK64" s="288">
        <f t="shared" si="51"/>
        <v>1.9000000000000004</v>
      </c>
      <c r="AL64" s="288">
        <f t="shared" si="52"/>
        <v>0.64900300093664332</v>
      </c>
      <c r="AM64" s="306">
        <f t="shared" si="53"/>
        <v>1.1509969990633571</v>
      </c>
      <c r="AP64" s="307">
        <f t="shared" si="54"/>
        <v>1.463093064189944</v>
      </c>
      <c r="AQ64" s="288">
        <f t="shared" si="55"/>
        <v>0.1254079769305663</v>
      </c>
      <c r="AR64" s="308">
        <f t="shared" si="56"/>
        <v>0.98073286864267917</v>
      </c>
      <c r="AS64" s="308">
        <f t="shared" si="56"/>
        <v>0.57038469853647678</v>
      </c>
      <c r="AT64" s="309">
        <f t="shared" si="57"/>
        <v>0.55111756717915594</v>
      </c>
      <c r="AU64" s="309">
        <f t="shared" si="58"/>
        <v>1.9267131357320832E-2</v>
      </c>
      <c r="AV64" s="309">
        <f t="shared" si="58"/>
        <v>0.42961530146352322</v>
      </c>
      <c r="AW64" s="328">
        <f t="shared" si="58"/>
        <v>0.44888243282084406</v>
      </c>
    </row>
    <row r="65" spans="1:49" s="74" customFormat="1" ht="15" customHeight="1">
      <c r="A65" s="94"/>
      <c r="B65" s="86"/>
      <c r="C65" s="86"/>
      <c r="D65" s="95"/>
      <c r="E65" s="86"/>
      <c r="F65" s="86"/>
      <c r="G65" s="94"/>
      <c r="H65" s="69"/>
      <c r="I65" s="69"/>
      <c r="J65" s="69"/>
      <c r="K65" s="69"/>
      <c r="L65" s="69"/>
      <c r="M65" s="69"/>
      <c r="N65" s="86"/>
      <c r="O65" s="69"/>
      <c r="P65" s="69"/>
      <c r="R65" s="206"/>
      <c r="T65" s="89"/>
      <c r="U65" s="89"/>
      <c r="X65" s="96"/>
      <c r="Y65" s="310"/>
      <c r="Z65" s="288">
        <f t="shared" si="59"/>
        <v>0.95000000000000029</v>
      </c>
      <c r="AA65" s="288">
        <f t="shared" si="44"/>
        <v>0.97368421052631604</v>
      </c>
      <c r="AB65" s="288">
        <f t="shared" si="45"/>
        <v>1.7992447962327445</v>
      </c>
      <c r="AC65" s="288">
        <f t="shared" si="46"/>
        <v>4.8628237736019646E-2</v>
      </c>
      <c r="AD65" s="308">
        <f t="shared" si="47"/>
        <v>0.99452854082997399</v>
      </c>
      <c r="AE65" s="308">
        <f t="shared" si="47"/>
        <v>0.52741393486642629</v>
      </c>
      <c r="AF65" s="309">
        <f t="shared" si="48"/>
        <v>0.52194247569640018</v>
      </c>
      <c r="AG65" s="309">
        <f t="shared" si="49"/>
        <v>5.4714591700260051E-3</v>
      </c>
      <c r="AH65" s="309">
        <f t="shared" si="49"/>
        <v>0.47258606513357371</v>
      </c>
      <c r="AI65" s="309">
        <f t="shared" si="49"/>
        <v>0.47805752430359982</v>
      </c>
      <c r="AJ65" s="288">
        <f t="shared" si="50"/>
        <v>-4.9999999999999711E-2</v>
      </c>
      <c r="AK65" s="288">
        <f t="shared" si="51"/>
        <v>1.9500000000000002</v>
      </c>
      <c r="AL65" s="288">
        <f t="shared" si="52"/>
        <v>0.69900300093664336</v>
      </c>
      <c r="AM65" s="306">
        <f t="shared" si="53"/>
        <v>1.2009969990633573</v>
      </c>
      <c r="AP65" s="307">
        <f t="shared" si="54"/>
        <v>1.5466983821436553</v>
      </c>
      <c r="AQ65" s="288">
        <f t="shared" si="55"/>
        <v>4.1802658976855138E-2</v>
      </c>
      <c r="AR65" s="308">
        <f t="shared" si="56"/>
        <v>0.98564193851505977</v>
      </c>
      <c r="AS65" s="308">
        <f t="shared" si="56"/>
        <v>0.52357089420914837</v>
      </c>
      <c r="AT65" s="309">
        <f t="shared" si="57"/>
        <v>0.50921283272420803</v>
      </c>
      <c r="AU65" s="309">
        <f t="shared" si="58"/>
        <v>1.4358061484940232E-2</v>
      </c>
      <c r="AV65" s="309">
        <f t="shared" si="58"/>
        <v>0.47642910579085163</v>
      </c>
      <c r="AW65" s="328">
        <f t="shared" si="58"/>
        <v>0.49078716727579197</v>
      </c>
    </row>
    <row r="66" spans="1:49" s="74" customFormat="1" ht="15" customHeight="1">
      <c r="A66" s="94"/>
      <c r="B66" s="86"/>
      <c r="C66" s="86"/>
      <c r="D66" s="95"/>
      <c r="E66" s="86"/>
      <c r="F66" s="86"/>
      <c r="G66" s="94"/>
      <c r="H66" s="69"/>
      <c r="I66" s="69"/>
      <c r="J66" s="69"/>
      <c r="K66" s="69"/>
      <c r="L66" s="69"/>
      <c r="M66" s="69"/>
      <c r="N66" s="86"/>
      <c r="O66" s="69"/>
      <c r="P66" s="69"/>
      <c r="R66" s="206"/>
      <c r="T66" s="89"/>
      <c r="U66" s="89"/>
      <c r="X66" s="96"/>
      <c r="Y66" s="310"/>
      <c r="Z66" s="288">
        <f t="shared" si="59"/>
        <v>1.0000000000000002</v>
      </c>
      <c r="AA66" s="288">
        <f t="shared" si="44"/>
        <v>1.0263157894736845</v>
      </c>
      <c r="AB66" s="288">
        <f t="shared" si="45"/>
        <v>1.8965012717047847</v>
      </c>
      <c r="AC66" s="288">
        <f t="shared" si="46"/>
        <v>-4.8628237736020673E-2</v>
      </c>
      <c r="AD66" s="308">
        <f t="shared" si="47"/>
        <v>0.99634145927687523</v>
      </c>
      <c r="AE66" s="308" t="e">
        <f t="shared" si="47"/>
        <v>#NUM!</v>
      </c>
      <c r="AF66" s="309" t="e">
        <f t="shared" si="48"/>
        <v>#NUM!</v>
      </c>
      <c r="AG66" s="309">
        <f t="shared" si="49"/>
        <v>3.6585407231247702E-3</v>
      </c>
      <c r="AH66" s="309" t="e">
        <f t="shared" si="49"/>
        <v>#NUM!</v>
      </c>
      <c r="AI66" s="309" t="e">
        <f t="shared" si="49"/>
        <v>#NUM!</v>
      </c>
      <c r="AJ66" s="288">
        <f t="shared" si="50"/>
        <v>0</v>
      </c>
      <c r="AK66" s="288">
        <f t="shared" si="51"/>
        <v>2</v>
      </c>
      <c r="AL66" s="288">
        <f t="shared" si="52"/>
        <v>0.74900300093664329</v>
      </c>
      <c r="AM66" s="306">
        <f t="shared" si="53"/>
        <v>1.2509969990633572</v>
      </c>
      <c r="AP66" s="307">
        <f t="shared" si="54"/>
        <v>1.6303037000973664</v>
      </c>
      <c r="AQ66" s="288">
        <f t="shared" si="55"/>
        <v>-4.1802658976856019E-2</v>
      </c>
      <c r="AR66" s="308">
        <f t="shared" si="56"/>
        <v>0.98943343520035898</v>
      </c>
      <c r="AS66" s="308" t="e">
        <f t="shared" si="56"/>
        <v>#NUM!</v>
      </c>
      <c r="AT66" s="309" t="e">
        <f t="shared" si="57"/>
        <v>#NUM!</v>
      </c>
      <c r="AU66" s="309">
        <f t="shared" si="58"/>
        <v>1.0566564799641021E-2</v>
      </c>
      <c r="AV66" s="309" t="e">
        <f t="shared" si="58"/>
        <v>#NUM!</v>
      </c>
      <c r="AW66" s="328" t="e">
        <f t="shared" si="58"/>
        <v>#NUM!</v>
      </c>
    </row>
    <row r="67" spans="1:49" s="74" customFormat="1">
      <c r="A67" s="94"/>
      <c r="B67" s="86"/>
      <c r="I67" s="69"/>
      <c r="J67" s="69"/>
      <c r="R67" s="206"/>
      <c r="T67" s="89"/>
      <c r="U67" s="89"/>
      <c r="X67" s="96"/>
      <c r="Y67" s="310"/>
      <c r="Z67" s="288">
        <f t="shared" si="59"/>
        <v>1.0500000000000003</v>
      </c>
      <c r="AA67" s="288">
        <f t="shared" si="44"/>
        <v>1.0789473684210529</v>
      </c>
      <c r="AB67" s="288">
        <f t="shared" si="45"/>
        <v>1.9937577471768249</v>
      </c>
      <c r="AC67" s="288">
        <f t="shared" si="46"/>
        <v>-0.14588471320806079</v>
      </c>
      <c r="AD67" s="308">
        <f t="shared" si="47"/>
        <v>0.99759581689845911</v>
      </c>
      <c r="AE67" s="308" t="e">
        <f t="shared" si="47"/>
        <v>#NUM!</v>
      </c>
      <c r="AF67" s="309" t="e">
        <f t="shared" si="48"/>
        <v>#NUM!</v>
      </c>
      <c r="AG67" s="309">
        <f t="shared" si="49"/>
        <v>2.404183101540891E-3</v>
      </c>
      <c r="AH67" s="309" t="e">
        <f t="shared" si="49"/>
        <v>#NUM!</v>
      </c>
      <c r="AI67" s="309" t="e">
        <f t="shared" si="49"/>
        <v>#NUM!</v>
      </c>
      <c r="AJ67" s="288">
        <f t="shared" si="50"/>
        <v>5.0000000000000266E-2</v>
      </c>
      <c r="AK67" s="288">
        <f t="shared" si="51"/>
        <v>2.0500000000000003</v>
      </c>
      <c r="AL67" s="288">
        <f t="shared" si="52"/>
        <v>0.79900300093664334</v>
      </c>
      <c r="AM67" s="306">
        <f t="shared" si="53"/>
        <v>1.3009969990633572</v>
      </c>
      <c r="AP67" s="307">
        <f t="shared" si="54"/>
        <v>1.7139090180510772</v>
      </c>
      <c r="AQ67" s="288">
        <f t="shared" si="55"/>
        <v>-0.12540797693056699</v>
      </c>
      <c r="AR67" s="308">
        <f t="shared" si="56"/>
        <v>0.99232117461016678</v>
      </c>
      <c r="AS67" s="308" t="e">
        <f t="shared" si="56"/>
        <v>#NUM!</v>
      </c>
      <c r="AT67" s="309" t="e">
        <f t="shared" si="57"/>
        <v>#NUM!</v>
      </c>
      <c r="AU67" s="309">
        <f t="shared" si="58"/>
        <v>7.6788253898332215E-3</v>
      </c>
      <c r="AV67" s="309" t="e">
        <f t="shared" si="58"/>
        <v>#NUM!</v>
      </c>
      <c r="AW67" s="328" t="e">
        <f t="shared" si="58"/>
        <v>#NUM!</v>
      </c>
    </row>
    <row r="68" spans="1:49" s="74" customFormat="1">
      <c r="R68" s="206"/>
      <c r="T68" s="89"/>
      <c r="U68" s="89"/>
      <c r="X68" s="96"/>
      <c r="Y68" s="310"/>
      <c r="Z68" s="288">
        <f t="shared" si="59"/>
        <v>1.1000000000000003</v>
      </c>
      <c r="AA68" s="288">
        <f t="shared" si="44"/>
        <v>1.1315789473684212</v>
      </c>
      <c r="AB68" s="288">
        <f t="shared" si="45"/>
        <v>2.0910142226488651</v>
      </c>
      <c r="AC68" s="288">
        <f t="shared" si="46"/>
        <v>-0.2431411886801009</v>
      </c>
      <c r="AD68" s="308">
        <f t="shared" si="47"/>
        <v>0.99844746784495975</v>
      </c>
      <c r="AE68" s="308" t="e">
        <f t="shared" si="47"/>
        <v>#NUM!</v>
      </c>
      <c r="AF68" s="309" t="e">
        <f t="shared" si="48"/>
        <v>#NUM!</v>
      </c>
      <c r="AG68" s="309">
        <f t="shared" si="49"/>
        <v>1.5525321550402538E-3</v>
      </c>
      <c r="AH68" s="309" t="e">
        <f t="shared" si="49"/>
        <v>#NUM!</v>
      </c>
      <c r="AI68" s="309" t="e">
        <f t="shared" si="49"/>
        <v>#NUM!</v>
      </c>
      <c r="AJ68" s="288">
        <f t="shared" si="50"/>
        <v>0.10000000000000031</v>
      </c>
      <c r="AK68" s="288">
        <f t="shared" si="51"/>
        <v>2.1000000000000005</v>
      </c>
      <c r="AL68" s="288">
        <f t="shared" si="52"/>
        <v>0.84900300093664338</v>
      </c>
      <c r="AM68" s="306">
        <f t="shared" si="53"/>
        <v>1.3509969990633572</v>
      </c>
      <c r="AP68" s="307">
        <f t="shared" si="54"/>
        <v>1.7975143360047885</v>
      </c>
      <c r="AQ68" s="288">
        <f t="shared" si="55"/>
        <v>-0.209013294884278</v>
      </c>
      <c r="AR68" s="308">
        <f t="shared" si="56"/>
        <v>0.99449008115581905</v>
      </c>
      <c r="AS68" s="308" t="e">
        <f t="shared" si="56"/>
        <v>#NUM!</v>
      </c>
      <c r="AT68" s="309" t="e">
        <f t="shared" si="57"/>
        <v>#NUM!</v>
      </c>
      <c r="AU68" s="309">
        <f t="shared" si="58"/>
        <v>5.5099188441809499E-3</v>
      </c>
      <c r="AV68" s="309" t="e">
        <f t="shared" si="58"/>
        <v>#NUM!</v>
      </c>
      <c r="AW68" s="328" t="e">
        <f t="shared" si="58"/>
        <v>#NUM!</v>
      </c>
    </row>
    <row r="69" spans="1:49" s="74" customFormat="1">
      <c r="R69" s="206"/>
      <c r="T69" s="89"/>
      <c r="U69" s="89"/>
      <c r="X69" s="96"/>
      <c r="Y69" s="310"/>
      <c r="Z69" s="288">
        <f t="shared" si="59"/>
        <v>1.1500000000000004</v>
      </c>
      <c r="AA69" s="288">
        <f t="shared" si="44"/>
        <v>1.1842105263157898</v>
      </c>
      <c r="AB69" s="288">
        <f t="shared" si="45"/>
        <v>2.1882706981209052</v>
      </c>
      <c r="AC69" s="288">
        <f t="shared" si="46"/>
        <v>-0.3403976641521414</v>
      </c>
      <c r="AD69" s="308">
        <f t="shared" si="47"/>
        <v>0.99901488024850105</v>
      </c>
      <c r="AE69" s="308" t="e">
        <f t="shared" si="47"/>
        <v>#NUM!</v>
      </c>
      <c r="AF69" s="309" t="e">
        <f t="shared" si="48"/>
        <v>#NUM!</v>
      </c>
      <c r="AG69" s="309">
        <f t="shared" si="49"/>
        <v>9.8511975149895292E-4</v>
      </c>
      <c r="AH69" s="309" t="e">
        <f t="shared" si="49"/>
        <v>#NUM!</v>
      </c>
      <c r="AI69" s="309" t="e">
        <f t="shared" si="49"/>
        <v>#NUM!</v>
      </c>
      <c r="AJ69" s="288">
        <f t="shared" si="50"/>
        <v>0.15000000000000036</v>
      </c>
      <c r="AK69" s="288">
        <f t="shared" si="51"/>
        <v>2.1500000000000004</v>
      </c>
      <c r="AL69" s="288">
        <f t="shared" si="52"/>
        <v>0.89900300093664343</v>
      </c>
      <c r="AM69" s="306">
        <f t="shared" si="53"/>
        <v>1.4009969990633573</v>
      </c>
      <c r="AP69" s="329">
        <f t="shared" si="54"/>
        <v>1.8811196539584996</v>
      </c>
      <c r="AQ69" s="312">
        <f t="shared" si="55"/>
        <v>-0.29261861283798929</v>
      </c>
      <c r="AR69" s="313">
        <f t="shared" si="56"/>
        <v>0.99609650303810215</v>
      </c>
      <c r="AS69" s="313" t="e">
        <f t="shared" si="56"/>
        <v>#NUM!</v>
      </c>
      <c r="AT69" s="314" t="e">
        <f t="shared" si="57"/>
        <v>#NUM!</v>
      </c>
      <c r="AU69" s="314">
        <f t="shared" si="58"/>
        <v>3.9034969618978455E-3</v>
      </c>
      <c r="AV69" s="314" t="e">
        <f t="shared" si="58"/>
        <v>#NUM!</v>
      </c>
      <c r="AW69" s="330" t="e">
        <f t="shared" si="58"/>
        <v>#NUM!</v>
      </c>
    </row>
    <row r="70" spans="1:49" s="74" customFormat="1">
      <c r="R70" s="206"/>
      <c r="T70" s="89"/>
      <c r="U70" s="89"/>
      <c r="X70" s="96"/>
      <c r="Y70" s="310"/>
      <c r="Z70" s="288">
        <f t="shared" si="59"/>
        <v>1.2000000000000004</v>
      </c>
      <c r="AA70" s="288">
        <f t="shared" si="44"/>
        <v>1.2368421052631584</v>
      </c>
      <c r="AB70" s="288">
        <f t="shared" si="45"/>
        <v>2.2855271735929459</v>
      </c>
      <c r="AC70" s="288">
        <f t="shared" si="46"/>
        <v>-0.43765413962418193</v>
      </c>
      <c r="AD70" s="308">
        <f t="shared" si="47"/>
        <v>0.99938584531415253</v>
      </c>
      <c r="AE70" s="308" t="e">
        <f t="shared" si="47"/>
        <v>#NUM!</v>
      </c>
      <c r="AF70" s="309" t="e">
        <f t="shared" si="48"/>
        <v>#NUM!</v>
      </c>
      <c r="AG70" s="309">
        <f t="shared" si="49"/>
        <v>6.141546858474678E-4</v>
      </c>
      <c r="AH70" s="309" t="e">
        <f t="shared" si="49"/>
        <v>#NUM!</v>
      </c>
      <c r="AI70" s="309" t="e">
        <f t="shared" si="49"/>
        <v>#NUM!</v>
      </c>
      <c r="AJ70" s="288">
        <f t="shared" si="50"/>
        <v>0.2000000000000004</v>
      </c>
      <c r="AK70" s="288">
        <f t="shared" si="51"/>
        <v>2.2000000000000002</v>
      </c>
      <c r="AL70" s="288">
        <f t="shared" si="52"/>
        <v>0.94900300093664347</v>
      </c>
      <c r="AM70" s="306">
        <f t="shared" si="53"/>
        <v>1.4509969990633573</v>
      </c>
    </row>
    <row r="71" spans="1:49" s="74" customFormat="1">
      <c r="R71" s="206"/>
      <c r="T71" s="89"/>
      <c r="U71" s="89"/>
      <c r="X71" s="96"/>
      <c r="Y71" s="311"/>
      <c r="Z71" s="312">
        <f t="shared" si="59"/>
        <v>1.2500000000000004</v>
      </c>
      <c r="AA71" s="312">
        <f t="shared" si="44"/>
        <v>1.2894736842105268</v>
      </c>
      <c r="AB71" s="312">
        <f t="shared" si="45"/>
        <v>2.3827836490649861</v>
      </c>
      <c r="AC71" s="312">
        <f t="shared" si="46"/>
        <v>-0.53491061509622206</v>
      </c>
      <c r="AD71" s="313">
        <f t="shared" si="47"/>
        <v>0.999623838360157</v>
      </c>
      <c r="AE71" s="313" t="e">
        <f t="shared" si="47"/>
        <v>#NUM!</v>
      </c>
      <c r="AF71" s="314" t="e">
        <f t="shared" si="48"/>
        <v>#NUM!</v>
      </c>
      <c r="AG71" s="314">
        <f t="shared" si="49"/>
        <v>3.7616163984299789E-4</v>
      </c>
      <c r="AH71" s="314" t="e">
        <f t="shared" si="49"/>
        <v>#NUM!</v>
      </c>
      <c r="AI71" s="314" t="e">
        <f t="shared" si="49"/>
        <v>#NUM!</v>
      </c>
      <c r="AJ71" s="312">
        <f t="shared" si="50"/>
        <v>0.25000000000000044</v>
      </c>
      <c r="AK71" s="312">
        <f t="shared" si="51"/>
        <v>2.2500000000000004</v>
      </c>
      <c r="AL71" s="312">
        <f t="shared" si="52"/>
        <v>0.99900300093664351</v>
      </c>
      <c r="AM71" s="315">
        <f t="shared" si="53"/>
        <v>1.5009969990633574</v>
      </c>
    </row>
    <row r="72" spans="1:49">
      <c r="B72" s="74"/>
      <c r="I72" s="74"/>
      <c r="J72" s="74"/>
    </row>
  </sheetData>
  <mergeCells count="6">
    <mergeCell ref="R1:U1"/>
    <mergeCell ref="W1:X1"/>
    <mergeCell ref="J2:K2"/>
    <mergeCell ref="L2:M2"/>
    <mergeCell ref="W2:X2"/>
    <mergeCell ref="AG13:AH13"/>
  </mergeCells>
  <conditionalFormatting sqref="G7">
    <cfRule type="cellIs" dxfId="7" priority="3" stopIfTrue="1" operator="lessThan">
      <formula>$G$8</formula>
    </cfRule>
  </conditionalFormatting>
  <conditionalFormatting sqref="G7">
    <cfRule type="cellIs" dxfId="3" priority="2" stopIfTrue="1" operator="lessThan">
      <formula>$G$8</formula>
    </cfRule>
  </conditionalFormatting>
  <conditionalFormatting sqref="G7">
    <cfRule type="cellIs" dxfId="1" priority="1" stopIfTrue="1" operator="lessThan">
      <formula>$G$8</formula>
    </cfRule>
  </conditionalFormatting>
  <hyperlinks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Avago Technologies&amp;R </oddHeader>
    <oddFooter>&amp;L&amp;F   &amp;A &amp;CAvago Technologies&amp;RPrinted &amp;T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0"/>
  <sheetViews>
    <sheetView zoomScale="90" zoomScaleNormal="90" workbookViewId="0"/>
  </sheetViews>
  <sheetFormatPr defaultRowHeight="12.75"/>
  <cols>
    <col min="1" max="1" width="5.7109375" style="210" customWidth="1"/>
    <col min="2" max="2" width="5.85546875" style="210" customWidth="1"/>
    <col min="3" max="3" width="6" style="210" customWidth="1"/>
    <col min="4" max="4" width="12" style="210" bestFit="1" customWidth="1"/>
    <col min="5" max="5" width="12.42578125" style="210" customWidth="1"/>
    <col min="6" max="12" width="9.140625" style="210"/>
    <col min="13" max="13" width="7.42578125" style="210" customWidth="1"/>
    <col min="14" max="16384" width="9.140625" style="210"/>
  </cols>
  <sheetData>
    <row r="1" spans="1:11">
      <c r="A1" s="398" t="s">
        <v>188</v>
      </c>
      <c r="E1" s="391">
        <v>37196</v>
      </c>
      <c r="F1" s="210" t="s">
        <v>165</v>
      </c>
    </row>
    <row r="2" spans="1:11">
      <c r="A2" s="253" t="s">
        <v>205</v>
      </c>
      <c r="E2" s="391">
        <v>37181</v>
      </c>
      <c r="F2" s="211" t="s">
        <v>212</v>
      </c>
      <c r="G2" s="389" t="s">
        <v>161</v>
      </c>
      <c r="H2" s="210" t="s">
        <v>381</v>
      </c>
    </row>
    <row r="3" spans="1:11">
      <c r="A3" s="210" t="s">
        <v>382</v>
      </c>
      <c r="C3" s="375" t="s">
        <v>120</v>
      </c>
    </row>
    <row r="4" spans="1:11">
      <c r="A4" s="398" t="s">
        <v>204</v>
      </c>
    </row>
    <row r="5" spans="1:11">
      <c r="A5" s="398" t="s">
        <v>189</v>
      </c>
      <c r="F5" s="422" t="s">
        <v>14</v>
      </c>
      <c r="G5" s="423" t="s">
        <v>190</v>
      </c>
    </row>
    <row r="6" spans="1:11">
      <c r="A6" s="398"/>
      <c r="B6" s="392" t="s">
        <v>194</v>
      </c>
    </row>
    <row r="7" spans="1:11">
      <c r="A7" s="210" t="s">
        <v>383</v>
      </c>
    </row>
    <row r="8" spans="1:11">
      <c r="B8" s="210" t="s">
        <v>384</v>
      </c>
    </row>
    <row r="9" spans="1:11">
      <c r="B9" s="210" t="s">
        <v>385</v>
      </c>
    </row>
    <row r="10" spans="1:11" s="213" customFormat="1">
      <c r="A10" s="210" t="s">
        <v>386</v>
      </c>
      <c r="D10" s="214"/>
    </row>
    <row r="11" spans="1:11" s="213" customFormat="1">
      <c r="A11" s="210"/>
      <c r="B11" s="210" t="s">
        <v>387</v>
      </c>
      <c r="D11" s="214"/>
      <c r="F11" s="210" t="s">
        <v>388</v>
      </c>
      <c r="K11" s="210" t="s">
        <v>389</v>
      </c>
    </row>
    <row r="12" spans="1:11" s="213" customFormat="1">
      <c r="A12" s="210" t="s">
        <v>390</v>
      </c>
      <c r="B12" s="210"/>
      <c r="D12" s="214"/>
    </row>
    <row r="13" spans="1:11" s="213" customFormat="1">
      <c r="A13" s="210"/>
      <c r="B13" s="210" t="s">
        <v>391</v>
      </c>
      <c r="D13" s="214"/>
      <c r="E13" s="210" t="s">
        <v>392</v>
      </c>
    </row>
    <row r="14" spans="1:11" s="213" customFormat="1">
      <c r="A14" s="213" t="s">
        <v>393</v>
      </c>
      <c r="B14" s="210"/>
      <c r="D14" s="214"/>
    </row>
    <row r="15" spans="1:11" s="213" customFormat="1">
      <c r="A15" s="213" t="s">
        <v>394</v>
      </c>
    </row>
    <row r="16" spans="1:11" s="217" customFormat="1">
      <c r="A16" s="215" t="s">
        <v>395</v>
      </c>
      <c r="B16" s="216"/>
      <c r="D16" s="425">
        <v>37195</v>
      </c>
      <c r="E16" s="218" t="s">
        <v>212</v>
      </c>
      <c r="F16" s="424" t="s">
        <v>192</v>
      </c>
      <c r="G16" s="219" t="s">
        <v>396</v>
      </c>
      <c r="I16" s="219"/>
      <c r="J16" s="219"/>
      <c r="K16" s="219"/>
    </row>
    <row r="17" spans="1:11" s="213" customFormat="1">
      <c r="A17" s="220" t="s">
        <v>397</v>
      </c>
      <c r="B17" s="221"/>
      <c r="C17" s="221"/>
      <c r="D17" s="222"/>
      <c r="E17" s="221"/>
      <c r="F17" s="221"/>
      <c r="G17" s="223"/>
      <c r="H17" s="224"/>
      <c r="I17" s="224"/>
      <c r="J17" s="224"/>
      <c r="K17" s="225"/>
    </row>
    <row r="18" spans="1:11">
      <c r="A18" s="226"/>
      <c r="B18" s="764" t="s">
        <v>398</v>
      </c>
      <c r="C18" s="765"/>
      <c r="D18" s="765"/>
      <c r="E18" s="765"/>
      <c r="F18" s="765"/>
      <c r="G18" s="765"/>
      <c r="H18" s="765"/>
      <c r="I18" s="765"/>
      <c r="J18" s="765"/>
      <c r="K18" s="765"/>
    </row>
    <row r="19" spans="1:11">
      <c r="A19" s="226" t="s">
        <v>399</v>
      </c>
      <c r="B19" s="227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>
      <c r="A20" s="226"/>
      <c r="B20" s="227" t="s">
        <v>400</v>
      </c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>
      <c r="A21" s="229" t="s">
        <v>401</v>
      </c>
      <c r="B21" s="230" t="s">
        <v>402</v>
      </c>
      <c r="C21" s="230"/>
      <c r="D21" s="231"/>
      <c r="E21" s="230"/>
      <c r="F21" s="230"/>
      <c r="G21" s="232"/>
      <c r="H21" s="226"/>
      <c r="I21" s="226"/>
      <c r="J21" s="226"/>
      <c r="K21" s="226"/>
    </row>
    <row r="22" spans="1:11">
      <c r="A22" s="229" t="s">
        <v>401</v>
      </c>
      <c r="B22" s="230" t="s">
        <v>403</v>
      </c>
      <c r="C22" s="230"/>
      <c r="D22" s="231"/>
      <c r="E22" s="230"/>
      <c r="F22" s="230"/>
      <c r="G22" s="232"/>
      <c r="H22" s="226"/>
      <c r="I22" s="226"/>
      <c r="J22" s="226"/>
      <c r="K22" s="226"/>
    </row>
    <row r="23" spans="1:11">
      <c r="A23" s="232"/>
      <c r="B23" s="233" t="s">
        <v>404</v>
      </c>
      <c r="C23" s="233"/>
      <c r="D23" s="231"/>
      <c r="E23" s="230"/>
      <c r="F23" s="230"/>
      <c r="G23" s="232"/>
      <c r="H23" s="226"/>
      <c r="I23" s="226"/>
      <c r="J23" s="226"/>
      <c r="K23" s="226"/>
    </row>
    <row r="24" spans="1:11">
      <c r="A24" s="232"/>
      <c r="B24" s="230" t="s">
        <v>405</v>
      </c>
      <c r="C24" s="233"/>
      <c r="D24" s="231"/>
      <c r="E24" s="230"/>
      <c r="F24" s="230"/>
      <c r="G24" s="232"/>
      <c r="H24" s="226"/>
      <c r="I24" s="226"/>
      <c r="J24" s="226"/>
      <c r="K24" s="226"/>
    </row>
    <row r="25" spans="1:11">
      <c r="A25" s="232"/>
      <c r="B25" s="230" t="s">
        <v>406</v>
      </c>
      <c r="C25" s="233"/>
      <c r="D25" s="231"/>
      <c r="E25" s="230"/>
      <c r="F25" s="230"/>
      <c r="G25" s="232"/>
      <c r="H25" s="226"/>
      <c r="I25" s="226"/>
      <c r="J25" s="226"/>
      <c r="K25" s="226"/>
    </row>
    <row r="26" spans="1:11">
      <c r="B26" s="230" t="s">
        <v>407</v>
      </c>
      <c r="C26" s="233"/>
      <c r="D26" s="231"/>
      <c r="E26" s="230"/>
      <c r="F26" s="230"/>
      <c r="G26" s="232"/>
      <c r="H26" s="226"/>
      <c r="I26" s="226"/>
      <c r="J26" s="226"/>
      <c r="K26" s="226"/>
    </row>
    <row r="27" spans="1:11">
      <c r="B27" s="230" t="s">
        <v>408</v>
      </c>
      <c r="C27" s="233"/>
      <c r="D27" s="231"/>
      <c r="E27" s="230"/>
      <c r="F27" s="230"/>
      <c r="G27" s="232"/>
      <c r="H27" s="226"/>
      <c r="I27" s="226"/>
      <c r="J27" s="226"/>
      <c r="K27" s="226"/>
    </row>
    <row r="28" spans="1:11">
      <c r="A28" s="229" t="s">
        <v>401</v>
      </c>
      <c r="B28" s="230" t="s">
        <v>409</v>
      </c>
      <c r="C28" s="230"/>
      <c r="D28" s="231"/>
      <c r="E28" s="230"/>
      <c r="F28" s="230"/>
      <c r="G28" s="232"/>
      <c r="H28" s="226"/>
      <c r="I28" s="226"/>
      <c r="J28" s="226"/>
      <c r="K28" s="226"/>
    </row>
    <row r="29" spans="1:11">
      <c r="A29" s="232"/>
      <c r="B29" s="230" t="s">
        <v>410</v>
      </c>
      <c r="C29" s="230"/>
      <c r="D29" s="231"/>
      <c r="E29" s="230"/>
      <c r="F29" s="230"/>
      <c r="G29" s="232"/>
      <c r="H29" s="226"/>
      <c r="I29" s="226"/>
      <c r="J29" s="226"/>
      <c r="K29" s="226"/>
    </row>
    <row r="30" spans="1:11">
      <c r="A30" s="229" t="s">
        <v>401</v>
      </c>
      <c r="B30" s="234" t="s">
        <v>411</v>
      </c>
      <c r="C30" s="230"/>
      <c r="D30" s="231"/>
      <c r="E30" s="230"/>
      <c r="F30" s="230"/>
      <c r="G30" s="232"/>
      <c r="H30" s="226"/>
      <c r="I30" s="226"/>
      <c r="J30" s="226"/>
      <c r="K30" s="226"/>
    </row>
    <row r="31" spans="1:11">
      <c r="A31" s="229" t="s">
        <v>401</v>
      </c>
      <c r="B31" s="234" t="s">
        <v>412</v>
      </c>
      <c r="C31" s="234"/>
      <c r="D31" s="234"/>
      <c r="E31" s="234"/>
      <c r="F31" s="234"/>
      <c r="G31" s="234"/>
      <c r="H31" s="234"/>
      <c r="I31" s="234"/>
      <c r="J31" s="234"/>
      <c r="K31" s="234"/>
    </row>
    <row r="32" spans="1:11">
      <c r="A32" s="229" t="s">
        <v>401</v>
      </c>
      <c r="B32" s="234" t="s">
        <v>413</v>
      </c>
      <c r="C32" s="234"/>
      <c r="D32" s="234"/>
      <c r="E32" s="234"/>
      <c r="F32" s="234"/>
      <c r="G32" s="234"/>
      <c r="H32" s="234"/>
      <c r="I32" s="234"/>
      <c r="J32" s="234"/>
      <c r="K32" s="234"/>
    </row>
    <row r="33" spans="1:11">
      <c r="A33" s="235" t="s">
        <v>414</v>
      </c>
      <c r="C33" s="234"/>
      <c r="D33" s="234"/>
      <c r="E33" s="234"/>
      <c r="F33" s="234"/>
      <c r="G33" s="234"/>
      <c r="H33" s="234"/>
      <c r="I33" s="234"/>
      <c r="J33" s="234"/>
      <c r="K33" s="234"/>
    </row>
    <row r="34" spans="1:11">
      <c r="A34" s="226"/>
      <c r="B34" s="764" t="s">
        <v>415</v>
      </c>
      <c r="C34" s="766"/>
      <c r="D34" s="766"/>
      <c r="E34" s="766"/>
      <c r="F34" s="766"/>
      <c r="G34" s="766"/>
      <c r="H34" s="766"/>
      <c r="I34" s="766"/>
      <c r="J34" s="766"/>
      <c r="K34" s="766"/>
    </row>
    <row r="35" spans="1:11">
      <c r="A35" s="229" t="s">
        <v>401</v>
      </c>
      <c r="B35" s="210" t="s">
        <v>416</v>
      </c>
    </row>
    <row r="36" spans="1:11">
      <c r="B36" s="210" t="s">
        <v>417</v>
      </c>
    </row>
    <row r="37" spans="1:11">
      <c r="A37" s="229" t="s">
        <v>401</v>
      </c>
      <c r="B37" s="210" t="s">
        <v>418</v>
      </c>
    </row>
    <row r="38" spans="1:11">
      <c r="A38" s="229" t="s">
        <v>401</v>
      </c>
      <c r="B38" s="210" t="s">
        <v>419</v>
      </c>
    </row>
    <row r="39" spans="1:11">
      <c r="A39" s="229" t="s">
        <v>401</v>
      </c>
      <c r="B39" s="210" t="s">
        <v>420</v>
      </c>
    </row>
    <row r="40" spans="1:11">
      <c r="A40" s="229" t="s">
        <v>401</v>
      </c>
      <c r="B40" s="210" t="s">
        <v>421</v>
      </c>
    </row>
    <row r="41" spans="1:11">
      <c r="A41" s="210" t="s">
        <v>422</v>
      </c>
    </row>
    <row r="42" spans="1:11">
      <c r="A42" s="229" t="s">
        <v>401</v>
      </c>
      <c r="B42" s="236" t="s">
        <v>423</v>
      </c>
    </row>
    <row r="43" spans="1:11">
      <c r="A43" s="229"/>
      <c r="C43" s="210" t="s">
        <v>424</v>
      </c>
    </row>
    <row r="44" spans="1:11">
      <c r="C44" s="210" t="s">
        <v>425</v>
      </c>
    </row>
    <row r="45" spans="1:11">
      <c r="C45" s="210" t="s">
        <v>426</v>
      </c>
    </row>
    <row r="46" spans="1:11">
      <c r="C46" s="210" t="s">
        <v>427</v>
      </c>
    </row>
    <row r="47" spans="1:11">
      <c r="A47" s="229" t="s">
        <v>401</v>
      </c>
      <c r="B47" s="236" t="s">
        <v>428</v>
      </c>
    </row>
    <row r="48" spans="1:11">
      <c r="B48" s="210" t="s">
        <v>81</v>
      </c>
    </row>
    <row r="49" spans="1:7">
      <c r="A49" s="210" t="s">
        <v>429</v>
      </c>
    </row>
    <row r="50" spans="1:7">
      <c r="A50" s="229" t="s">
        <v>401</v>
      </c>
      <c r="B50" s="236" t="s">
        <v>430</v>
      </c>
    </row>
    <row r="51" spans="1:7" s="213" customFormat="1">
      <c r="C51" s="210" t="s">
        <v>431</v>
      </c>
    </row>
    <row r="52" spans="1:7" s="213" customFormat="1">
      <c r="A52" s="229"/>
      <c r="B52" s="210"/>
      <c r="C52" s="213" t="s">
        <v>432</v>
      </c>
    </row>
    <row r="53" spans="1:7" s="213" customFormat="1">
      <c r="A53" s="229"/>
      <c r="B53" s="210"/>
      <c r="C53" s="213" t="s">
        <v>433</v>
      </c>
    </row>
    <row r="54" spans="1:7" s="213" customFormat="1">
      <c r="A54" s="229"/>
      <c r="B54" s="213" t="s">
        <v>434</v>
      </c>
    </row>
    <row r="55" spans="1:7" s="213" customFormat="1">
      <c r="A55" s="237"/>
      <c r="B55" s="213" t="s">
        <v>435</v>
      </c>
    </row>
    <row r="56" spans="1:7" s="213" customFormat="1">
      <c r="A56" s="237"/>
      <c r="C56" s="213" t="s">
        <v>0</v>
      </c>
    </row>
    <row r="57" spans="1:7" s="213" customFormat="1">
      <c r="A57" s="237"/>
      <c r="B57" s="213" t="s">
        <v>1</v>
      </c>
    </row>
    <row r="58" spans="1:7" s="213" customFormat="1">
      <c r="A58" s="237"/>
      <c r="C58" s="213" t="s">
        <v>2</v>
      </c>
    </row>
    <row r="59" spans="1:7" s="213" customFormat="1">
      <c r="A59" s="371" t="s">
        <v>185</v>
      </c>
    </row>
    <row r="60" spans="1:7">
      <c r="B60" s="250" t="s">
        <v>117</v>
      </c>
      <c r="C60" s="250"/>
    </row>
    <row r="61" spans="1:7">
      <c r="A61" s="371" t="s">
        <v>91</v>
      </c>
      <c r="B61" s="250"/>
      <c r="C61" s="250"/>
      <c r="G61" s="239"/>
    </row>
    <row r="62" spans="1:7">
      <c r="A62" s="250"/>
      <c r="B62" s="250" t="s">
        <v>90</v>
      </c>
      <c r="C62" s="250"/>
      <c r="G62" s="239"/>
    </row>
    <row r="63" spans="1:7">
      <c r="A63" s="250"/>
      <c r="B63" s="250" t="s">
        <v>35</v>
      </c>
      <c r="C63" s="250"/>
      <c r="G63" s="239"/>
    </row>
    <row r="64" spans="1:7">
      <c r="A64" s="250"/>
      <c r="B64" s="250" t="s">
        <v>30</v>
      </c>
      <c r="C64" s="250"/>
      <c r="G64" s="239"/>
    </row>
    <row r="65" spans="1:7">
      <c r="A65" s="250"/>
      <c r="C65" s="250" t="s">
        <v>87</v>
      </c>
      <c r="G65" s="239"/>
    </row>
    <row r="66" spans="1:7">
      <c r="A66" s="250"/>
      <c r="B66" s="250" t="s">
        <v>37</v>
      </c>
      <c r="C66" s="250"/>
      <c r="G66" s="239"/>
    </row>
    <row r="67" spans="1:7">
      <c r="A67" s="250"/>
      <c r="B67" s="250" t="s">
        <v>40</v>
      </c>
      <c r="C67" s="250"/>
      <c r="G67" s="239"/>
    </row>
    <row r="68" spans="1:7">
      <c r="A68" s="250"/>
      <c r="B68" s="250" t="s">
        <v>137</v>
      </c>
      <c r="C68" s="250"/>
      <c r="G68" s="239"/>
    </row>
    <row r="69" spans="1:7">
      <c r="A69" s="371" t="s">
        <v>93</v>
      </c>
      <c r="B69" s="250"/>
      <c r="C69" s="250"/>
      <c r="G69" s="239"/>
    </row>
    <row r="70" spans="1:7">
      <c r="A70" s="250"/>
      <c r="B70" s="250" t="s">
        <v>82</v>
      </c>
      <c r="C70" s="250"/>
      <c r="G70" s="239"/>
    </row>
    <row r="71" spans="1:7">
      <c r="A71" s="371" t="s">
        <v>92</v>
      </c>
      <c r="B71" s="250"/>
      <c r="C71" s="250"/>
      <c r="G71" s="239"/>
    </row>
    <row r="72" spans="1:7">
      <c r="A72" s="250"/>
      <c r="B72" s="250" t="s">
        <v>109</v>
      </c>
      <c r="C72" s="250"/>
      <c r="G72" s="239"/>
    </row>
    <row r="73" spans="1:7">
      <c r="A73" s="250"/>
      <c r="B73" s="250"/>
      <c r="C73" s="250" t="s">
        <v>197</v>
      </c>
      <c r="G73" s="239"/>
    </row>
    <row r="74" spans="1:7">
      <c r="A74" s="250"/>
      <c r="B74" s="250"/>
      <c r="C74" s="250" t="s">
        <v>96</v>
      </c>
      <c r="G74" s="239"/>
    </row>
    <row r="75" spans="1:7">
      <c r="A75" s="250"/>
      <c r="B75" s="250" t="s">
        <v>100</v>
      </c>
      <c r="C75" s="250"/>
      <c r="G75" s="239"/>
    </row>
    <row r="76" spans="1:7">
      <c r="A76" s="250"/>
      <c r="B76" s="250"/>
      <c r="C76" s="250" t="s">
        <v>99</v>
      </c>
      <c r="G76" s="239"/>
    </row>
    <row r="77" spans="1:7">
      <c r="A77" s="250"/>
      <c r="B77" s="250" t="s">
        <v>28</v>
      </c>
      <c r="C77" s="250"/>
      <c r="G77" s="239"/>
    </row>
    <row r="78" spans="1:7">
      <c r="A78" s="371" t="s">
        <v>198</v>
      </c>
      <c r="B78" s="250"/>
      <c r="C78" s="250"/>
    </row>
    <row r="79" spans="1:7">
      <c r="A79" s="250"/>
      <c r="B79" s="250" t="s">
        <v>95</v>
      </c>
      <c r="C79" s="250"/>
    </row>
    <row r="80" spans="1:7">
      <c r="A80" s="250"/>
      <c r="B80" s="250" t="s">
        <v>31</v>
      </c>
      <c r="C80" s="250"/>
    </row>
    <row r="81" spans="1:4">
      <c r="A81" s="250"/>
      <c r="C81" s="250" t="s">
        <v>32</v>
      </c>
    </row>
    <row r="82" spans="1:4">
      <c r="A82" s="250"/>
      <c r="B82" s="250" t="s">
        <v>20</v>
      </c>
      <c r="C82" s="250"/>
    </row>
    <row r="83" spans="1:4">
      <c r="A83" s="250"/>
      <c r="C83" s="250" t="s">
        <v>33</v>
      </c>
    </row>
    <row r="84" spans="1:4">
      <c r="A84" s="250"/>
      <c r="C84" s="250" t="s">
        <v>60</v>
      </c>
    </row>
    <row r="85" spans="1:4">
      <c r="A85" s="250"/>
      <c r="B85" s="250" t="s">
        <v>26</v>
      </c>
      <c r="C85" s="250"/>
    </row>
    <row r="86" spans="1:4">
      <c r="A86" s="250"/>
      <c r="B86" s="250"/>
      <c r="C86" s="250" t="s">
        <v>27</v>
      </c>
    </row>
    <row r="87" spans="1:4">
      <c r="A87" s="250"/>
      <c r="B87" s="250"/>
      <c r="C87" s="250"/>
      <c r="D87" s="250" t="s">
        <v>18</v>
      </c>
    </row>
    <row r="88" spans="1:4">
      <c r="A88" s="250"/>
      <c r="B88" s="250" t="s">
        <v>36</v>
      </c>
      <c r="C88" s="250"/>
      <c r="D88" s="250"/>
    </row>
    <row r="89" spans="1:4">
      <c r="A89" s="250"/>
      <c r="B89" s="238"/>
      <c r="C89" s="250" t="s">
        <v>38</v>
      </c>
      <c r="D89" s="250"/>
    </row>
    <row r="90" spans="1:4">
      <c r="A90" s="371" t="s">
        <v>75</v>
      </c>
      <c r="C90" s="250"/>
      <c r="D90" s="250"/>
    </row>
    <row r="91" spans="1:4">
      <c r="A91" s="250"/>
      <c r="B91" s="250" t="s">
        <v>76</v>
      </c>
      <c r="C91" s="250"/>
      <c r="D91" s="250"/>
    </row>
    <row r="92" spans="1:4">
      <c r="A92" s="250"/>
      <c r="B92" s="250" t="s">
        <v>77</v>
      </c>
      <c r="C92" s="250"/>
      <c r="D92" s="250"/>
    </row>
    <row r="93" spans="1:4">
      <c r="A93" s="250"/>
      <c r="B93" s="250" t="s">
        <v>89</v>
      </c>
      <c r="C93" s="250"/>
      <c r="D93" s="250"/>
    </row>
    <row r="94" spans="1:4">
      <c r="A94" s="250"/>
      <c r="B94" s="250" t="s">
        <v>78</v>
      </c>
      <c r="C94" s="250"/>
      <c r="D94" s="250"/>
    </row>
    <row r="95" spans="1:4">
      <c r="A95" s="250"/>
      <c r="B95" s="250" t="s">
        <v>88</v>
      </c>
      <c r="C95" s="250"/>
      <c r="D95" s="250"/>
    </row>
    <row r="96" spans="1:4">
      <c r="A96" s="371" t="s">
        <v>94</v>
      </c>
    </row>
    <row r="97" spans="1:4">
      <c r="A97" s="250"/>
      <c r="B97" s="250" t="s">
        <v>15</v>
      </c>
      <c r="C97" s="250"/>
    </row>
    <row r="98" spans="1:4">
      <c r="A98" s="250"/>
      <c r="B98" s="250"/>
      <c r="C98" s="250" t="s">
        <v>16</v>
      </c>
    </row>
    <row r="99" spans="1:4">
      <c r="A99" s="250"/>
      <c r="B99" s="250"/>
      <c r="C99" s="250" t="s">
        <v>17</v>
      </c>
    </row>
    <row r="100" spans="1:4">
      <c r="A100" s="250"/>
      <c r="B100" s="250"/>
      <c r="C100" s="250" t="s">
        <v>34</v>
      </c>
    </row>
    <row r="101" spans="1:4">
      <c r="A101" s="371" t="s">
        <v>101</v>
      </c>
      <c r="C101" s="250"/>
    </row>
    <row r="102" spans="1:4">
      <c r="B102" s="250" t="s">
        <v>102</v>
      </c>
      <c r="C102" s="250"/>
    </row>
    <row r="103" spans="1:4">
      <c r="A103" s="250"/>
      <c r="B103" s="250" t="s">
        <v>108</v>
      </c>
      <c r="C103" s="250"/>
    </row>
    <row r="104" spans="1:4">
      <c r="A104" s="371" t="s">
        <v>97</v>
      </c>
    </row>
    <row r="105" spans="1:4">
      <c r="A105" s="250"/>
      <c r="B105" s="250" t="s">
        <v>98</v>
      </c>
    </row>
    <row r="106" spans="1:4">
      <c r="A106" s="371" t="s">
        <v>110</v>
      </c>
    </row>
    <row r="107" spans="1:4">
      <c r="A107" s="371"/>
      <c r="B107" s="250" t="s">
        <v>111</v>
      </c>
    </row>
    <row r="108" spans="1:4">
      <c r="A108" s="250"/>
      <c r="B108" s="250" t="s">
        <v>116</v>
      </c>
      <c r="C108" s="250"/>
    </row>
    <row r="109" spans="1:4">
      <c r="A109" s="250"/>
      <c r="B109" s="250"/>
      <c r="C109" s="250" t="s">
        <v>115</v>
      </c>
    </row>
    <row r="110" spans="1:4">
      <c r="A110" s="250"/>
      <c r="B110" s="250"/>
      <c r="C110" s="250"/>
      <c r="D110" s="250" t="s">
        <v>114</v>
      </c>
    </row>
    <row r="111" spans="1:4">
      <c r="A111" s="250"/>
      <c r="C111" s="250" t="s">
        <v>118</v>
      </c>
    </row>
    <row r="112" spans="1:4">
      <c r="A112" s="250"/>
      <c r="D112" s="250" t="s">
        <v>119</v>
      </c>
    </row>
    <row r="113" spans="1:4">
      <c r="A113" s="250"/>
      <c r="C113" s="374" t="s">
        <v>85</v>
      </c>
    </row>
    <row r="114" spans="1:4">
      <c r="A114" s="250"/>
      <c r="D114" s="374" t="s">
        <v>86</v>
      </c>
    </row>
    <row r="115" spans="1:4">
      <c r="D115" s="374" t="s">
        <v>80</v>
      </c>
    </row>
    <row r="116" spans="1:4">
      <c r="A116" s="371" t="s">
        <v>112</v>
      </c>
      <c r="B116" s="250"/>
    </row>
    <row r="117" spans="1:4" customFormat="1">
      <c r="A117" s="250"/>
      <c r="B117" s="250" t="s">
        <v>113</v>
      </c>
      <c r="C117" s="250"/>
    </row>
    <row r="118" spans="1:4" customFormat="1">
      <c r="A118" s="250"/>
      <c r="B118" s="250"/>
      <c r="C118" s="250" t="s">
        <v>63</v>
      </c>
    </row>
    <row r="119" spans="1:4" customFormat="1">
      <c r="A119" s="250"/>
      <c r="B119" s="250"/>
      <c r="C119" s="250" t="s">
        <v>64</v>
      </c>
    </row>
    <row r="120" spans="1:4">
      <c r="A120" s="371" t="s">
        <v>103</v>
      </c>
    </row>
    <row r="121" spans="1:4">
      <c r="A121" s="250"/>
      <c r="B121" s="250" t="s">
        <v>105</v>
      </c>
      <c r="D121" s="250" t="s">
        <v>126</v>
      </c>
    </row>
    <row r="122" spans="1:4">
      <c r="A122" s="250"/>
      <c r="B122" s="250"/>
      <c r="D122" s="250" t="s">
        <v>106</v>
      </c>
    </row>
    <row r="123" spans="1:4">
      <c r="A123" s="250"/>
      <c r="B123" s="250" t="s">
        <v>121</v>
      </c>
      <c r="D123" s="250" t="s">
        <v>104</v>
      </c>
    </row>
    <row r="124" spans="1:4">
      <c r="A124" s="250"/>
      <c r="D124" s="250" t="s">
        <v>19</v>
      </c>
    </row>
    <row r="125" spans="1:4">
      <c r="A125" s="250"/>
      <c r="D125" s="250" t="s">
        <v>127</v>
      </c>
    </row>
    <row r="126" spans="1:4">
      <c r="A126" s="250"/>
      <c r="B126" s="250" t="s">
        <v>107</v>
      </c>
      <c r="D126" s="250" t="s">
        <v>42</v>
      </c>
    </row>
    <row r="127" spans="1:4">
      <c r="A127" s="250"/>
      <c r="C127" s="250"/>
      <c r="D127" s="250" t="s">
        <v>50</v>
      </c>
    </row>
    <row r="128" spans="1:4">
      <c r="A128" s="250"/>
      <c r="C128" s="250"/>
      <c r="D128" s="250" t="s">
        <v>41</v>
      </c>
    </row>
    <row r="129" spans="1:5" s="213" customFormat="1">
      <c r="A129" s="237"/>
      <c r="B129" s="377" t="s">
        <v>122</v>
      </c>
      <c r="D129" s="377" t="s">
        <v>128</v>
      </c>
    </row>
    <row r="130" spans="1:5" s="213" customFormat="1">
      <c r="A130" s="371" t="s">
        <v>144</v>
      </c>
      <c r="B130" s="377"/>
      <c r="D130" s="377"/>
    </row>
    <row r="131" spans="1:5" s="213" customFormat="1">
      <c r="A131" s="237"/>
      <c r="B131" s="767">
        <v>37116</v>
      </c>
      <c r="C131" s="767"/>
      <c r="D131" s="377" t="s">
        <v>141</v>
      </c>
    </row>
    <row r="132" spans="1:5" s="213" customFormat="1">
      <c r="A132" s="237"/>
      <c r="B132" s="767">
        <v>37126</v>
      </c>
      <c r="C132" s="767"/>
      <c r="D132" s="377" t="s">
        <v>145</v>
      </c>
      <c r="E132" s="377"/>
    </row>
    <row r="133" spans="1:5" s="213" customFormat="1">
      <c r="A133" s="237"/>
      <c r="B133" s="381"/>
      <c r="C133" s="381"/>
      <c r="D133" s="377" t="s">
        <v>146</v>
      </c>
      <c r="E133" s="377"/>
    </row>
    <row r="134" spans="1:5" s="213" customFormat="1">
      <c r="A134" s="237"/>
      <c r="B134" s="381"/>
      <c r="C134" s="381"/>
      <c r="D134" s="377" t="s">
        <v>148</v>
      </c>
      <c r="E134" s="377"/>
    </row>
    <row r="135" spans="1:5" s="213" customFormat="1">
      <c r="A135" s="237"/>
      <c r="B135" s="381"/>
      <c r="C135" s="381"/>
      <c r="D135" s="377" t="s">
        <v>147</v>
      </c>
      <c r="E135" s="377"/>
    </row>
    <row r="136" spans="1:5" s="213" customFormat="1">
      <c r="A136" s="237"/>
      <c r="B136" s="381"/>
      <c r="C136" s="381"/>
      <c r="D136" s="377" t="s">
        <v>153</v>
      </c>
      <c r="E136" s="377"/>
    </row>
    <row r="137" spans="1:5" s="213" customFormat="1">
      <c r="A137" s="237"/>
      <c r="B137" s="767">
        <v>37127</v>
      </c>
      <c r="C137" s="767"/>
      <c r="D137" s="377" t="s">
        <v>152</v>
      </c>
      <c r="E137" s="377"/>
    </row>
    <row r="138" spans="1:5" s="213" customFormat="1">
      <c r="A138" s="237"/>
      <c r="B138" s="381"/>
      <c r="C138" s="381"/>
      <c r="E138" s="377" t="s">
        <v>151</v>
      </c>
    </row>
    <row r="139" spans="1:5" s="213" customFormat="1">
      <c r="A139" s="237"/>
      <c r="B139" s="767">
        <v>37129</v>
      </c>
      <c r="C139" s="767"/>
      <c r="D139" s="377" t="s">
        <v>155</v>
      </c>
      <c r="E139" s="377"/>
    </row>
    <row r="140" spans="1:5" s="213" customFormat="1">
      <c r="A140" s="237"/>
      <c r="B140" s="381"/>
      <c r="C140" s="381"/>
      <c r="D140" s="377" t="s">
        <v>157</v>
      </c>
      <c r="E140" s="377"/>
    </row>
    <row r="141" spans="1:5" s="213" customFormat="1">
      <c r="A141" s="237"/>
      <c r="B141" s="381"/>
      <c r="C141" s="381"/>
      <c r="D141" s="377" t="s">
        <v>154</v>
      </c>
      <c r="E141" s="377"/>
    </row>
    <row r="142" spans="1:5" s="213" customFormat="1">
      <c r="A142" s="237"/>
      <c r="B142" s="381"/>
      <c r="C142" s="381"/>
      <c r="D142" s="377" t="s">
        <v>156</v>
      </c>
      <c r="E142" s="377"/>
    </row>
    <row r="143" spans="1:5" s="213" customFormat="1">
      <c r="A143" s="385" t="s">
        <v>158</v>
      </c>
      <c r="B143" s="386"/>
      <c r="C143" s="386"/>
      <c r="D143" s="386"/>
      <c r="E143" s="377"/>
    </row>
    <row r="144" spans="1:5" s="213" customFormat="1">
      <c r="A144" s="387"/>
      <c r="B144" s="768">
        <v>37180</v>
      </c>
      <c r="C144" s="768"/>
      <c r="D144" s="386" t="s">
        <v>160</v>
      </c>
      <c r="E144" s="377"/>
    </row>
    <row r="145" spans="1:5" s="213" customFormat="1">
      <c r="A145" s="237"/>
      <c r="B145" s="381"/>
      <c r="C145" s="381"/>
      <c r="D145" s="386" t="s">
        <v>169</v>
      </c>
      <c r="E145" s="377"/>
    </row>
    <row r="146" spans="1:5" s="213" customFormat="1">
      <c r="A146" s="237"/>
      <c r="B146" s="381"/>
      <c r="C146" s="381"/>
      <c r="D146" s="386"/>
      <c r="E146" s="386" t="s">
        <v>182</v>
      </c>
    </row>
    <row r="147" spans="1:5" s="213" customFormat="1">
      <c r="A147" s="237"/>
      <c r="B147" s="381"/>
      <c r="C147" s="381"/>
      <c r="D147" s="386"/>
      <c r="E147" s="386" t="s">
        <v>183</v>
      </c>
    </row>
    <row r="148" spans="1:5" s="213" customFormat="1">
      <c r="A148" s="237"/>
      <c r="B148" s="381"/>
      <c r="C148" s="381"/>
      <c r="D148" s="386"/>
      <c r="E148" s="393" t="s">
        <v>184</v>
      </c>
    </row>
    <row r="149" spans="1:5" s="213" customFormat="1">
      <c r="A149" s="237"/>
      <c r="B149" s="381"/>
      <c r="C149" s="381"/>
      <c r="D149" s="386" t="s">
        <v>164</v>
      </c>
      <c r="E149" s="377"/>
    </row>
    <row r="150" spans="1:5" s="213" customFormat="1">
      <c r="A150" s="237"/>
      <c r="B150" s="381"/>
      <c r="C150" s="381"/>
      <c r="D150" s="386" t="s">
        <v>159</v>
      </c>
      <c r="E150" s="377"/>
    </row>
    <row r="151" spans="1:5" s="213" customFormat="1">
      <c r="A151" s="237"/>
      <c r="B151" s="381"/>
      <c r="C151" s="381"/>
      <c r="D151" s="386" t="s">
        <v>162</v>
      </c>
      <c r="E151" s="377"/>
    </row>
    <row r="152" spans="1:5" s="213" customFormat="1">
      <c r="A152" s="237"/>
      <c r="B152" s="381"/>
      <c r="D152" s="386" t="s">
        <v>163</v>
      </c>
      <c r="E152" s="377"/>
    </row>
    <row r="153" spans="1:5" s="213" customFormat="1">
      <c r="A153" s="237"/>
      <c r="B153" s="381"/>
      <c r="C153" s="381"/>
      <c r="D153" s="386" t="s">
        <v>196</v>
      </c>
      <c r="E153" s="377"/>
    </row>
    <row r="154" spans="1:5" s="213" customFormat="1">
      <c r="A154" s="392" t="s">
        <v>166</v>
      </c>
      <c r="B154" s="393"/>
      <c r="C154" s="393"/>
      <c r="D154" s="393"/>
      <c r="E154" s="377"/>
    </row>
    <row r="155" spans="1:5" s="213" customFormat="1">
      <c r="A155" s="399"/>
      <c r="B155" s="763">
        <v>37181</v>
      </c>
      <c r="C155" s="763"/>
      <c r="D155" s="393" t="s">
        <v>170</v>
      </c>
      <c r="E155" s="377"/>
    </row>
    <row r="156" spans="1:5" s="213" customFormat="1">
      <c r="A156" s="399"/>
      <c r="B156" s="400"/>
      <c r="C156" s="400"/>
      <c r="D156" s="393" t="s">
        <v>167</v>
      </c>
      <c r="E156" s="377"/>
    </row>
    <row r="157" spans="1:5" s="213" customFormat="1">
      <c r="A157" s="399"/>
      <c r="B157" s="400"/>
      <c r="C157" s="400"/>
      <c r="D157" s="393" t="s">
        <v>168</v>
      </c>
      <c r="E157" s="377"/>
    </row>
    <row r="158" spans="1:5" s="213" customFormat="1">
      <c r="A158" s="399"/>
      <c r="B158" s="763">
        <v>37182</v>
      </c>
      <c r="C158" s="763"/>
      <c r="D158" s="393" t="s">
        <v>201</v>
      </c>
      <c r="E158" s="377"/>
    </row>
    <row r="159" spans="1:5" s="213" customFormat="1">
      <c r="A159" s="399"/>
      <c r="B159" s="400"/>
      <c r="C159" s="400"/>
      <c r="D159" s="393"/>
      <c r="E159" s="393" t="s">
        <v>202</v>
      </c>
    </row>
    <row r="160" spans="1:5" s="213" customFormat="1">
      <c r="A160" s="399"/>
      <c r="B160" s="763">
        <v>37188</v>
      </c>
      <c r="C160" s="763"/>
      <c r="D160" s="393" t="s">
        <v>171</v>
      </c>
      <c r="E160" s="377"/>
    </row>
    <row r="161" spans="1:10" s="213" customFormat="1">
      <c r="A161" s="399"/>
      <c r="B161" s="763">
        <v>37194</v>
      </c>
      <c r="C161" s="763"/>
      <c r="D161" s="393" t="s">
        <v>172</v>
      </c>
      <c r="E161" s="377"/>
    </row>
    <row r="162" spans="1:10" s="213" customFormat="1">
      <c r="A162" s="399"/>
      <c r="B162" s="400"/>
      <c r="C162" s="400"/>
      <c r="D162" s="393" t="s">
        <v>173</v>
      </c>
      <c r="E162" s="377"/>
    </row>
    <row r="163" spans="1:10" s="213" customFormat="1">
      <c r="A163" s="399"/>
      <c r="B163" s="400"/>
      <c r="C163" s="400"/>
      <c r="D163" s="393" t="s">
        <v>174</v>
      </c>
      <c r="E163" s="377"/>
    </row>
    <row r="164" spans="1:10" s="213" customFormat="1">
      <c r="A164" s="399"/>
      <c r="B164" s="763">
        <v>37195</v>
      </c>
      <c r="C164" s="763"/>
      <c r="D164" s="411" t="s">
        <v>175</v>
      </c>
      <c r="E164" s="377"/>
    </row>
    <row r="165" spans="1:10" s="213" customFormat="1">
      <c r="A165" s="399"/>
      <c r="B165" s="400"/>
      <c r="C165" s="400"/>
      <c r="D165" s="420" t="s">
        <v>203</v>
      </c>
      <c r="E165" s="377"/>
    </row>
    <row r="166" spans="1:10" s="213" customFormat="1">
      <c r="A166" s="399"/>
      <c r="B166" s="400"/>
      <c r="C166" s="400"/>
      <c r="D166" s="420"/>
      <c r="E166" s="411" t="s">
        <v>181</v>
      </c>
      <c r="J166" s="411"/>
    </row>
    <row r="167" spans="1:10" s="213" customFormat="1">
      <c r="A167" s="399"/>
      <c r="B167" s="762">
        <v>37196</v>
      </c>
      <c r="C167" s="762"/>
      <c r="D167" s="420" t="s">
        <v>193</v>
      </c>
      <c r="E167" s="377"/>
      <c r="J167" s="411"/>
    </row>
    <row r="168" spans="1:10" s="217" customFormat="1">
      <c r="A168" s="215" t="s">
        <v>3</v>
      </c>
    </row>
    <row r="169" spans="1:10">
      <c r="A169" s="210" t="s">
        <v>5</v>
      </c>
    </row>
    <row r="170" spans="1:10">
      <c r="A170" s="210" t="s">
        <v>6</v>
      </c>
    </row>
    <row r="171" spans="1:10">
      <c r="A171" s="210" t="s">
        <v>14</v>
      </c>
      <c r="B171" s="212" t="s">
        <v>190</v>
      </c>
      <c r="H171" s="210" t="s">
        <v>191</v>
      </c>
    </row>
    <row r="172" spans="1:10" s="213" customFormat="1">
      <c r="A172" s="250" t="s">
        <v>125</v>
      </c>
    </row>
    <row r="173" spans="1:10">
      <c r="B173" s="250" t="s">
        <v>143</v>
      </c>
    </row>
    <row r="174" spans="1:10">
      <c r="A174" s="250"/>
      <c r="B174" s="250" t="s">
        <v>142</v>
      </c>
    </row>
    <row r="175" spans="1:10">
      <c r="B175" s="250" t="s">
        <v>29</v>
      </c>
    </row>
    <row r="176" spans="1:10">
      <c r="A176" s="250" t="s">
        <v>149</v>
      </c>
    </row>
    <row r="177" spans="1:2">
      <c r="A177" s="250"/>
      <c r="B177" s="250" t="s">
        <v>123</v>
      </c>
    </row>
    <row r="178" spans="1:2">
      <c r="A178" s="250"/>
      <c r="B178" s="250" t="s">
        <v>124</v>
      </c>
    </row>
    <row r="179" spans="1:2">
      <c r="A179" s="250"/>
      <c r="B179" s="250" t="s">
        <v>150</v>
      </c>
    </row>
    <row r="180" spans="1:2">
      <c r="A180" s="250" t="s">
        <v>83</v>
      </c>
    </row>
    <row r="181" spans="1:2">
      <c r="A181" s="250" t="s">
        <v>138</v>
      </c>
    </row>
    <row r="182" spans="1:2">
      <c r="A182" s="250"/>
      <c r="B182" s="250" t="s">
        <v>139</v>
      </c>
    </row>
    <row r="183" spans="1:2">
      <c r="A183" s="408" t="s">
        <v>187</v>
      </c>
      <c r="B183" s="250"/>
    </row>
    <row r="184" spans="1:2">
      <c r="A184" s="210" t="s">
        <v>4</v>
      </c>
    </row>
    <row r="185" spans="1:2">
      <c r="A185" s="210" t="s">
        <v>7</v>
      </c>
    </row>
    <row r="186" spans="1:2">
      <c r="A186" s="409" t="s">
        <v>180</v>
      </c>
    </row>
    <row r="187" spans="1:2">
      <c r="A187" s="409" t="s">
        <v>186</v>
      </c>
    </row>
    <row r="188" spans="1:2">
      <c r="A188" s="210" t="s">
        <v>8</v>
      </c>
    </row>
    <row r="189" spans="1:2">
      <c r="A189" s="210" t="s">
        <v>9</v>
      </c>
    </row>
    <row r="190" spans="1:2">
      <c r="A190" s="210" t="s">
        <v>10</v>
      </c>
    </row>
    <row r="191" spans="1:2">
      <c r="B191" s="250" t="s">
        <v>84</v>
      </c>
    </row>
    <row r="192" spans="1:2">
      <c r="A192" s="210" t="s">
        <v>11</v>
      </c>
    </row>
    <row r="193" spans="1:3">
      <c r="A193" s="210" t="s">
        <v>12</v>
      </c>
    </row>
    <row r="194" spans="1:3">
      <c r="A194" s="210" t="s">
        <v>13</v>
      </c>
    </row>
    <row r="195" spans="1:3">
      <c r="A195" s="409" t="s">
        <v>176</v>
      </c>
    </row>
    <row r="196" spans="1:3">
      <c r="A196" s="228"/>
      <c r="B196" s="408" t="s">
        <v>199</v>
      </c>
    </row>
    <row r="197" spans="1:3">
      <c r="A197" s="228"/>
      <c r="B197" s="408"/>
      <c r="C197" s="408" t="s">
        <v>200</v>
      </c>
    </row>
    <row r="198" spans="1:3">
      <c r="A198" s="228"/>
      <c r="B198" s="408" t="s">
        <v>177</v>
      </c>
    </row>
    <row r="199" spans="1:3">
      <c r="A199" s="228"/>
      <c r="B199" s="408" t="s">
        <v>178</v>
      </c>
    </row>
    <row r="200" spans="1:3">
      <c r="B200" s="408"/>
    </row>
  </sheetData>
  <mergeCells count="13">
    <mergeCell ref="B167:C167"/>
    <mergeCell ref="B164:C164"/>
    <mergeCell ref="B18:K18"/>
    <mergeCell ref="B34:K34"/>
    <mergeCell ref="B131:C131"/>
    <mergeCell ref="B132:C132"/>
    <mergeCell ref="B137:C137"/>
    <mergeCell ref="B158:C158"/>
    <mergeCell ref="B155:C155"/>
    <mergeCell ref="B144:C144"/>
    <mergeCell ref="B139:C139"/>
    <mergeCell ref="B161:C161"/>
    <mergeCell ref="B160:C160"/>
  </mergeCells>
  <phoneticPr fontId="54" type="noConversion"/>
  <hyperlinks>
    <hyperlink ref="B18" r:id="rId1"/>
    <hyperlink ref="B34" r:id="rId2" display="http://grouper.ieee.org/groups/802/3/10G_study/public/email_attach/All_1250.xls"/>
    <hyperlink ref="B34:K34" r:id="rId3" display="http://grouper.ieee.org/groups/802/3/10G_study/public/email_attach/All_1250v2.xls"/>
    <hyperlink ref="C3" r:id="rId4"/>
    <hyperlink ref="B20" r:id="rId5"/>
    <hyperlink ref="D164" location="A185" display="A185"/>
    <hyperlink ref="E166" r:id="rId6"/>
    <hyperlink ref="G5" r:id="rId7"/>
    <hyperlink ref="B171" r:id="rId8"/>
  </hyperlinks>
  <printOptions horizontalCentered="1"/>
  <pageMargins left="0.75" right="0.75" top="0.75" bottom="0.75" header="0.5" footer="0.5"/>
  <pageSetup scale="80" fitToHeight="3" orientation="portrait" r:id="rId9"/>
  <headerFooter alignWithMargins="0">
    <oddHeader xml:space="preserve">&amp;CSpreadsheet by Agilent Technologies&amp;R </oddHeader>
    <oddFooter>&amp;L&amp;F tab &amp;A page &amp;P of &amp;N&amp;RPrinted &amp;T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W71"/>
  <sheetViews>
    <sheetView showGridLines="0" showOutlineSymbols="0" zoomScale="67" zoomScaleNormal="70" workbookViewId="0">
      <pane ySplit="3525" topLeftCell="A28"/>
      <selection activeCell="G7" sqref="G7"/>
      <selection pane="bottomLeft" activeCell="AQ29" sqref="AQ29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6.8554687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7.710937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5703125" style="14" bestFit="1" customWidth="1"/>
    <col min="45" max="45" width="7.140625" style="14" bestFit="1" customWidth="1"/>
    <col min="46" max="46" width="9.5703125" style="14" bestFit="1" customWidth="1"/>
    <col min="47" max="48" width="5.85546875" style="14" bestFit="1" customWidth="1"/>
    <col min="49" max="49" width="9.570312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2" t="str">
        <f>'10GbE Notes'!A1</f>
        <v>10GEPBud3_1_16a.xls</v>
      </c>
      <c r="S1" s="753"/>
      <c r="T1" s="753"/>
      <c r="U1" s="753"/>
      <c r="V1" s="167" t="s">
        <v>221</v>
      </c>
      <c r="W1" s="750">
        <f>'10GbE Notes'!E2</f>
        <v>37181</v>
      </c>
      <c r="X1" s="751"/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1.1963963486969995</v>
      </c>
    </row>
    <row r="2" spans="1:44">
      <c r="A2" s="117" t="s">
        <v>337</v>
      </c>
      <c r="B2" s="118" t="s">
        <v>215</v>
      </c>
      <c r="C2" s="112" t="s">
        <v>216</v>
      </c>
      <c r="D2" s="119"/>
      <c r="E2" s="5"/>
      <c r="F2" s="118" t="s">
        <v>341</v>
      </c>
      <c r="G2" s="320">
        <v>35</v>
      </c>
      <c r="H2" s="119" t="s">
        <v>219</v>
      </c>
      <c r="I2" s="351" t="s">
        <v>211</v>
      </c>
      <c r="J2" s="769" t="s">
        <v>39</v>
      </c>
      <c r="K2" s="769"/>
      <c r="L2" s="770" t="s">
        <v>195</v>
      </c>
      <c r="M2" s="771"/>
      <c r="N2" s="140"/>
      <c r="O2" s="6" t="s">
        <v>348</v>
      </c>
      <c r="P2" s="148">
        <v>3.5</v>
      </c>
      <c r="Q2" s="130" t="s">
        <v>349</v>
      </c>
      <c r="R2" s="110"/>
      <c r="T2" s="145" t="s">
        <v>220</v>
      </c>
      <c r="U2" s="146" t="str">
        <f>'10GbE Notes'!F16</f>
        <v>3.1.16a</v>
      </c>
      <c r="V2" s="64" t="s">
        <v>221</v>
      </c>
      <c r="W2" s="772">
        <f>'10GbE Notes'!D16</f>
        <v>37195</v>
      </c>
      <c r="X2" s="758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1.1963963486969995</v>
      </c>
    </row>
    <row r="3" spans="1:44" ht="15" customHeight="1">
      <c r="A3" s="120"/>
      <c r="B3" s="121" t="s">
        <v>237</v>
      </c>
      <c r="C3" s="17">
        <v>7.0369999999999999</v>
      </c>
      <c r="D3" s="122"/>
      <c r="E3" s="7"/>
      <c r="F3" s="121" t="s">
        <v>342</v>
      </c>
      <c r="G3" s="10">
        <f>G2*1.518</f>
        <v>53.13</v>
      </c>
      <c r="H3" s="125" t="s">
        <v>219</v>
      </c>
      <c r="I3" s="241" t="s">
        <v>308</v>
      </c>
      <c r="J3" s="5"/>
      <c r="K3" s="6" t="s">
        <v>217</v>
      </c>
      <c r="L3" s="516">
        <v>0.3</v>
      </c>
      <c r="M3" s="130" t="s">
        <v>218</v>
      </c>
      <c r="N3" s="149" t="s">
        <v>347</v>
      </c>
      <c r="O3" s="134" t="s">
        <v>350</v>
      </c>
      <c r="P3" s="7">
        <f>IF(Uc&lt;1000,850,1310)</f>
        <v>850</v>
      </c>
      <c r="Q3" s="122" t="s">
        <v>334</v>
      </c>
      <c r="S3" s="366" t="s">
        <v>70</v>
      </c>
      <c r="T3" s="382">
        <v>-11.1</v>
      </c>
      <c r="U3" s="365" t="s">
        <v>326</v>
      </c>
      <c r="V3" s="168" t="s">
        <v>242</v>
      </c>
      <c r="W3" s="169">
        <f>AO39</f>
        <v>0.79359276261531608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2.0670853609056716</v>
      </c>
      <c r="AH3" s="21" t="s">
        <v>239</v>
      </c>
      <c r="AI3" s="86"/>
      <c r="AJ3" s="126" t="s">
        <v>73</v>
      </c>
      <c r="AK3" s="369">
        <f>ERF(AK1)+ERF(AK2)-1</f>
        <v>0.81869273816703991</v>
      </c>
    </row>
    <row r="4" spans="1:44" ht="15" customHeight="1">
      <c r="A4" s="11"/>
      <c r="B4" s="123" t="s">
        <v>247</v>
      </c>
      <c r="C4" s="353">
        <v>10312.5</v>
      </c>
      <c r="D4" s="124" t="s">
        <v>248</v>
      </c>
      <c r="E4" s="7"/>
      <c r="F4" s="134" t="s">
        <v>340</v>
      </c>
      <c r="G4" s="383">
        <v>-130</v>
      </c>
      <c r="H4" s="166" t="s">
        <v>246</v>
      </c>
      <c r="I4" s="242" t="s">
        <v>344</v>
      </c>
      <c r="J4" s="7"/>
      <c r="K4" s="121" t="s">
        <v>226</v>
      </c>
      <c r="L4" s="517">
        <v>0.2</v>
      </c>
      <c r="M4" s="125" t="s">
        <v>218</v>
      </c>
      <c r="N4" s="120"/>
      <c r="O4" s="121" t="s">
        <v>227</v>
      </c>
      <c r="P4" s="197">
        <f>IF(Uc&gt;1000,$P$2/1.4846,$P$2/3.5)</f>
        <v>1</v>
      </c>
      <c r="Q4" s="122"/>
      <c r="R4" s="367" t="s">
        <v>266</v>
      </c>
      <c r="S4" s="8" t="s">
        <v>236</v>
      </c>
      <c r="T4" s="114">
        <v>-12</v>
      </c>
      <c r="U4" s="137" t="s">
        <v>232</v>
      </c>
      <c r="V4" s="170" t="s">
        <v>355</v>
      </c>
      <c r="W4" s="29"/>
      <c r="X4" s="209" t="str">
        <f>$L$3&amp;" km"</f>
        <v>0.3 km</v>
      </c>
      <c r="Y4" s="96"/>
      <c r="AA4" s="126" t="s">
        <v>233</v>
      </c>
      <c r="AB4" s="200">
        <f>0.7*$P$8*$C$7</f>
        <v>2.2329999999999999E-2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0.99653657512968374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0.81869273816703991</v>
      </c>
    </row>
    <row r="5" spans="1:44" ht="15" customHeight="1">
      <c r="A5" s="117" t="s">
        <v>338</v>
      </c>
      <c r="B5" s="7"/>
      <c r="C5" s="7"/>
      <c r="D5" s="7"/>
      <c r="E5" s="7"/>
      <c r="F5" s="121" t="s">
        <v>251</v>
      </c>
      <c r="G5" s="111">
        <f>G4-2*C11</f>
        <v>-139.56059991327962</v>
      </c>
      <c r="H5" s="127" t="s">
        <v>246</v>
      </c>
      <c r="I5" s="243" t="s">
        <v>345</v>
      </c>
      <c r="J5" s="110"/>
      <c r="K5" s="123" t="s">
        <v>230</v>
      </c>
      <c r="L5" s="132">
        <v>0.01</v>
      </c>
      <c r="M5" s="133" t="s">
        <v>218</v>
      </c>
      <c r="N5" s="120"/>
      <c r="O5" s="116" t="s">
        <v>348</v>
      </c>
      <c r="P5" s="16">
        <f>$P$4*((1/(0.00094*Uc)^4)+1.05)</f>
        <v>3.622595119239568</v>
      </c>
      <c r="Q5" s="122" t="s">
        <v>349</v>
      </c>
      <c r="R5" s="152"/>
      <c r="S5" s="116" t="s">
        <v>252</v>
      </c>
      <c r="T5" s="135">
        <v>8250</v>
      </c>
      <c r="U5" s="125" t="s">
        <v>253</v>
      </c>
      <c r="V5" s="405" t="s">
        <v>43</v>
      </c>
      <c r="W5" s="406">
        <v>7500</v>
      </c>
      <c r="X5" s="407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0.97816585924051647</v>
      </c>
      <c r="AH5" s="194" t="s">
        <v>239</v>
      </c>
      <c r="AI5" s="86"/>
    </row>
    <row r="6" spans="1:44" ht="15" customHeight="1">
      <c r="A6" s="120"/>
      <c r="B6" s="121" t="s">
        <v>346</v>
      </c>
      <c r="C6" s="113">
        <v>840</v>
      </c>
      <c r="D6" s="8" t="s">
        <v>334</v>
      </c>
      <c r="E6" s="7"/>
      <c r="F6" s="121" t="s">
        <v>235</v>
      </c>
      <c r="G6" s="17">
        <v>0.7</v>
      </c>
      <c r="H6" s="122"/>
      <c r="I6" s="7"/>
      <c r="J6" s="7"/>
      <c r="K6" s="116" t="s">
        <v>343</v>
      </c>
      <c r="L6" s="16">
        <f>C8-T3</f>
        <v>7.3</v>
      </c>
      <c r="M6" s="136" t="s">
        <v>232</v>
      </c>
      <c r="N6" s="120"/>
      <c r="O6" s="134" t="s">
        <v>350</v>
      </c>
      <c r="P6" s="7">
        <f>Uc</f>
        <v>840</v>
      </c>
      <c r="Q6" s="122" t="s">
        <v>334</v>
      </c>
      <c r="R6" s="153"/>
      <c r="S6" s="134" t="s">
        <v>260</v>
      </c>
      <c r="T6" s="27">
        <v>329</v>
      </c>
      <c r="U6" s="159" t="s">
        <v>255</v>
      </c>
      <c r="V6" s="402"/>
      <c r="W6" s="403"/>
      <c r="X6" s="404"/>
      <c r="Y6" s="96"/>
      <c r="AA6" s="196" t="s">
        <v>222</v>
      </c>
      <c r="AB6" s="197">
        <f>10^(C9/10)</f>
        <v>1.9968678749407047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7.6010063038915211E-4</v>
      </c>
      <c r="AH6" s="288" t="s">
        <v>140</v>
      </c>
      <c r="AI6" s="86"/>
    </row>
    <row r="7" spans="1:44" ht="15" customHeight="1">
      <c r="A7" s="120"/>
      <c r="B7" s="410" t="s">
        <v>179</v>
      </c>
      <c r="C7" s="384">
        <v>0.28999999999999998</v>
      </c>
      <c r="D7" s="8" t="s">
        <v>334</v>
      </c>
      <c r="E7" s="7"/>
      <c r="F7" s="280" t="s">
        <v>234</v>
      </c>
      <c r="G7" s="518">
        <f>G8</f>
        <v>6</v>
      </c>
      <c r="H7" s="281" t="str">
        <f>IF(G9&lt;0,"should not be &lt; DCD!","ps inc. DCD")</f>
        <v>ps inc. DCD</v>
      </c>
      <c r="I7" s="7"/>
      <c r="J7" s="7"/>
      <c r="K7" s="354" t="s">
        <v>65</v>
      </c>
      <c r="L7" s="352">
        <v>1.5</v>
      </c>
      <c r="M7" s="136" t="s">
        <v>232</v>
      </c>
      <c r="N7" s="120"/>
      <c r="O7" s="116" t="s">
        <v>333</v>
      </c>
      <c r="P7" s="114">
        <v>1320</v>
      </c>
      <c r="Q7" s="122" t="s">
        <v>334</v>
      </c>
      <c r="R7" s="153"/>
      <c r="S7" s="134" t="s">
        <v>256</v>
      </c>
      <c r="T7" s="111">
        <f>$T$6*1000/$T$5</f>
        <v>39.878787878787875</v>
      </c>
      <c r="U7" s="122" t="s">
        <v>219</v>
      </c>
      <c r="V7" s="372" t="s">
        <v>331</v>
      </c>
      <c r="W7" s="7"/>
      <c r="X7" s="161"/>
      <c r="Y7" s="96"/>
      <c r="AA7" s="196" t="s">
        <v>228</v>
      </c>
      <c r="AB7" s="197">
        <f>(ER+1)/(ER-1)</f>
        <v>3.0062839321800428</v>
      </c>
      <c r="AC7" s="198" t="s">
        <v>214</v>
      </c>
      <c r="AD7" s="21"/>
      <c r="AF7" s="282" t="s">
        <v>315</v>
      </c>
      <c r="AG7" s="289">
        <f>(1-10^(-Pmn/5))/(Q*Q)</f>
        <v>2.6057765405677813E-3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401">
        <v>-3.8</v>
      </c>
      <c r="D8" s="7" t="s">
        <v>326</v>
      </c>
      <c r="E8" s="7"/>
      <c r="F8" s="116" t="s">
        <v>249</v>
      </c>
      <c r="G8" s="279">
        <v>6</v>
      </c>
      <c r="H8" s="306" t="s">
        <v>131</v>
      </c>
      <c r="I8" s="7"/>
      <c r="J8" s="7"/>
      <c r="K8" s="25" t="s">
        <v>238</v>
      </c>
      <c r="L8" s="8">
        <f>$L$6-$L$7</f>
        <v>5.8</v>
      </c>
      <c r="M8" s="136" t="s">
        <v>232</v>
      </c>
      <c r="N8" s="103"/>
      <c r="O8" s="116" t="s">
        <v>130</v>
      </c>
      <c r="P8" s="114">
        <v>0.11</v>
      </c>
      <c r="Q8" s="122" t="s">
        <v>354</v>
      </c>
      <c r="R8" s="153"/>
      <c r="S8" s="326" t="s">
        <v>54</v>
      </c>
      <c r="T8" s="154">
        <f>$G$14*10^6/$C$4</f>
        <v>19.393939393939387</v>
      </c>
      <c r="U8" s="122" t="s">
        <v>219</v>
      </c>
      <c r="V8" s="149" t="s">
        <v>356</v>
      </c>
      <c r="W8" s="115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43.866666666666667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16">
        <f>10*LOG10((2*AB12+AB11)/(2*AB12-AB11))</f>
        <v>3.0034933022749914</v>
      </c>
      <c r="D9" s="8" t="s">
        <v>232</v>
      </c>
      <c r="E9" s="7"/>
      <c r="F9" s="282" t="s">
        <v>339</v>
      </c>
      <c r="G9" s="283">
        <f>(10^-6)*($G$7-$G$8)*$L$11</f>
        <v>0</v>
      </c>
      <c r="H9" s="284" t="s">
        <v>332</v>
      </c>
      <c r="I9" s="7"/>
      <c r="J9" s="7"/>
      <c r="K9" s="121" t="s">
        <v>254</v>
      </c>
      <c r="L9" s="131">
        <v>480</v>
      </c>
      <c r="M9" s="7" t="s">
        <v>255</v>
      </c>
      <c r="N9" s="120"/>
      <c r="O9" s="121" t="s">
        <v>129</v>
      </c>
      <c r="P9" s="16">
        <f>0.25*$P$8*Uc*(1-(Uo/Uc)^4)</f>
        <v>-117.7609329446064</v>
      </c>
      <c r="Q9" s="127" t="s">
        <v>223</v>
      </c>
      <c r="R9" s="153"/>
      <c r="S9" s="326" t="s">
        <v>52</v>
      </c>
      <c r="U9" s="159" t="s">
        <v>53</v>
      </c>
      <c r="V9" s="325" t="s">
        <v>51</v>
      </c>
      <c r="W9" s="16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2.8022724408683835</v>
      </c>
      <c r="AC9" s="197" t="s">
        <v>229</v>
      </c>
      <c r="AD9" s="194"/>
      <c r="AE9" s="74"/>
      <c r="AF9" s="74" t="s">
        <v>45</v>
      </c>
      <c r="AG9" s="322">
        <f>SQRT(H17^2+$AG$8^2)</f>
        <v>68.900961395178896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323">
        <f>MIN(C8+1.77,-1)</f>
        <v>-2.0299999999999998</v>
      </c>
      <c r="D10" s="7" t="s">
        <v>326</v>
      </c>
      <c r="E10" s="7"/>
      <c r="F10" s="121" t="s">
        <v>258</v>
      </c>
      <c r="G10" s="383">
        <v>0.3</v>
      </c>
      <c r="H10" s="122"/>
      <c r="I10" s="7"/>
      <c r="J10" s="7"/>
      <c r="K10" s="26" t="s">
        <v>336</v>
      </c>
      <c r="L10" s="141">
        <v>0</v>
      </c>
      <c r="M10" s="137" t="s">
        <v>239</v>
      </c>
      <c r="N10" s="120"/>
      <c r="O10" s="9"/>
      <c r="P10" s="9"/>
      <c r="Q10" s="108"/>
      <c r="R10" s="153"/>
      <c r="S10" s="25" t="s">
        <v>353</v>
      </c>
      <c r="T10" s="319">
        <v>2.5000000000000001E-2</v>
      </c>
      <c r="U10" s="160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1.4514575289655134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197">
        <f>10*LOG10(AB7)</f>
        <v>4.7802999566398094</v>
      </c>
      <c r="D11" s="7" t="s">
        <v>229</v>
      </c>
      <c r="E11" s="7"/>
      <c r="F11" s="282" t="s">
        <v>259</v>
      </c>
      <c r="G11" s="388">
        <f>$AG$12-2.519*SQRT($AG$6)</f>
        <v>0.70733968251212442</v>
      </c>
      <c r="H11" s="109"/>
      <c r="I11" s="7"/>
      <c r="J11" s="7"/>
      <c r="K11" s="128" t="s">
        <v>351</v>
      </c>
      <c r="L11" s="10">
        <f>1/((1/$C$4)-$G$8*10^-6)</f>
        <v>10992.671552298467</v>
      </c>
      <c r="M11" s="8" t="s">
        <v>248</v>
      </c>
      <c r="N11" s="120"/>
      <c r="O11" s="128" t="str">
        <f>IF(L2="SMF","PolMD DGDmax","(not in use)")</f>
        <v>(not in use)</v>
      </c>
      <c r="P11" s="114">
        <v>10</v>
      </c>
      <c r="Q11" s="171" t="str">
        <f>IF(L2="SMF","ps at target "&amp;L3&amp;M3,"")</f>
        <v/>
      </c>
      <c r="R11" s="153"/>
      <c r="S11" s="7"/>
      <c r="T11" s="150"/>
      <c r="U11" s="156"/>
      <c r="V11" s="421" t="s">
        <v>135</v>
      </c>
      <c r="W11" s="266">
        <f>-10*LOG10(ERF(AQ39)+ERF(AR39) - 1)</f>
        <v>3.1518269979851956</v>
      </c>
      <c r="X11" s="133" t="s">
        <v>229</v>
      </c>
      <c r="Y11" s="96"/>
      <c r="AA11" s="134" t="s">
        <v>62</v>
      </c>
      <c r="AB11" s="10">
        <f>10^(($C$8/10)+3)</f>
        <v>416.86938347033572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0.9413351684284853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114">
        <v>-12</v>
      </c>
      <c r="H12" s="127" t="s">
        <v>232</v>
      </c>
      <c r="I12" s="7"/>
      <c r="J12" s="7"/>
      <c r="K12" s="121" t="s">
        <v>317</v>
      </c>
      <c r="L12" s="10">
        <f>1000000/$L$11</f>
        <v>90.969696969696983</v>
      </c>
      <c r="M12" s="7" t="s">
        <v>219</v>
      </c>
      <c r="N12" s="120"/>
      <c r="O12" s="116" t="s">
        <v>224</v>
      </c>
      <c r="P12" s="113">
        <v>2000</v>
      </c>
      <c r="Q12" s="318" t="s">
        <v>225</v>
      </c>
      <c r="R12" s="153"/>
      <c r="S12" s="151" t="s">
        <v>352</v>
      </c>
      <c r="T12" s="19">
        <f>10*LOG10(1/SQRT(1-(Q*SD_blw)^2))</f>
        <v>6.8268186831347694E-2</v>
      </c>
      <c r="U12" s="155" t="s">
        <v>232</v>
      </c>
      <c r="X12" s="416" t="s">
        <v>261</v>
      </c>
      <c r="Y12" s="70"/>
      <c r="AA12" s="94" t="s">
        <v>244</v>
      </c>
      <c r="AB12" s="193">
        <f>1000*10^(C10/10)</f>
        <v>626.61386467233535</v>
      </c>
      <c r="AC12" s="86" t="s">
        <v>245</v>
      </c>
      <c r="AD12" s="74"/>
      <c r="AE12" s="74"/>
      <c r="AF12" s="126" t="s">
        <v>48</v>
      </c>
      <c r="AG12" s="321">
        <f>ERF(AG10)+ERF(AG11)-1</f>
        <v>0.77678831746016885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114">
        <v>0.3</v>
      </c>
      <c r="H13" s="125" t="s">
        <v>232</v>
      </c>
      <c r="I13" s="110"/>
      <c r="J13" s="110"/>
      <c r="K13" s="123" t="s">
        <v>357</v>
      </c>
      <c r="L13" s="30">
        <f>(10^-6)*$T$8*$L$11</f>
        <v>0.21319120586275805</v>
      </c>
      <c r="M13" s="240" t="s">
        <v>325</v>
      </c>
      <c r="N13" s="11"/>
      <c r="O13" s="138" t="s">
        <v>241</v>
      </c>
      <c r="P13" s="139">
        <f>IF(L2="SMF",1000000*L3/(3*P11),P12)</f>
        <v>2000</v>
      </c>
      <c r="Q13" s="133" t="s">
        <v>225</v>
      </c>
      <c r="R13" s="157"/>
      <c r="S13" s="143" t="s">
        <v>265</v>
      </c>
      <c r="T13" s="31">
        <f>10*LOG10(1/SQRT(1-(Q*SD_blw/$AG$5)^2))</f>
        <v>7.140111281031418E-2</v>
      </c>
      <c r="U13" s="144" t="s">
        <v>232</v>
      </c>
      <c r="V13" s="29"/>
      <c r="W13" s="380"/>
      <c r="X13" s="417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8" t="s">
        <v>270</v>
      </c>
      <c r="AH13" s="749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110">
        <f>2*(0.5-$C$13)</f>
        <v>0.19999999999999996</v>
      </c>
      <c r="H14" s="133" t="s">
        <v>325</v>
      </c>
      <c r="I14" s="96"/>
      <c r="J14" s="32" t="s">
        <v>267</v>
      </c>
      <c r="K14" s="244" t="s">
        <v>25</v>
      </c>
      <c r="L14" s="254" t="s">
        <v>316</v>
      </c>
      <c r="M14" s="255" t="s">
        <v>316</v>
      </c>
      <c r="N14" s="355" t="s">
        <v>67</v>
      </c>
      <c r="O14" s="361"/>
      <c r="P14" s="361"/>
      <c r="Q14" s="361"/>
      <c r="R14" s="362"/>
      <c r="S14" s="32" t="s">
        <v>283</v>
      </c>
      <c r="T14" s="203" t="s">
        <v>284</v>
      </c>
      <c r="U14" s="269" t="s">
        <v>66</v>
      </c>
      <c r="V14" s="32" t="s">
        <v>286</v>
      </c>
      <c r="W14" s="358"/>
      <c r="X14" s="418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244" t="s">
        <v>268</v>
      </c>
      <c r="L15" s="256" t="s">
        <v>288</v>
      </c>
      <c r="M15" s="257" t="s">
        <v>268</v>
      </c>
      <c r="N15" s="256" t="s">
        <v>288</v>
      </c>
      <c r="O15" s="70" t="s">
        <v>279</v>
      </c>
      <c r="P15" s="64" t="s">
        <v>280</v>
      </c>
      <c r="Q15" s="64" t="s">
        <v>281</v>
      </c>
      <c r="R15" s="266" t="s">
        <v>282</v>
      </c>
      <c r="S15" s="356" t="s">
        <v>288</v>
      </c>
      <c r="T15" s="276" t="s">
        <v>288</v>
      </c>
      <c r="U15" s="270" t="s">
        <v>268</v>
      </c>
      <c r="V15" s="256" t="s">
        <v>288</v>
      </c>
      <c r="W15" s="357" t="s">
        <v>242</v>
      </c>
      <c r="X15" s="419" t="s">
        <v>288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12" t="s">
        <v>305</v>
      </c>
      <c r="K16" s="245" t="s">
        <v>302</v>
      </c>
      <c r="L16" s="258" t="s">
        <v>302</v>
      </c>
      <c r="M16" s="259" t="s">
        <v>302</v>
      </c>
      <c r="N16" s="258" t="s">
        <v>302</v>
      </c>
      <c r="O16" s="147"/>
      <c r="P16" s="158"/>
      <c r="Q16" s="158" t="s">
        <v>302</v>
      </c>
      <c r="R16" s="258" t="s">
        <v>302</v>
      </c>
      <c r="S16" s="158" t="s">
        <v>302</v>
      </c>
      <c r="T16" s="204" t="s">
        <v>302</v>
      </c>
      <c r="U16" s="271" t="s">
        <v>303</v>
      </c>
      <c r="V16" s="158" t="s">
        <v>303</v>
      </c>
      <c r="W16" s="172" t="s">
        <v>302</v>
      </c>
      <c r="X16" s="142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4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-0.23552186588921278</v>
      </c>
      <c r="E17" s="44">
        <f t="shared" ref="E17:E38" si="3">A17*$AB$4</f>
        <v>4.4659999999999996E-5</v>
      </c>
      <c r="F17" s="129">
        <f t="shared" ref="F17:F38" si="4">(0.187/$C$7)*10^6/(SQRT(D17^2+E17^2))</f>
        <v>2737867.1283005681</v>
      </c>
      <c r="G17" s="45">
        <f t="shared" ref="G17:G38" si="5">$P$13/A17</f>
        <v>1000000</v>
      </c>
      <c r="H17" s="46">
        <f t="shared" ref="H17:H38" si="6">SQRT((1000*C_1/F17)^2+(1000*C_1/G17)^2+$G$3^2)</f>
        <v>53.132457469380128</v>
      </c>
      <c r="I17" s="46">
        <f t="shared" ref="I17:I38" si="7">SQRT(H17^2+$T$7^2)</f>
        <v>66.433242878974738</v>
      </c>
      <c r="J17" s="394">
        <f t="shared" ref="J17:J38" si="8">-10*LOG10(2*Z17 - 1)</f>
        <v>0.74989198565042292</v>
      </c>
      <c r="K17" s="246">
        <f t="shared" ref="K17:K38" si="9">-10*LOG10(AB17)-J17</f>
        <v>0.22264284152723524</v>
      </c>
      <c r="L17" s="260">
        <f t="shared" ref="L17:L38" si="10">-10*LOG10(AD17)-J17</f>
        <v>0</v>
      </c>
      <c r="M17" s="261">
        <f t="shared" ref="M17:M38" si="11">-10*LOG10(AC17)-J17-K17</f>
        <v>0</v>
      </c>
      <c r="N17" s="262"/>
      <c r="O17" s="129">
        <f t="shared" ref="O17:O38" si="12">(10^-6)*3.14*$L$11*D17*$C$7</f>
        <v>-2.357556617454252E-3</v>
      </c>
      <c r="P17" s="44">
        <f t="shared" ref="P17:P38" si="13">($G$10/SQRT(2))*(1-EXP(-1*O17^2))</f>
        <v>1.1790420993745851E-6</v>
      </c>
      <c r="Q17" s="44">
        <f t="shared" ref="Q17:Q38" si="14">10*LOG10(1/SQRT(1-(Q*P17)^2))</f>
        <v>1.4948136491531908E-10</v>
      </c>
      <c r="R17" s="260"/>
      <c r="S17" s="44">
        <f>-10*LOG10(SQRT(1-Q*Q*(((SD_blw/AC17)^2)+AK17+Vmn+(P17*P17))))-$T$13-Q17-R17-Pmn</f>
        <v>5.2844694158015015E-2</v>
      </c>
      <c r="T17" s="205">
        <f>J17+L17+B17+Q17+S17+Pmn</f>
        <v>1.1099818701963984</v>
      </c>
      <c r="U17" s="272">
        <f>J17+K17+B17+Q17+S17+Pmn+M17</f>
        <v>1.3326247117236336</v>
      </c>
      <c r="V17" s="174">
        <f t="shared" ref="V17:V38" si="15">T17-B17</f>
        <v>1.1027366799579192</v>
      </c>
      <c r="W17" s="175">
        <f t="shared" ref="W17:W38" si="16">$L$8-T17</f>
        <v>4.690018129803601</v>
      </c>
      <c r="X17" s="412">
        <f t="shared" ref="X17:X38" si="17">$C$8-C17-(Q17+N17+R17+S17/2+Pmn) -$W$3</f>
        <v>-6.4272603000822839</v>
      </c>
      <c r="Y17" s="47">
        <f t="shared" ref="Y17:Y38" si="18">B_1*Tb_eff/(SQRT(8)*I17)</f>
        <v>1.2408374943411635</v>
      </c>
      <c r="Z17" s="49">
        <f t="shared" ref="Z17:Z38" si="19">IF(ABS(Y17)&lt;10,SIGN(Y17)*ERF(ABS(Y17)),SIGN(Y17))</f>
        <v>0.92070803421586422</v>
      </c>
      <c r="AA17" s="370">
        <f>$AD17</f>
        <v>0.84141606843172845</v>
      </c>
      <c r="AB17" s="43">
        <f t="shared" ref="AB17:AB38" si="20">ERF(AE17)+ERF(AF17)-1</f>
        <v>0.79936755553630512</v>
      </c>
      <c r="AC17" s="47">
        <f t="shared" ref="AC17:AC38" si="21">ERF(AG17)+ERF(AH17)-1</f>
        <v>0.79936755553630512</v>
      </c>
      <c r="AD17" s="47">
        <f t="shared" ref="AD17:AD38" si="22">ERF(AI17)+ERF(AJ17)-1</f>
        <v>0.84141606843172845</v>
      </c>
      <c r="AE17" s="50">
        <f t="shared" ref="AE17:AE38" si="23">MAX(MIN(B_1*Tb_eff*($L$13+1)/(SQRT(8)*$I17),10),-10)</f>
        <v>1.5053731360394793</v>
      </c>
      <c r="AF17" s="50">
        <f t="shared" ref="AF17:AF38" si="24">MAX(MIN(B_1*Tb_eff*(1-$L$13)/(SQRT(8)*$I17),10),-10)</f>
        <v>0.97630185264284763</v>
      </c>
      <c r="AG17" s="50">
        <f t="shared" ref="AG17:AG38" si="25">MAX(MIN(B_1*Tb_eff*($L$13+$G$9+1)/(SQRT(8)*$I17),10),-10)</f>
        <v>1.5053731360394793</v>
      </c>
      <c r="AH17" s="50">
        <f t="shared" ref="AH17:AH38" si="26">MAX(MIN(B_1*Tb_eff*(1-$L$13-$G$9)/(SQRT(8)*$I17),10),-10)</f>
        <v>0.97630185264284763</v>
      </c>
      <c r="AI17" s="50">
        <f t="shared" ref="AI17:AI38" si="27">MAX(MIN(B_1*Tb_eff*($G$9+1)/(SQRT(8)*$I17),10),-10)</f>
        <v>1.2408374943411635</v>
      </c>
      <c r="AJ17" s="50">
        <f t="shared" ref="AJ17:AJ38" si="28">MAX(MIN(B_1*Tb_eff*(1-$G$9)/(SQRT(8)*$I17),10),-10)</f>
        <v>1.2408374943411635</v>
      </c>
      <c r="AK17" s="298"/>
      <c r="AL17" s="48">
        <f t="shared" ref="AL17:AL38" si="29">$L$6-$L$7</f>
        <v>5.8</v>
      </c>
      <c r="AM17" s="185"/>
      <c r="AN17" s="185"/>
      <c r="AO17" s="2"/>
      <c r="AP17" s="293"/>
      <c r="AQ17" s="293"/>
    </row>
    <row r="18" spans="1:44" s="62" customFormat="1" ht="15" customHeight="1">
      <c r="A18" s="51">
        <f>$L$4</f>
        <v>0.2</v>
      </c>
      <c r="B18" s="52">
        <f t="shared" si="0"/>
        <v>0.72451902384791367</v>
      </c>
      <c r="C18" s="52">
        <f t="shared" si="1"/>
        <v>2.2245190238479138</v>
      </c>
      <c r="D18" s="176">
        <f t="shared" si="2"/>
        <v>-23.55218658892128</v>
      </c>
      <c r="E18" s="52">
        <f t="shared" si="3"/>
        <v>4.4660000000000004E-3</v>
      </c>
      <c r="F18" s="53">
        <f t="shared" si="4"/>
        <v>27378.671283005675</v>
      </c>
      <c r="G18" s="53">
        <f t="shared" si="5"/>
        <v>10000</v>
      </c>
      <c r="H18" s="54">
        <f t="shared" si="6"/>
        <v>73.716784078500197</v>
      </c>
      <c r="I18" s="54">
        <f t="shared" si="7"/>
        <v>83.81218275142092</v>
      </c>
      <c r="J18" s="395">
        <f t="shared" si="8"/>
        <v>1.7294607032866618</v>
      </c>
      <c r="K18" s="247">
        <f t="shared" si="9"/>
        <v>0.24478811193117167</v>
      </c>
      <c r="L18" s="263">
        <f t="shared" si="10"/>
        <v>0</v>
      </c>
      <c r="M18" s="264">
        <f t="shared" si="11"/>
        <v>0</v>
      </c>
      <c r="N18" s="265">
        <f t="shared" ref="N18:N23" si="30">-10*LOG10(1-2*$L$10*10^(-$C18/10)*$AB$5*SQRT(2*ER*($AD18*(ER-1)+ER+1))/($AD18*(ER-1)))</f>
        <v>0</v>
      </c>
      <c r="O18" s="52">
        <f t="shared" si="12"/>
        <v>-0.23575566174542525</v>
      </c>
      <c r="P18" s="52">
        <f t="shared" si="13"/>
        <v>1.1468779858394312E-2</v>
      </c>
      <c r="Q18" s="52">
        <f t="shared" si="14"/>
        <v>1.4189989598590472E-2</v>
      </c>
      <c r="R18" s="263">
        <f t="shared" ref="R18:R23" si="31">10*LOG10(1/SQRT(1-AK18*(Q/AA18)^2))</f>
        <v>0.12688766229343779</v>
      </c>
      <c r="S18" s="52">
        <f t="shared" ref="S18:S23" si="32">-10*LOG10(AA18*SQRT(1-Q*Q*((SD_blw^2+AK18)/AA18^2+Vmn+(P18*P18))))-$T$13-J18-L18-Q18-N18-R18-Pmn</f>
        <v>0.14413606552020308</v>
      </c>
      <c r="T18" s="277">
        <f>J18+L18+B18+Q18+N18+R18+S18+Pmn</f>
        <v>3.039193444546807</v>
      </c>
      <c r="U18" s="273">
        <f>J18+K18+B18+Q18+N18+R18+S18+Pmn+M18</f>
        <v>3.2839815564779786</v>
      </c>
      <c r="V18" s="177">
        <f t="shared" si="15"/>
        <v>2.3146744206988932</v>
      </c>
      <c r="W18" s="178">
        <f t="shared" si="16"/>
        <v>2.7608065554531929</v>
      </c>
      <c r="X18" s="413">
        <f t="shared" si="17"/>
        <v>-7.33125747111536</v>
      </c>
      <c r="Y18" s="59">
        <f t="shared" si="18"/>
        <v>0.98354267755313185</v>
      </c>
      <c r="Z18" s="60">
        <f t="shared" si="19"/>
        <v>0.83575611728245114</v>
      </c>
      <c r="AA18" s="294">
        <f t="shared" ref="AA18:AA23" si="33">$AD18*(1-2*$L$10*10^(-$C18/10)*$AB$5*SQRT(2*ER*($AD18*(ER-1)+ER+1))/($AD18*(ER-1)))</f>
        <v>0.67151223456490228</v>
      </c>
      <c r="AB18" s="56">
        <f t="shared" si="20"/>
        <v>0.63470967511782073</v>
      </c>
      <c r="AC18" s="55">
        <f t="shared" si="21"/>
        <v>0.63470967511782073</v>
      </c>
      <c r="AD18" s="55">
        <f t="shared" si="22"/>
        <v>0.67151223456490228</v>
      </c>
      <c r="AE18" s="61">
        <f t="shared" si="23"/>
        <v>1.1932253269981699</v>
      </c>
      <c r="AF18" s="61">
        <f t="shared" si="24"/>
        <v>0.77386002810809384</v>
      </c>
      <c r="AG18" s="61">
        <f t="shared" si="25"/>
        <v>1.1932253269981699</v>
      </c>
      <c r="AH18" s="61">
        <f t="shared" si="26"/>
        <v>0.77386002810809384</v>
      </c>
      <c r="AI18" s="61">
        <f t="shared" si="27"/>
        <v>0.98354267755313185</v>
      </c>
      <c r="AJ18" s="61">
        <f t="shared" si="28"/>
        <v>0.98354267755313185</v>
      </c>
      <c r="AK18" s="299">
        <f t="shared" ref="AK18:AK23" si="34">kRIN*10^6*$AK$7*$AK$7/(SQRT((1/F18)^2+(1/G18)^2+0.477*(1/$T$5)^2))*10^($G$4/10)</f>
        <v>5.1685754188344893E-4</v>
      </c>
      <c r="AL18" s="57">
        <f t="shared" si="29"/>
        <v>5.8</v>
      </c>
      <c r="AM18" s="186">
        <f t="shared" ref="AM18:AM38" si="35">$L$3</f>
        <v>0.3</v>
      </c>
      <c r="AN18" s="186">
        <v>0</v>
      </c>
      <c r="AO18" s="58">
        <f t="shared" ref="AO18:AO38" si="36">IF(A18=$L$3,W18,0)</f>
        <v>0</v>
      </c>
      <c r="AP18" s="340">
        <f t="shared" ref="AP18:AP26" si="37">IF($A18=$L$3,I18,0)</f>
        <v>0</v>
      </c>
      <c r="AQ18" s="341">
        <f>IF($A18=$L$3,B_1*Tb_eff/(SQRT(8)*H18),0)</f>
        <v>0</v>
      </c>
      <c r="AR18" s="341">
        <f t="shared" ref="AR18:AR27" si="38">IF($A18=$L$3,B_1*Tb_eff*(1-$G$9)/(SQRT(8)*SQRT($H18^2+$AG$8^2)),0)</f>
        <v>0</v>
      </c>
    </row>
    <row r="19" spans="1:44" s="74" customFormat="1" ht="15" customHeight="1">
      <c r="A19" s="63">
        <f t="shared" ref="A19:A38" si="39">A18+$L$5</f>
        <v>0.21000000000000002</v>
      </c>
      <c r="B19" s="64">
        <f t="shared" si="0"/>
        <v>0.76074497504030936</v>
      </c>
      <c r="C19" s="64">
        <f t="shared" si="1"/>
        <v>2.2607449750403092</v>
      </c>
      <c r="D19" s="179">
        <f t="shared" si="2"/>
        <v>-24.729795918367344</v>
      </c>
      <c r="E19" s="64">
        <f t="shared" si="3"/>
        <v>4.6893000000000004E-3</v>
      </c>
      <c r="F19" s="65">
        <f t="shared" si="4"/>
        <v>26074.925031433977</v>
      </c>
      <c r="G19" s="65">
        <f t="shared" si="5"/>
        <v>9523.8095238095229</v>
      </c>
      <c r="H19" s="66">
        <f t="shared" si="6"/>
        <v>75.51045893617011</v>
      </c>
      <c r="I19" s="66">
        <f t="shared" si="7"/>
        <v>85.394069650253769</v>
      </c>
      <c r="J19" s="396">
        <f t="shared" si="8"/>
        <v>1.8335945614639253</v>
      </c>
      <c r="K19" s="248">
        <f t="shared" si="9"/>
        <v>0.24559139240375893</v>
      </c>
      <c r="L19" s="266">
        <f t="shared" si="10"/>
        <v>0</v>
      </c>
      <c r="M19" s="267">
        <f t="shared" si="11"/>
        <v>0</v>
      </c>
      <c r="N19" s="251">
        <f t="shared" si="30"/>
        <v>0</v>
      </c>
      <c r="O19" s="64">
        <f t="shared" si="12"/>
        <v>-0.24754344483269652</v>
      </c>
      <c r="P19" s="64">
        <f t="shared" si="13"/>
        <v>1.2608713245126161E-2</v>
      </c>
      <c r="Q19" s="64">
        <f t="shared" si="14"/>
        <v>1.7162719115674366E-2</v>
      </c>
      <c r="R19" s="266">
        <f t="shared" si="31"/>
        <v>0.12916237293696894</v>
      </c>
      <c r="S19" s="64">
        <f t="shared" si="32"/>
        <v>0.15575543937684594</v>
      </c>
      <c r="T19" s="334">
        <f>J19+L19+B19+Q19+N19+R19+S19+Pmn</f>
        <v>3.1964200679337238</v>
      </c>
      <c r="U19" s="274">
        <f t="shared" ref="U19:U38" si="40">J19+K19+B19+Q19+N19+R19+S19+Pmn+M19</f>
        <v>3.4420114603374827</v>
      </c>
      <c r="V19" s="164">
        <f t="shared" si="15"/>
        <v>2.4356750928934146</v>
      </c>
      <c r="W19" s="180">
        <f t="shared" si="16"/>
        <v>2.603579932066276</v>
      </c>
      <c r="X19" s="414">
        <f t="shared" si="17"/>
        <v>-7.3785405493966918</v>
      </c>
      <c r="Y19" s="72">
        <f t="shared" si="18"/>
        <v>0.96532298990460375</v>
      </c>
      <c r="Z19" s="73">
        <f t="shared" si="19"/>
        <v>0.82780120687340863</v>
      </c>
      <c r="AA19" s="295">
        <f t="shared" si="33"/>
        <v>0.65560241374681727</v>
      </c>
      <c r="AB19" s="69">
        <f t="shared" si="20"/>
        <v>0.61955719464408965</v>
      </c>
      <c r="AC19" s="68">
        <f t="shared" si="21"/>
        <v>0.61955719464408965</v>
      </c>
      <c r="AD19" s="68">
        <f t="shared" si="22"/>
        <v>0.65560241374681727</v>
      </c>
      <c r="AE19" s="23">
        <f t="shared" si="23"/>
        <v>1.1711213621694092</v>
      </c>
      <c r="AF19" s="23">
        <f t="shared" si="24"/>
        <v>0.75952461763979828</v>
      </c>
      <c r="AG19" s="23">
        <f t="shared" si="25"/>
        <v>1.1711213621694092</v>
      </c>
      <c r="AH19" s="23">
        <f t="shared" si="26"/>
        <v>0.75952461763979828</v>
      </c>
      <c r="AI19" s="23">
        <f t="shared" si="27"/>
        <v>0.96532298990460375</v>
      </c>
      <c r="AJ19" s="23">
        <f t="shared" si="28"/>
        <v>0.96532298990460375</v>
      </c>
      <c r="AK19" s="289">
        <f t="shared" si="34"/>
        <v>5.0122816752811762E-4</v>
      </c>
      <c r="AL19" s="70">
        <f t="shared" si="29"/>
        <v>5.8</v>
      </c>
      <c r="AM19" s="187">
        <f t="shared" si="35"/>
        <v>0.3</v>
      </c>
      <c r="AN19" s="188">
        <f t="shared" ref="AN19:AN37" si="41">AN20</f>
        <v>8</v>
      </c>
      <c r="AO19" s="71">
        <f t="shared" si="36"/>
        <v>0</v>
      </c>
      <c r="AP19" s="342">
        <f t="shared" si="37"/>
        <v>0</v>
      </c>
      <c r="AQ19" s="343">
        <f>IF($A19=$L$3,B_1*Tb_eff/(SQRT(8)*H19),0)</f>
        <v>0</v>
      </c>
      <c r="AR19" s="343">
        <f t="shared" si="38"/>
        <v>0</v>
      </c>
    </row>
    <row r="20" spans="1:44" s="74" customFormat="1" ht="15" customHeight="1">
      <c r="A20" s="63">
        <f t="shared" si="39"/>
        <v>0.22000000000000003</v>
      </c>
      <c r="B20" s="64">
        <f t="shared" si="0"/>
        <v>0.79697092623270505</v>
      </c>
      <c r="C20" s="64">
        <f t="shared" si="1"/>
        <v>2.2969709262327052</v>
      </c>
      <c r="D20" s="179">
        <f t="shared" si="2"/>
        <v>-25.907405247813411</v>
      </c>
      <c r="E20" s="64">
        <f t="shared" si="3"/>
        <v>4.9126000000000005E-3</v>
      </c>
      <c r="F20" s="65">
        <f t="shared" si="4"/>
        <v>24889.701166368795</v>
      </c>
      <c r="G20" s="65">
        <f t="shared" si="5"/>
        <v>9090.9090909090901</v>
      </c>
      <c r="H20" s="66">
        <f t="shared" si="6"/>
        <v>77.346954687306365</v>
      </c>
      <c r="I20" s="66">
        <f t="shared" si="7"/>
        <v>87.022233492835511</v>
      </c>
      <c r="J20" s="396">
        <f t="shared" si="8"/>
        <v>1.9431634230722774</v>
      </c>
      <c r="K20" s="248">
        <f t="shared" si="9"/>
        <v>0.24633651739032203</v>
      </c>
      <c r="L20" s="266">
        <f t="shared" si="10"/>
        <v>0</v>
      </c>
      <c r="M20" s="267">
        <f t="shared" si="11"/>
        <v>0</v>
      </c>
      <c r="N20" s="251">
        <f t="shared" si="30"/>
        <v>0</v>
      </c>
      <c r="O20" s="64">
        <f t="shared" si="12"/>
        <v>-0.25933122791996782</v>
      </c>
      <c r="P20" s="64">
        <f t="shared" si="13"/>
        <v>1.3797296475685335E-2</v>
      </c>
      <c r="Q20" s="64">
        <f t="shared" si="14"/>
        <v>2.0567073242907234E-2</v>
      </c>
      <c r="R20" s="266">
        <f t="shared" si="31"/>
        <v>0.13187424903968775</v>
      </c>
      <c r="S20" s="64">
        <f t="shared" si="32"/>
        <v>0.16884296623892925</v>
      </c>
      <c r="T20" s="334">
        <f t="shared" ref="T20:T38" si="42">J20+L20+B20+Q20+N20+R20+S20+Pmn</f>
        <v>3.3614186378265067</v>
      </c>
      <c r="U20" s="274">
        <f t="shared" si="40"/>
        <v>3.6077551552168288</v>
      </c>
      <c r="V20" s="164">
        <f t="shared" si="15"/>
        <v>2.5644477115938016</v>
      </c>
      <c r="W20" s="180">
        <f t="shared" si="16"/>
        <v>2.4385813621734931</v>
      </c>
      <c r="X20" s="414">
        <f t="shared" si="17"/>
        <v>-7.4274264942500814</v>
      </c>
      <c r="Y20" s="72">
        <f t="shared" si="18"/>
        <v>0.94726204242610701</v>
      </c>
      <c r="Z20" s="73">
        <f t="shared" si="19"/>
        <v>0.81963450952508698</v>
      </c>
      <c r="AA20" s="295">
        <f t="shared" si="33"/>
        <v>0.63926901905017397</v>
      </c>
      <c r="AB20" s="69">
        <f t="shared" si="20"/>
        <v>0.60401817381515377</v>
      </c>
      <c r="AC20" s="68">
        <f t="shared" si="21"/>
        <v>0.60401817381515377</v>
      </c>
      <c r="AD20" s="68">
        <f t="shared" si="22"/>
        <v>0.63926901905017397</v>
      </c>
      <c r="AE20" s="23">
        <f t="shared" si="23"/>
        <v>1.1492099795189479</v>
      </c>
      <c r="AF20" s="23">
        <f t="shared" si="24"/>
        <v>0.74531410533326625</v>
      </c>
      <c r="AG20" s="23">
        <f t="shared" si="25"/>
        <v>1.1492099795189479</v>
      </c>
      <c r="AH20" s="23">
        <f t="shared" si="26"/>
        <v>0.74531410533326625</v>
      </c>
      <c r="AI20" s="23">
        <f t="shared" si="27"/>
        <v>0.94726204242610701</v>
      </c>
      <c r="AJ20" s="23">
        <f t="shared" si="28"/>
        <v>0.94726204242610701</v>
      </c>
      <c r="AK20" s="289">
        <f t="shared" si="34"/>
        <v>4.8626970109123509E-4</v>
      </c>
      <c r="AL20" s="70">
        <f t="shared" si="29"/>
        <v>5.8</v>
      </c>
      <c r="AM20" s="187">
        <f t="shared" si="35"/>
        <v>0.3</v>
      </c>
      <c r="AN20" s="188">
        <f t="shared" si="41"/>
        <v>8</v>
      </c>
      <c r="AO20" s="71">
        <f t="shared" si="36"/>
        <v>0</v>
      </c>
      <c r="AP20" s="342">
        <f t="shared" si="37"/>
        <v>0</v>
      </c>
      <c r="AQ20" s="343">
        <f t="shared" ref="AQ20:AQ37" si="43">IF($A20=$L$3,B_1*Tb_eff/(SQRT(8)*H20),0)</f>
        <v>0</v>
      </c>
      <c r="AR20" s="343">
        <f t="shared" si="38"/>
        <v>0</v>
      </c>
    </row>
    <row r="21" spans="1:44" s="74" customFormat="1" ht="15" customHeight="1">
      <c r="A21" s="63">
        <f t="shared" si="39"/>
        <v>0.23000000000000004</v>
      </c>
      <c r="B21" s="64">
        <f t="shared" si="0"/>
        <v>0.83319687742510073</v>
      </c>
      <c r="C21" s="64">
        <f t="shared" si="1"/>
        <v>2.3331968774251006</v>
      </c>
      <c r="D21" s="179">
        <f t="shared" si="2"/>
        <v>-27.085014577259475</v>
      </c>
      <c r="E21" s="64">
        <f t="shared" si="3"/>
        <v>5.1359000000000005E-3</v>
      </c>
      <c r="F21" s="65">
        <f t="shared" si="4"/>
        <v>23807.540246091892</v>
      </c>
      <c r="G21" s="65">
        <f t="shared" si="5"/>
        <v>8695.6521739130421</v>
      </c>
      <c r="H21" s="66">
        <f t="shared" si="6"/>
        <v>79.223293461101449</v>
      </c>
      <c r="I21" s="66">
        <f t="shared" si="7"/>
        <v>88.694125789170272</v>
      </c>
      <c r="J21" s="396">
        <f t="shared" si="8"/>
        <v>2.0581724099027316</v>
      </c>
      <c r="K21" s="248">
        <f t="shared" si="9"/>
        <v>0.24704110432599036</v>
      </c>
      <c r="L21" s="266">
        <f t="shared" si="10"/>
        <v>0</v>
      </c>
      <c r="M21" s="267">
        <f t="shared" si="11"/>
        <v>0</v>
      </c>
      <c r="N21" s="251">
        <f t="shared" si="30"/>
        <v>0</v>
      </c>
      <c r="O21" s="64">
        <f t="shared" si="12"/>
        <v>-0.27111901100723906</v>
      </c>
      <c r="P21" s="64">
        <f t="shared" si="13"/>
        <v>1.5033581173347747E-2</v>
      </c>
      <c r="Q21" s="64">
        <f t="shared" si="14"/>
        <v>2.4439706715681034E-2</v>
      </c>
      <c r="R21" s="266">
        <f t="shared" si="31"/>
        <v>0.13505485139262391</v>
      </c>
      <c r="S21" s="64">
        <f t="shared" si="32"/>
        <v>0.18359223972038952</v>
      </c>
      <c r="T21" s="334">
        <f t="shared" si="42"/>
        <v>3.5344560851565268</v>
      </c>
      <c r="U21" s="274">
        <f t="shared" si="40"/>
        <v>3.7814971894825167</v>
      </c>
      <c r="V21" s="164">
        <f t="shared" si="15"/>
        <v>2.7012592077314261</v>
      </c>
      <c r="W21" s="180">
        <f t="shared" si="16"/>
        <v>2.2655439148434731</v>
      </c>
      <c r="X21" s="414">
        <f t="shared" si="17"/>
        <v>-7.4780803180089164</v>
      </c>
      <c r="Y21" s="72">
        <f t="shared" si="18"/>
        <v>0.92940606721634955</v>
      </c>
      <c r="Z21" s="73">
        <f t="shared" si="19"/>
        <v>0.81128110777294815</v>
      </c>
      <c r="AA21" s="295">
        <f t="shared" si="33"/>
        <v>0.6225622155458963</v>
      </c>
      <c r="AB21" s="69">
        <f t="shared" si="20"/>
        <v>0.58813719856789648</v>
      </c>
      <c r="AC21" s="68">
        <f t="shared" si="21"/>
        <v>0.58813719856789648</v>
      </c>
      <c r="AD21" s="68">
        <f t="shared" si="22"/>
        <v>0.6225622155458963</v>
      </c>
      <c r="AE21" s="23">
        <f t="shared" si="23"/>
        <v>1.1275472674223668</v>
      </c>
      <c r="AF21" s="23">
        <f t="shared" si="24"/>
        <v>0.73126486701033244</v>
      </c>
      <c r="AG21" s="23">
        <f t="shared" si="25"/>
        <v>1.1275472674223668</v>
      </c>
      <c r="AH21" s="23">
        <f t="shared" si="26"/>
        <v>0.73126486701033244</v>
      </c>
      <c r="AI21" s="23">
        <f t="shared" si="27"/>
        <v>0.92940606721634955</v>
      </c>
      <c r="AJ21" s="23">
        <f t="shared" si="28"/>
        <v>0.92940606721634955</v>
      </c>
      <c r="AK21" s="289">
        <f t="shared" si="34"/>
        <v>4.7196609410653706E-4</v>
      </c>
      <c r="AL21" s="70">
        <f t="shared" si="29"/>
        <v>5.8</v>
      </c>
      <c r="AM21" s="187">
        <f t="shared" si="35"/>
        <v>0.3</v>
      </c>
      <c r="AN21" s="188">
        <f t="shared" si="41"/>
        <v>8</v>
      </c>
      <c r="AO21" s="71">
        <f t="shared" si="36"/>
        <v>0</v>
      </c>
      <c r="AP21" s="342">
        <f t="shared" si="37"/>
        <v>0</v>
      </c>
      <c r="AQ21" s="343">
        <f t="shared" si="43"/>
        <v>0</v>
      </c>
      <c r="AR21" s="343">
        <f t="shared" si="38"/>
        <v>0</v>
      </c>
    </row>
    <row r="22" spans="1:44" s="74" customFormat="1" ht="15" customHeight="1">
      <c r="A22" s="63">
        <f t="shared" si="39"/>
        <v>0.24000000000000005</v>
      </c>
      <c r="B22" s="64">
        <f t="shared" si="0"/>
        <v>0.86942282861749653</v>
      </c>
      <c r="C22" s="64">
        <f t="shared" si="1"/>
        <v>2.3694228286174965</v>
      </c>
      <c r="D22" s="179">
        <f t="shared" si="2"/>
        <v>-28.262623906705539</v>
      </c>
      <c r="E22" s="64">
        <f t="shared" si="3"/>
        <v>5.3592000000000006E-3</v>
      </c>
      <c r="F22" s="65">
        <f t="shared" si="4"/>
        <v>22815.559402504728</v>
      </c>
      <c r="G22" s="65">
        <f t="shared" si="5"/>
        <v>8333.3333333333321</v>
      </c>
      <c r="H22" s="66">
        <f t="shared" si="6"/>
        <v>81.136711117851917</v>
      </c>
      <c r="I22" s="66">
        <f t="shared" si="7"/>
        <v>90.407320575842277</v>
      </c>
      <c r="J22" s="396">
        <f t="shared" si="8"/>
        <v>2.1786336536309516</v>
      </c>
      <c r="K22" s="248">
        <f t="shared" si="9"/>
        <v>0.24772273849890381</v>
      </c>
      <c r="L22" s="266">
        <f t="shared" si="10"/>
        <v>0</v>
      </c>
      <c r="M22" s="267">
        <f t="shared" si="11"/>
        <v>0</v>
      </c>
      <c r="N22" s="251">
        <f t="shared" si="30"/>
        <v>0</v>
      </c>
      <c r="O22" s="64">
        <f t="shared" si="12"/>
        <v>-0.28290679409451036</v>
      </c>
      <c r="P22" s="64">
        <f t="shared" si="13"/>
        <v>1.6316585100068077E-2</v>
      </c>
      <c r="Q22" s="64">
        <f t="shared" si="14"/>
        <v>2.8818182651728981E-2</v>
      </c>
      <c r="R22" s="266">
        <f t="shared" si="31"/>
        <v>0.13874055414165834</v>
      </c>
      <c r="S22" s="64">
        <f t="shared" si="32"/>
        <v>0.20023188595740155</v>
      </c>
      <c r="T22" s="334">
        <f t="shared" si="42"/>
        <v>3.715847104999237</v>
      </c>
      <c r="U22" s="274">
        <f t="shared" si="40"/>
        <v>3.9635698434981408</v>
      </c>
      <c r="V22" s="164">
        <f t="shared" si="15"/>
        <v>2.8464242763817404</v>
      </c>
      <c r="W22" s="180">
        <f t="shared" si="16"/>
        <v>2.0841528950007628</v>
      </c>
      <c r="X22" s="414">
        <f t="shared" si="17"/>
        <v>-7.5306902710049002</v>
      </c>
      <c r="Y22" s="72">
        <f t="shared" si="18"/>
        <v>0.91179406833269006</v>
      </c>
      <c r="Z22" s="73">
        <f t="shared" si="19"/>
        <v>0.80276567637530505</v>
      </c>
      <c r="AA22" s="295">
        <f t="shared" si="33"/>
        <v>0.6055313527506101</v>
      </c>
      <c r="AB22" s="69">
        <f t="shared" si="20"/>
        <v>0.57195829226530859</v>
      </c>
      <c r="AC22" s="68">
        <f t="shared" si="21"/>
        <v>0.57195829226530859</v>
      </c>
      <c r="AD22" s="68">
        <f t="shared" si="22"/>
        <v>0.6055313527506101</v>
      </c>
      <c r="AE22" s="23">
        <f t="shared" si="23"/>
        <v>1.1061805452590463</v>
      </c>
      <c r="AF22" s="23">
        <f t="shared" si="24"/>
        <v>0.71740759140633381</v>
      </c>
      <c r="AG22" s="23">
        <f t="shared" si="25"/>
        <v>1.1061805452590463</v>
      </c>
      <c r="AH22" s="23">
        <f t="shared" si="26"/>
        <v>0.71740759140633381</v>
      </c>
      <c r="AI22" s="23">
        <f t="shared" si="27"/>
        <v>0.91179406833269006</v>
      </c>
      <c r="AJ22" s="23">
        <f t="shared" si="28"/>
        <v>0.91179406833269006</v>
      </c>
      <c r="AK22" s="289">
        <f t="shared" si="34"/>
        <v>4.5829707872328996E-4</v>
      </c>
      <c r="AL22" s="70">
        <f t="shared" si="29"/>
        <v>5.8</v>
      </c>
      <c r="AM22" s="187">
        <f t="shared" si="35"/>
        <v>0.3</v>
      </c>
      <c r="AN22" s="188">
        <f t="shared" si="41"/>
        <v>8</v>
      </c>
      <c r="AO22" s="71">
        <f t="shared" si="36"/>
        <v>0</v>
      </c>
      <c r="AP22" s="342">
        <f t="shared" si="37"/>
        <v>0</v>
      </c>
      <c r="AQ22" s="343">
        <f t="shared" si="43"/>
        <v>0</v>
      </c>
      <c r="AR22" s="343">
        <f t="shared" si="38"/>
        <v>0</v>
      </c>
    </row>
    <row r="23" spans="1:44" s="62" customFormat="1" ht="15" customHeight="1">
      <c r="A23" s="51">
        <f t="shared" si="39"/>
        <v>0.25000000000000006</v>
      </c>
      <c r="B23" s="52">
        <f t="shared" si="0"/>
        <v>0.90564877980989222</v>
      </c>
      <c r="C23" s="52">
        <f t="shared" si="1"/>
        <v>2.4056487798098924</v>
      </c>
      <c r="D23" s="176">
        <f t="shared" si="2"/>
        <v>-29.440233236151606</v>
      </c>
      <c r="E23" s="52">
        <f t="shared" si="3"/>
        <v>5.5825000000000007E-3</v>
      </c>
      <c r="F23" s="53">
        <f t="shared" si="4"/>
        <v>21902.937026404539</v>
      </c>
      <c r="G23" s="53">
        <f t="shared" si="5"/>
        <v>7999.9999999999982</v>
      </c>
      <c r="H23" s="54">
        <f t="shared" si="6"/>
        <v>83.084645946131914</v>
      </c>
      <c r="I23" s="54">
        <f t="shared" si="7"/>
        <v>92.159514509764279</v>
      </c>
      <c r="J23" s="395">
        <f t="shared" si="8"/>
        <v>2.3045646419443644</v>
      </c>
      <c r="K23" s="247">
        <f t="shared" si="9"/>
        <v>0.24840100263768505</v>
      </c>
      <c r="L23" s="263">
        <f t="shared" si="10"/>
        <v>0</v>
      </c>
      <c r="M23" s="264">
        <f t="shared" si="11"/>
        <v>0</v>
      </c>
      <c r="N23" s="265">
        <f t="shared" si="30"/>
        <v>0</v>
      </c>
      <c r="O23" s="52">
        <f t="shared" si="12"/>
        <v>-0.2946945771817816</v>
      </c>
      <c r="P23" s="52">
        <f t="shared" si="13"/>
        <v>1.7645293455766011E-2</v>
      </c>
      <c r="Q23" s="52">
        <f t="shared" si="14"/>
        <v>3.3740919330850223E-2</v>
      </c>
      <c r="R23" s="263">
        <f t="shared" si="31"/>
        <v>0.1429733050534612</v>
      </c>
      <c r="S23" s="52">
        <f t="shared" si="32"/>
        <v>0.21903302923168028</v>
      </c>
      <c r="T23" s="277">
        <f t="shared" si="42"/>
        <v>3.9059606753702485</v>
      </c>
      <c r="U23" s="273">
        <f t="shared" si="40"/>
        <v>4.154361678007934</v>
      </c>
      <c r="V23" s="177">
        <f t="shared" si="15"/>
        <v>3.0003118955603565</v>
      </c>
      <c r="W23" s="178">
        <f t="shared" si="16"/>
        <v>1.8940393246297513</v>
      </c>
      <c r="X23" s="413">
        <f t="shared" si="17"/>
        <v>-7.5854722814253597</v>
      </c>
      <c r="Y23" s="59">
        <f t="shared" si="18"/>
        <v>0.89445847315277693</v>
      </c>
      <c r="Z23" s="60">
        <f t="shared" si="19"/>
        <v>0.79411253887493161</v>
      </c>
      <c r="AA23" s="294">
        <f t="shared" si="33"/>
        <v>0.58822507774986321</v>
      </c>
      <c r="AB23" s="56">
        <f t="shared" si="20"/>
        <v>0.55552477934585731</v>
      </c>
      <c r="AC23" s="55">
        <f t="shared" si="21"/>
        <v>0.55552477934585731</v>
      </c>
      <c r="AD23" s="55">
        <f t="shared" si="22"/>
        <v>0.58822507774986321</v>
      </c>
      <c r="AE23" s="61">
        <f t="shared" si="23"/>
        <v>1.0851491536383788</v>
      </c>
      <c r="AF23" s="61">
        <f t="shared" si="24"/>
        <v>0.70376779266717493</v>
      </c>
      <c r="AG23" s="61">
        <f t="shared" si="25"/>
        <v>1.0851491536383788</v>
      </c>
      <c r="AH23" s="61">
        <f t="shared" si="26"/>
        <v>0.70376779266717493</v>
      </c>
      <c r="AI23" s="61">
        <f t="shared" si="27"/>
        <v>0.89445847315277693</v>
      </c>
      <c r="AJ23" s="61">
        <f t="shared" si="28"/>
        <v>0.89445847315277693</v>
      </c>
      <c r="AK23" s="299">
        <f t="shared" si="34"/>
        <v>4.4523953849160617E-4</v>
      </c>
      <c r="AL23" s="57">
        <f t="shared" si="29"/>
        <v>5.8</v>
      </c>
      <c r="AM23" s="186">
        <f t="shared" si="35"/>
        <v>0.3</v>
      </c>
      <c r="AN23" s="189">
        <f t="shared" si="41"/>
        <v>8</v>
      </c>
      <c r="AO23" s="58">
        <f t="shared" si="36"/>
        <v>0</v>
      </c>
      <c r="AP23" s="340">
        <f t="shared" si="37"/>
        <v>0</v>
      </c>
      <c r="AQ23" s="341">
        <f t="shared" si="43"/>
        <v>0</v>
      </c>
      <c r="AR23" s="341">
        <f t="shared" si="38"/>
        <v>0</v>
      </c>
    </row>
    <row r="24" spans="1:44" s="74" customFormat="1" ht="15" customHeight="1">
      <c r="A24" s="63">
        <f t="shared" si="39"/>
        <v>0.26000000000000006</v>
      </c>
      <c r="B24" s="64">
        <f t="shared" si="0"/>
        <v>0.94187473100228791</v>
      </c>
      <c r="C24" s="64">
        <f t="shared" si="1"/>
        <v>2.4418747310022879</v>
      </c>
      <c r="D24" s="179">
        <f t="shared" si="2"/>
        <v>-30.61784256559767</v>
      </c>
      <c r="E24" s="64">
        <f t="shared" si="3"/>
        <v>5.8058000000000016E-3</v>
      </c>
      <c r="F24" s="65">
        <f t="shared" si="4"/>
        <v>21060.516371542824</v>
      </c>
      <c r="G24" s="65">
        <f t="shared" si="5"/>
        <v>7692.3076923076906</v>
      </c>
      <c r="H24" s="66">
        <f t="shared" si="6"/>
        <v>85.064726707024761</v>
      </c>
      <c r="I24" s="66">
        <f t="shared" si="7"/>
        <v>93.948525546823618</v>
      </c>
      <c r="J24" s="396">
        <f t="shared" si="8"/>
        <v>2.4359947313236394</v>
      </c>
      <c r="K24" s="248">
        <f t="shared" si="9"/>
        <v>0.24910174859068679</v>
      </c>
      <c r="L24" s="266">
        <f t="shared" si="10"/>
        <v>0</v>
      </c>
      <c r="M24" s="267">
        <f t="shared" si="11"/>
        <v>0</v>
      </c>
      <c r="N24" s="251">
        <f>-10*LOG10(1-2*$L$10*10^(-$C24/10)*$AB$5*SQRT(2*ER*($AD24*(ER-1)+ER+1))/($AD24*(ER-1)))</f>
        <v>0</v>
      </c>
      <c r="O24" s="64">
        <f t="shared" si="12"/>
        <v>-0.3064823602690529</v>
      </c>
      <c r="P24" s="64">
        <f t="shared" si="13"/>
        <v>1.9018660214424988E-2</v>
      </c>
      <c r="Q24" s="64">
        <f t="shared" si="14"/>
        <v>3.9247144084974178E-2</v>
      </c>
      <c r="R24" s="266">
        <f t="shared" ref="R24:R37" si="44">10*LOG10(1/SQRT(1-AK24*(Q/AA24)^2))</f>
        <v>0.14780204943517442</v>
      </c>
      <c r="S24" s="64">
        <f t="shared" ref="S24:S37" si="45">-10*LOG10(AA24*SQRT(1-Q*Q*((SD_blw^2+AK24)/AA24^2+Vmn+(P24*P24))))-$T$13-J24-L24-Q24-N24-R24-Pmn</f>
        <v>0.24032007561166019</v>
      </c>
      <c r="T24" s="334">
        <f t="shared" si="42"/>
        <v>4.1052387314577361</v>
      </c>
      <c r="U24" s="274">
        <f t="shared" si="40"/>
        <v>4.3543404800484229</v>
      </c>
      <c r="V24" s="164">
        <f t="shared" si="15"/>
        <v>3.1633640004554482</v>
      </c>
      <c r="W24" s="180">
        <f t="shared" si="16"/>
        <v>1.6947612685422637</v>
      </c>
      <c r="X24" s="414">
        <f t="shared" si="17"/>
        <v>-7.6426767249435823</v>
      </c>
      <c r="Y24" s="72">
        <f t="shared" si="18"/>
        <v>0.87742578348204847</v>
      </c>
      <c r="Z24" s="73">
        <f t="shared" si="19"/>
        <v>0.7853451736148489</v>
      </c>
      <c r="AA24" s="295">
        <f>$AD24*(1-2*$L$10*10^(-$C24/10)*$AB$5*SQRT(2*ER*($AD24*(ER-1)+ER+1))/($AD24*(ER-1)))</f>
        <v>0.5706903472296978</v>
      </c>
      <c r="AB24" s="69">
        <f t="shared" si="20"/>
        <v>0.53887787389522912</v>
      </c>
      <c r="AC24" s="68">
        <f t="shared" si="21"/>
        <v>0.53887787389522912</v>
      </c>
      <c r="AD24" s="68">
        <f t="shared" si="22"/>
        <v>0.5706903472296978</v>
      </c>
      <c r="AE24" s="23">
        <f t="shared" si="23"/>
        <v>1.0644852443176616</v>
      </c>
      <c r="AF24" s="23">
        <f t="shared" si="24"/>
        <v>0.69036632264643527</v>
      </c>
      <c r="AG24" s="23">
        <f t="shared" si="25"/>
        <v>1.0644852443176616</v>
      </c>
      <c r="AH24" s="23">
        <f t="shared" si="26"/>
        <v>0.69036632264643527</v>
      </c>
      <c r="AI24" s="23">
        <f t="shared" si="27"/>
        <v>0.87742578348204847</v>
      </c>
      <c r="AJ24" s="23">
        <f t="shared" si="28"/>
        <v>0.87742578348204847</v>
      </c>
      <c r="AK24" s="289">
        <f t="shared" ref="AK24:AK38" si="46">kRIN*10^6*$AK$7*$AK$7/(SQRT((1/F24)^2+(1/G24)^2+0.477*(1/$T$5)^2))*10^($G$4/10)</f>
        <v>4.3276857647681961E-4</v>
      </c>
      <c r="AL24" s="70">
        <f t="shared" si="29"/>
        <v>5.8</v>
      </c>
      <c r="AM24" s="187">
        <f t="shared" si="35"/>
        <v>0.3</v>
      </c>
      <c r="AN24" s="188">
        <f t="shared" si="41"/>
        <v>8</v>
      </c>
      <c r="AO24" s="71">
        <f t="shared" si="36"/>
        <v>0</v>
      </c>
      <c r="AP24" s="342">
        <f t="shared" si="37"/>
        <v>0</v>
      </c>
      <c r="AQ24" s="343">
        <f t="shared" si="43"/>
        <v>0</v>
      </c>
      <c r="AR24" s="343">
        <f t="shared" si="38"/>
        <v>0</v>
      </c>
    </row>
    <row r="25" spans="1:44" s="74" customFormat="1" ht="15" customHeight="1">
      <c r="A25" s="63">
        <f t="shared" si="39"/>
        <v>0.27000000000000007</v>
      </c>
      <c r="B25" s="64">
        <f t="shared" si="0"/>
        <v>0.9781006821946836</v>
      </c>
      <c r="C25" s="64">
        <f t="shared" si="1"/>
        <v>2.4781006821946834</v>
      </c>
      <c r="D25" s="179">
        <f t="shared" si="2"/>
        <v>-31.795451895043737</v>
      </c>
      <c r="E25" s="64">
        <f t="shared" si="3"/>
        <v>6.0291000000000016E-3</v>
      </c>
      <c r="F25" s="65">
        <f t="shared" si="4"/>
        <v>20280.497246670864</v>
      </c>
      <c r="G25" s="65">
        <f t="shared" si="5"/>
        <v>7407.4074074074051</v>
      </c>
      <c r="H25" s="66">
        <f t="shared" si="6"/>
        <v>87.074760431837618</v>
      </c>
      <c r="I25" s="66">
        <f t="shared" si="7"/>
        <v>95.772290496485837</v>
      </c>
      <c r="J25" s="396">
        <f t="shared" si="8"/>
        <v>2.572966058103912</v>
      </c>
      <c r="K25" s="248">
        <f t="shared" si="9"/>
        <v>0.24984560736228101</v>
      </c>
      <c r="L25" s="266">
        <f t="shared" si="10"/>
        <v>0</v>
      </c>
      <c r="M25" s="267">
        <f t="shared" si="11"/>
        <v>0</v>
      </c>
      <c r="N25" s="251">
        <f>-10*LOG10(1-2*$L$10*10^(-$C25/10)*$AB$5*SQRT(2*ER*($AD25*(ER-1)+ER+1))/($AD25*(ER-1)))</f>
        <v>0</v>
      </c>
      <c r="O25" s="64">
        <f t="shared" si="12"/>
        <v>-0.31827014335632414</v>
      </c>
      <c r="P25" s="64">
        <f t="shared" si="13"/>
        <v>2.0435609494543767E-2</v>
      </c>
      <c r="Q25" s="64">
        <f t="shared" si="14"/>
        <v>4.537685491900452E-2</v>
      </c>
      <c r="R25" s="266">
        <f t="shared" si="44"/>
        <v>0.15328399029610348</v>
      </c>
      <c r="S25" s="64">
        <f t="shared" si="45"/>
        <v>0.26448382617753569</v>
      </c>
      <c r="T25" s="334">
        <f t="shared" si="42"/>
        <v>4.3142114116912387</v>
      </c>
      <c r="U25" s="274">
        <f t="shared" si="40"/>
        <v>4.5640570190535197</v>
      </c>
      <c r="V25" s="164">
        <f t="shared" si="15"/>
        <v>3.3361107294965553</v>
      </c>
      <c r="W25" s="180">
        <f t="shared" si="16"/>
        <v>1.4857885883087611</v>
      </c>
      <c r="X25" s="414">
        <f t="shared" si="17"/>
        <v>-7.7025962031138748</v>
      </c>
      <c r="Y25" s="72">
        <f t="shared" si="18"/>
        <v>0.86071720961847165</v>
      </c>
      <c r="Z25" s="73">
        <f t="shared" si="19"/>
        <v>0.77648616109077495</v>
      </c>
      <c r="AA25" s="295">
        <f>$AD25*(1-2*$L$10*10^(-$C25/10)*$AB$5*SQRT(2*ER*($AD25*(ER-1)+ER+1))/($AD25*(ER-1)))</f>
        <v>0.5529723221815499</v>
      </c>
      <c r="AB25" s="69">
        <f t="shared" si="20"/>
        <v>0.5220580939900541</v>
      </c>
      <c r="AC25" s="68">
        <f t="shared" si="21"/>
        <v>0.5220580939900541</v>
      </c>
      <c r="AD25" s="68">
        <f t="shared" si="22"/>
        <v>0.5529723221815499</v>
      </c>
      <c r="AE25" s="23">
        <f t="shared" si="23"/>
        <v>1.0442145494438619</v>
      </c>
      <c r="AF25" s="23">
        <f t="shared" si="24"/>
        <v>0.67721986979308135</v>
      </c>
      <c r="AG25" s="23">
        <f t="shared" si="25"/>
        <v>1.0442145494438619</v>
      </c>
      <c r="AH25" s="23">
        <f t="shared" si="26"/>
        <v>0.67721986979308135</v>
      </c>
      <c r="AI25" s="23">
        <f t="shared" si="27"/>
        <v>0.86071720961847165</v>
      </c>
      <c r="AJ25" s="23">
        <f t="shared" si="28"/>
        <v>0.86071720961847165</v>
      </c>
      <c r="AK25" s="289">
        <f t="shared" si="46"/>
        <v>4.2085833677884572E-4</v>
      </c>
      <c r="AL25" s="70">
        <f t="shared" si="29"/>
        <v>5.8</v>
      </c>
      <c r="AM25" s="187">
        <f t="shared" si="35"/>
        <v>0.3</v>
      </c>
      <c r="AN25" s="188">
        <f t="shared" si="41"/>
        <v>8</v>
      </c>
      <c r="AO25" s="71">
        <f t="shared" si="36"/>
        <v>0</v>
      </c>
      <c r="AP25" s="342">
        <f t="shared" si="37"/>
        <v>0</v>
      </c>
      <c r="AQ25" s="343">
        <f t="shared" si="43"/>
        <v>0</v>
      </c>
      <c r="AR25" s="343">
        <f t="shared" si="38"/>
        <v>0</v>
      </c>
    </row>
    <row r="26" spans="1:44" s="74" customFormat="1" ht="15" customHeight="1">
      <c r="A26" s="63">
        <f t="shared" si="39"/>
        <v>0.28000000000000008</v>
      </c>
      <c r="B26" s="64">
        <f t="shared" si="0"/>
        <v>1.0143266333870793</v>
      </c>
      <c r="C26" s="64">
        <f t="shared" si="1"/>
        <v>2.5143266333870793</v>
      </c>
      <c r="D26" s="179">
        <f t="shared" si="2"/>
        <v>-32.973061224489797</v>
      </c>
      <c r="E26" s="64">
        <f t="shared" si="3"/>
        <v>6.2524000000000017E-3</v>
      </c>
      <c r="F26" s="65">
        <f t="shared" si="4"/>
        <v>19556.193773575476</v>
      </c>
      <c r="G26" s="65">
        <f t="shared" si="5"/>
        <v>7142.8571428571404</v>
      </c>
      <c r="H26" s="66">
        <f t="shared" si="6"/>
        <v>89.112720279191294</v>
      </c>
      <c r="I26" s="66">
        <f t="shared" si="7"/>
        <v>97.628861707175261</v>
      </c>
      <c r="J26" s="396">
        <f t="shared" si="8"/>
        <v>2.7155340549435287</v>
      </c>
      <c r="K26" s="248">
        <f t="shared" si="9"/>
        <v>0.25065946172415998</v>
      </c>
      <c r="L26" s="266">
        <f t="shared" si="10"/>
        <v>0</v>
      </c>
      <c r="M26" s="267">
        <f t="shared" si="11"/>
        <v>0</v>
      </c>
      <c r="N26" s="251">
        <f t="shared" ref="N26:N38" si="47">-10*LOG10(1-2*$L$10*10^(-$C26/10)*$AB$5*SQRT(2*ER*($AD26*(ER-1)+ER+1))/($AD26*(ER-1)))</f>
        <v>0</v>
      </c>
      <c r="O26" s="64">
        <f t="shared" si="12"/>
        <v>-0.33005792644359544</v>
      </c>
      <c r="P26" s="64">
        <f t="shared" si="13"/>
        <v>2.1895036961431392E-2</v>
      </c>
      <c r="Q26" s="64">
        <f t="shared" si="14"/>
        <v>5.2170790451369665E-2</v>
      </c>
      <c r="R26" s="266">
        <f t="shared" si="44"/>
        <v>0.15948605152560391</v>
      </c>
      <c r="S26" s="64">
        <f t="shared" si="45"/>
        <v>0.29199856677974295</v>
      </c>
      <c r="T26" s="334">
        <f t="shared" si="42"/>
        <v>4.5335160970873245</v>
      </c>
      <c r="U26" s="274">
        <f t="shared" si="40"/>
        <v>4.7841755588114836</v>
      </c>
      <c r="V26" s="164">
        <f t="shared" si="15"/>
        <v>3.5191894637002452</v>
      </c>
      <c r="W26" s="180">
        <f t="shared" si="16"/>
        <v>1.2664839029126753</v>
      </c>
      <c r="X26" s="414">
        <f t="shared" si="17"/>
        <v>-7.7655755213692403</v>
      </c>
      <c r="Y26" s="72">
        <f t="shared" si="18"/>
        <v>0.84434927534186877</v>
      </c>
      <c r="Z26" s="73">
        <f t="shared" si="19"/>
        <v>0.76755717317100303</v>
      </c>
      <c r="AA26" s="295">
        <f t="shared" ref="AA26:AA38" si="48">$AD26*(1-2*$L$10*10^(-$C26/10)*$AB$5*SQRT(2*ER*($AD26*(ER-1)+ER+1))/($AD26*(ER-1)))</f>
        <v>0.53511434634200605</v>
      </c>
      <c r="AB26" s="69">
        <f t="shared" si="20"/>
        <v>0.50510381456327869</v>
      </c>
      <c r="AC26" s="68">
        <f t="shared" si="21"/>
        <v>0.50510381456327869</v>
      </c>
      <c r="AD26" s="68">
        <f t="shared" si="22"/>
        <v>0.53511434634200605</v>
      </c>
      <c r="AE26" s="23">
        <f t="shared" si="23"/>
        <v>1.0243571155213478</v>
      </c>
      <c r="AF26" s="23">
        <f t="shared" si="24"/>
        <v>0.66434143516238986</v>
      </c>
      <c r="AG26" s="23">
        <f t="shared" si="25"/>
        <v>1.0243571155213478</v>
      </c>
      <c r="AH26" s="23">
        <f t="shared" si="26"/>
        <v>0.66434143516238986</v>
      </c>
      <c r="AI26" s="23">
        <f t="shared" si="27"/>
        <v>0.84434927534186877</v>
      </c>
      <c r="AJ26" s="23">
        <f t="shared" si="28"/>
        <v>0.84434927534186877</v>
      </c>
      <c r="AK26" s="289">
        <f t="shared" si="46"/>
        <v>4.0948262757244743E-4</v>
      </c>
      <c r="AL26" s="70">
        <f t="shared" si="29"/>
        <v>5.8</v>
      </c>
      <c r="AM26" s="187">
        <f t="shared" si="35"/>
        <v>0.3</v>
      </c>
      <c r="AN26" s="188">
        <f t="shared" si="41"/>
        <v>8</v>
      </c>
      <c r="AO26" s="71">
        <f t="shared" si="36"/>
        <v>0</v>
      </c>
      <c r="AP26" s="342">
        <f t="shared" si="37"/>
        <v>0</v>
      </c>
      <c r="AQ26" s="343">
        <f t="shared" si="43"/>
        <v>0</v>
      </c>
      <c r="AR26" s="343">
        <f t="shared" si="38"/>
        <v>0</v>
      </c>
    </row>
    <row r="27" spans="1:44" s="74" customFormat="1" ht="15" customHeight="1">
      <c r="A27" s="63">
        <f t="shared" si="39"/>
        <v>0.29000000000000009</v>
      </c>
      <c r="B27" s="64">
        <f t="shared" si="0"/>
        <v>1.050552584579475</v>
      </c>
      <c r="C27" s="64">
        <f t="shared" si="1"/>
        <v>2.5505525845794752</v>
      </c>
      <c r="D27" s="179">
        <f t="shared" si="2"/>
        <v>-34.150670553935868</v>
      </c>
      <c r="E27" s="64">
        <f t="shared" si="3"/>
        <v>6.4757000000000018E-3</v>
      </c>
      <c r="F27" s="65">
        <f t="shared" si="4"/>
        <v>18881.84226414184</v>
      </c>
      <c r="G27" s="65">
        <f t="shared" si="5"/>
        <v>6896.5517241379284</v>
      </c>
      <c r="H27" s="66">
        <f t="shared" si="6"/>
        <v>91.176733674919788</v>
      </c>
      <c r="I27" s="66">
        <f t="shared" si="7"/>
        <v>99.516403101743037</v>
      </c>
      <c r="J27" s="396">
        <f t="shared" si="8"/>
        <v>2.8637743464299685</v>
      </c>
      <c r="K27" s="248">
        <f t="shared" si="9"/>
        <v>0.25156845628507085</v>
      </c>
      <c r="L27" s="266">
        <f t="shared" si="10"/>
        <v>0</v>
      </c>
      <c r="M27" s="267">
        <f t="shared" si="11"/>
        <v>0</v>
      </c>
      <c r="N27" s="251">
        <f t="shared" si="47"/>
        <v>0</v>
      </c>
      <c r="O27" s="64">
        <f t="shared" si="12"/>
        <v>-0.34184570953086674</v>
      </c>
      <c r="P27" s="64">
        <f t="shared" si="13"/>
        <v>2.3395811258791088E-2</v>
      </c>
      <c r="Q27" s="64">
        <f t="shared" si="14"/>
        <v>5.9670408738314362E-2</v>
      </c>
      <c r="R27" s="266">
        <f t="shared" si="44"/>
        <v>0.16648713984551</v>
      </c>
      <c r="S27" s="64">
        <f t="shared" si="45"/>
        <v>0.32344605067023541</v>
      </c>
      <c r="T27" s="334">
        <f t="shared" si="42"/>
        <v>4.7639305302635035</v>
      </c>
      <c r="U27" s="274">
        <f t="shared" si="40"/>
        <v>5.0154989865485744</v>
      </c>
      <c r="V27" s="164">
        <f t="shared" si="15"/>
        <v>3.7133779456840283</v>
      </c>
      <c r="W27" s="180">
        <f t="shared" si="16"/>
        <v>1.0360694697364963</v>
      </c>
      <c r="X27" s="414">
        <f t="shared" si="17"/>
        <v>-7.8320259211137335</v>
      </c>
      <c r="Y27" s="72">
        <f t="shared" si="18"/>
        <v>0.82833438574571172</v>
      </c>
      <c r="Z27" s="73">
        <f t="shared" si="19"/>
        <v>0.75857859400531169</v>
      </c>
      <c r="AA27" s="295">
        <f t="shared" si="48"/>
        <v>0.51715718801062338</v>
      </c>
      <c r="AB27" s="69">
        <f t="shared" si="20"/>
        <v>0.48805157623389595</v>
      </c>
      <c r="AC27" s="68">
        <f t="shared" si="21"/>
        <v>0.48805157623389595</v>
      </c>
      <c r="AD27" s="68">
        <f t="shared" si="22"/>
        <v>0.51715718801062338</v>
      </c>
      <c r="AE27" s="23">
        <f t="shared" si="23"/>
        <v>1.0049279923004268</v>
      </c>
      <c r="AF27" s="23">
        <f t="shared" si="24"/>
        <v>0.65174077919099638</v>
      </c>
      <c r="AG27" s="23">
        <f t="shared" si="25"/>
        <v>1.0049279923004268</v>
      </c>
      <c r="AH27" s="23">
        <f t="shared" si="26"/>
        <v>0.65174077919099638</v>
      </c>
      <c r="AI27" s="23">
        <f t="shared" si="27"/>
        <v>0.82833438574571172</v>
      </c>
      <c r="AJ27" s="23">
        <f t="shared" si="28"/>
        <v>0.82833438574571172</v>
      </c>
      <c r="AK27" s="289">
        <f t="shared" si="46"/>
        <v>3.986153860426629E-4</v>
      </c>
      <c r="AL27" s="70">
        <f t="shared" si="29"/>
        <v>5.8</v>
      </c>
      <c r="AM27" s="187">
        <f t="shared" si="35"/>
        <v>0.3</v>
      </c>
      <c r="AN27" s="188">
        <f t="shared" si="41"/>
        <v>8</v>
      </c>
      <c r="AO27" s="71">
        <f t="shared" si="36"/>
        <v>0</v>
      </c>
      <c r="AP27" s="342">
        <f>IF($A27=$L$3,I27,0)</f>
        <v>0</v>
      </c>
      <c r="AQ27" s="343">
        <f t="shared" si="43"/>
        <v>0</v>
      </c>
      <c r="AR27" s="343">
        <f t="shared" si="38"/>
        <v>0</v>
      </c>
    </row>
    <row r="28" spans="1:44" s="62" customFormat="1" ht="15" customHeight="1">
      <c r="A28" s="51">
        <f t="shared" si="39"/>
        <v>0.3000000000000001</v>
      </c>
      <c r="B28" s="52">
        <f t="shared" si="0"/>
        <v>1.0867785357718707</v>
      </c>
      <c r="C28" s="52">
        <f t="shared" si="1"/>
        <v>2.5867785357718707</v>
      </c>
      <c r="D28" s="176">
        <f t="shared" si="2"/>
        <v>-35.328279883381931</v>
      </c>
      <c r="E28" s="52">
        <f t="shared" si="3"/>
        <v>6.6990000000000018E-3</v>
      </c>
      <c r="F28" s="53">
        <f t="shared" si="4"/>
        <v>18252.447522003782</v>
      </c>
      <c r="G28" s="53">
        <f t="shared" si="5"/>
        <v>6666.6666666666642</v>
      </c>
      <c r="H28" s="54">
        <f t="shared" si="6"/>
        <v>93.265070891901942</v>
      </c>
      <c r="I28" s="54">
        <f t="shared" si="7"/>
        <v>101.43318574881128</v>
      </c>
      <c r="J28" s="395">
        <f t="shared" si="8"/>
        <v>3.0177836780833998</v>
      </c>
      <c r="K28" s="247">
        <f t="shared" si="9"/>
        <v>0.25259980598932286</v>
      </c>
      <c r="L28" s="263">
        <f t="shared" si="10"/>
        <v>0</v>
      </c>
      <c r="M28" s="264">
        <f t="shared" si="11"/>
        <v>0</v>
      </c>
      <c r="N28" s="265">
        <f t="shared" si="47"/>
        <v>0</v>
      </c>
      <c r="O28" s="52">
        <f t="shared" si="12"/>
        <v>-0.35363349261813798</v>
      </c>
      <c r="P28" s="52">
        <f t="shared" si="13"/>
        <v>2.4936775467001033E-2</v>
      </c>
      <c r="Q28" s="52">
        <f t="shared" si="14"/>
        <v>6.791787552929307E-2</v>
      </c>
      <c r="R28" s="263">
        <f t="shared" si="44"/>
        <v>0.17438042689599562</v>
      </c>
      <c r="S28" s="52">
        <f t="shared" si="45"/>
        <v>0.35954672110412461</v>
      </c>
      <c r="T28" s="277">
        <f t="shared" si="42"/>
        <v>5.0064072373846837</v>
      </c>
      <c r="U28" s="273">
        <f t="shared" si="40"/>
        <v>5.2590070433740062</v>
      </c>
      <c r="V28" s="177">
        <f t="shared" si="15"/>
        <v>3.9196287016128131</v>
      </c>
      <c r="W28" s="178">
        <f t="shared" si="16"/>
        <v>0.79359276261531608</v>
      </c>
      <c r="X28" s="413">
        <f t="shared" si="17"/>
        <v>-7.9024429613645379</v>
      </c>
      <c r="Y28" s="59">
        <f t="shared" si="18"/>
        <v>0.81268135301440036</v>
      </c>
      <c r="Z28" s="60">
        <f t="shared" si="19"/>
        <v>0.74956957332419416</v>
      </c>
      <c r="AA28" s="294">
        <f t="shared" si="48"/>
        <v>0.49913914664838832</v>
      </c>
      <c r="AB28" s="56">
        <f t="shared" si="20"/>
        <v>0.4709357407132817</v>
      </c>
      <c r="AC28" s="55">
        <f t="shared" si="21"/>
        <v>0.4709357407132817</v>
      </c>
      <c r="AD28" s="55">
        <f t="shared" si="22"/>
        <v>0.49913914664838832</v>
      </c>
      <c r="AE28" s="61">
        <f t="shared" si="23"/>
        <v>0.98593787064571814</v>
      </c>
      <c r="AF28" s="61">
        <f t="shared" si="24"/>
        <v>0.63942483538308259</v>
      </c>
      <c r="AG28" s="61">
        <f t="shared" si="25"/>
        <v>0.98593787064571814</v>
      </c>
      <c r="AH28" s="61">
        <f t="shared" si="26"/>
        <v>0.63942483538308259</v>
      </c>
      <c r="AI28" s="61">
        <f t="shared" si="27"/>
        <v>0.81268135301440036</v>
      </c>
      <c r="AJ28" s="61">
        <f t="shared" si="28"/>
        <v>0.81268135301440036</v>
      </c>
      <c r="AK28" s="299">
        <f t="shared" si="46"/>
        <v>3.8823101852874934E-4</v>
      </c>
      <c r="AL28" s="57">
        <f t="shared" si="29"/>
        <v>5.8</v>
      </c>
      <c r="AM28" s="186">
        <f t="shared" si="35"/>
        <v>0.3</v>
      </c>
      <c r="AN28" s="189">
        <f t="shared" si="41"/>
        <v>8</v>
      </c>
      <c r="AO28" s="58">
        <f t="shared" si="36"/>
        <v>0.79359276261531608</v>
      </c>
      <c r="AP28" s="340">
        <f t="shared" ref="AP28:AP38" si="49">IF($A28=$L$3,I28,0)</f>
        <v>101.43318574881128</v>
      </c>
      <c r="AQ28" s="341">
        <f>IF($A28=$L$3,B_1*Tb_eff*(1+$G$9)/(SQRT(8)*SQRT($H28^2+$AG$8^2)),0)</f>
        <v>0.79980435243989456</v>
      </c>
      <c r="AR28" s="341">
        <f>IF($A28=$L$3,B_1*Tb_eff*(1-$G$9)/(SQRT(8)*SQRT($H28^2+$AG$8^2)),0)</f>
        <v>0.79980435243989456</v>
      </c>
    </row>
    <row r="29" spans="1:44" s="74" customFormat="1" ht="15" customHeight="1">
      <c r="A29" s="63">
        <f t="shared" si="39"/>
        <v>0.31000000000000011</v>
      </c>
      <c r="B29" s="64">
        <f t="shared" si="0"/>
        <v>1.1230044869642666</v>
      </c>
      <c r="C29" s="64">
        <f t="shared" si="1"/>
        <v>2.6230044869642666</v>
      </c>
      <c r="D29" s="179">
        <f t="shared" si="2"/>
        <v>-36.505889212827995</v>
      </c>
      <c r="E29" s="64">
        <f t="shared" si="3"/>
        <v>6.9223000000000019E-3</v>
      </c>
      <c r="F29" s="65">
        <f t="shared" si="4"/>
        <v>17663.658892261723</v>
      </c>
      <c r="G29" s="65">
        <f t="shared" si="5"/>
        <v>6451.6129032258041</v>
      </c>
      <c r="H29" s="66">
        <f t="shared" si="6"/>
        <v>95.376134174593801</v>
      </c>
      <c r="I29" s="66">
        <f t="shared" si="7"/>
        <v>103.37758312502511</v>
      </c>
      <c r="J29" s="396">
        <f t="shared" si="8"/>
        <v>3.1776800788848241</v>
      </c>
      <c r="K29" s="248">
        <f t="shared" si="9"/>
        <v>0.25378390043990473</v>
      </c>
      <c r="L29" s="266">
        <f t="shared" si="10"/>
        <v>0</v>
      </c>
      <c r="M29" s="267">
        <f t="shared" si="11"/>
        <v>0</v>
      </c>
      <c r="N29" s="251">
        <f t="shared" si="47"/>
        <v>0</v>
      </c>
      <c r="O29" s="64">
        <f t="shared" si="12"/>
        <v>-0.36542127570540922</v>
      </c>
      <c r="P29" s="64">
        <f t="shared" si="13"/>
        <v>2.6516748585466814E-2</v>
      </c>
      <c r="Q29" s="64">
        <f t="shared" si="14"/>
        <v>7.6956062493541241E-2</v>
      </c>
      <c r="R29" s="266">
        <f t="shared" si="44"/>
        <v>0.18327609162383018</v>
      </c>
      <c r="S29" s="64">
        <f t="shared" si="45"/>
        <v>0.401202319656146</v>
      </c>
      <c r="T29" s="334">
        <f t="shared" si="42"/>
        <v>5.2621190396226076</v>
      </c>
      <c r="U29" s="274">
        <f t="shared" si="40"/>
        <v>5.5159029400625119</v>
      </c>
      <c r="V29" s="164">
        <f t="shared" si="15"/>
        <v>4.1391145526583415</v>
      </c>
      <c r="W29" s="180">
        <f t="shared" si="16"/>
        <v>0.53788096037739219</v>
      </c>
      <c r="X29" s="414">
        <f t="shared" si="17"/>
        <v>-7.9774305635250276</v>
      </c>
      <c r="Y29" s="72">
        <f t="shared" si="18"/>
        <v>0.7973958777427641</v>
      </c>
      <c r="Z29" s="73">
        <f t="shared" si="19"/>
        <v>0.74054813629372584</v>
      </c>
      <c r="AA29" s="295">
        <f t="shared" si="48"/>
        <v>0.48109627258745169</v>
      </c>
      <c r="AB29" s="69">
        <f t="shared" si="20"/>
        <v>0.45378862158072941</v>
      </c>
      <c r="AC29" s="68">
        <f t="shared" si="21"/>
        <v>0.45378862158072941</v>
      </c>
      <c r="AD29" s="68">
        <f t="shared" si="22"/>
        <v>0.48109627258745169</v>
      </c>
      <c r="AE29" s="23">
        <f t="shared" si="23"/>
        <v>0.96739366646873637</v>
      </c>
      <c r="AF29" s="23">
        <f t="shared" si="24"/>
        <v>0.62739808901679184</v>
      </c>
      <c r="AG29" s="23">
        <f t="shared" si="25"/>
        <v>0.96739366646873637</v>
      </c>
      <c r="AH29" s="23">
        <f t="shared" si="26"/>
        <v>0.62739808901679184</v>
      </c>
      <c r="AI29" s="23">
        <f t="shared" si="27"/>
        <v>0.7973958777427641</v>
      </c>
      <c r="AJ29" s="23">
        <f t="shared" si="28"/>
        <v>0.7973958777427641</v>
      </c>
      <c r="AK29" s="289">
        <f t="shared" si="46"/>
        <v>3.7830464300761291E-4</v>
      </c>
      <c r="AL29" s="70">
        <f t="shared" si="29"/>
        <v>5.8</v>
      </c>
      <c r="AM29" s="187">
        <f t="shared" si="35"/>
        <v>0.3</v>
      </c>
      <c r="AN29" s="188">
        <f t="shared" si="41"/>
        <v>8</v>
      </c>
      <c r="AO29" s="71">
        <f t="shared" si="36"/>
        <v>0</v>
      </c>
      <c r="AP29" s="342">
        <f t="shared" si="49"/>
        <v>0</v>
      </c>
      <c r="AQ29" s="343">
        <f t="shared" si="43"/>
        <v>0</v>
      </c>
      <c r="AR29" s="343">
        <f t="shared" ref="AR29:AR37" si="50">IF($A29=$L$3,B_1*Tb_eff*(1-$G$9)/(SQRT(8)*SQRT($H29^2+$AG$8^2)),0)</f>
        <v>0</v>
      </c>
    </row>
    <row r="30" spans="1:44" s="74" customFormat="1" ht="15" customHeight="1">
      <c r="A30" s="63">
        <f t="shared" si="39"/>
        <v>0.32000000000000012</v>
      </c>
      <c r="B30" s="64">
        <f t="shared" si="0"/>
        <v>1.1592304381566623</v>
      </c>
      <c r="C30" s="64">
        <f t="shared" si="1"/>
        <v>2.659230438156662</v>
      </c>
      <c r="D30" s="179">
        <f t="shared" si="2"/>
        <v>-37.683498542274059</v>
      </c>
      <c r="E30" s="64">
        <f t="shared" si="3"/>
        <v>7.145600000000002E-3</v>
      </c>
      <c r="F30" s="65">
        <f t="shared" si="4"/>
        <v>17111.669551878542</v>
      </c>
      <c r="G30" s="65">
        <f t="shared" si="5"/>
        <v>6249.9999999999973</v>
      </c>
      <c r="H30" s="66">
        <f t="shared" si="6"/>
        <v>97.508447472427363</v>
      </c>
      <c r="I30" s="66">
        <f t="shared" si="7"/>
        <v>105.34806619565678</v>
      </c>
      <c r="J30" s="396">
        <f t="shared" si="8"/>
        <v>3.3436115258282495</v>
      </c>
      <c r="K30" s="248">
        <f t="shared" si="9"/>
        <v>0.25515125839711006</v>
      </c>
      <c r="L30" s="266">
        <f t="shared" si="10"/>
        <v>0</v>
      </c>
      <c r="M30" s="267">
        <f t="shared" si="11"/>
        <v>0</v>
      </c>
      <c r="N30" s="251">
        <f t="shared" si="47"/>
        <v>0</v>
      </c>
      <c r="O30" s="64">
        <f t="shared" si="12"/>
        <v>-0.37720905879268052</v>
      </c>
      <c r="P30" s="64">
        <f t="shared" si="13"/>
        <v>2.8134527036394855E-2</v>
      </c>
      <c r="Q30" s="64">
        <f t="shared" si="14"/>
        <v>8.6828555961575238E-2</v>
      </c>
      <c r="R30" s="266">
        <f t="shared" si="44"/>
        <v>0.19330550679441938</v>
      </c>
      <c r="S30" s="64">
        <f t="shared" si="45"/>
        <v>0.44955778346941661</v>
      </c>
      <c r="T30" s="334">
        <f t="shared" si="42"/>
        <v>5.5325338102103228</v>
      </c>
      <c r="U30" s="274">
        <f t="shared" si="40"/>
        <v>5.7876850686074333</v>
      </c>
      <c r="V30" s="164">
        <f t="shared" si="15"/>
        <v>4.3733033720536607</v>
      </c>
      <c r="W30" s="180">
        <f t="shared" si="16"/>
        <v>0.26746618978967707</v>
      </c>
      <c r="X30" s="414">
        <f t="shared" si="17"/>
        <v>-8.0577361552626812</v>
      </c>
      <c r="Y30" s="72">
        <f t="shared" si="18"/>
        <v>0.78248098528744925</v>
      </c>
      <c r="Z30" s="73">
        <f t="shared" si="19"/>
        <v>0.73153084231822174</v>
      </c>
      <c r="AA30" s="295">
        <f t="shared" si="48"/>
        <v>0.46306168463644348</v>
      </c>
      <c r="AB30" s="69">
        <f t="shared" si="20"/>
        <v>0.43664020434940287</v>
      </c>
      <c r="AC30" s="68">
        <f t="shared" si="21"/>
        <v>0.43664020434940287</v>
      </c>
      <c r="AD30" s="68">
        <f t="shared" si="22"/>
        <v>0.46306168463644348</v>
      </c>
      <c r="AE30" s="23">
        <f t="shared" si="23"/>
        <v>0.94929905010555959</v>
      </c>
      <c r="AF30" s="23">
        <f t="shared" si="24"/>
        <v>0.6156629204693389</v>
      </c>
      <c r="AG30" s="23">
        <f t="shared" si="25"/>
        <v>0.94929905010555959</v>
      </c>
      <c r="AH30" s="23">
        <f t="shared" si="26"/>
        <v>0.6156629204693389</v>
      </c>
      <c r="AI30" s="23">
        <f t="shared" si="27"/>
        <v>0.78248098528744925</v>
      </c>
      <c r="AJ30" s="23">
        <f t="shared" si="28"/>
        <v>0.78248098528744925</v>
      </c>
      <c r="AK30" s="289">
        <f t="shared" si="46"/>
        <v>3.6881225578391775E-4</v>
      </c>
      <c r="AL30" s="70">
        <f t="shared" si="29"/>
        <v>5.8</v>
      </c>
      <c r="AM30" s="187">
        <f t="shared" si="35"/>
        <v>0.3</v>
      </c>
      <c r="AN30" s="188">
        <f t="shared" si="41"/>
        <v>8</v>
      </c>
      <c r="AO30" s="71">
        <f t="shared" si="36"/>
        <v>0</v>
      </c>
      <c r="AP30" s="342">
        <f t="shared" si="49"/>
        <v>0</v>
      </c>
      <c r="AQ30" s="343">
        <f t="shared" si="43"/>
        <v>0</v>
      </c>
      <c r="AR30" s="343">
        <f t="shared" si="50"/>
        <v>0</v>
      </c>
    </row>
    <row r="31" spans="1:44" s="74" customFormat="1" ht="15" customHeight="1">
      <c r="A31" s="63">
        <f t="shared" si="39"/>
        <v>0.33000000000000013</v>
      </c>
      <c r="B31" s="64">
        <f t="shared" si="0"/>
        <v>1.195456389349058</v>
      </c>
      <c r="C31" s="64">
        <f t="shared" si="1"/>
        <v>2.695456389349058</v>
      </c>
      <c r="D31" s="179">
        <f t="shared" si="2"/>
        <v>-38.861107871720122</v>
      </c>
      <c r="E31" s="64">
        <f t="shared" si="3"/>
        <v>7.3689000000000029E-3</v>
      </c>
      <c r="F31" s="65">
        <f t="shared" si="4"/>
        <v>16593.134110912528</v>
      </c>
      <c r="G31" s="65">
        <f t="shared" si="5"/>
        <v>6060.6060606060582</v>
      </c>
      <c r="H31" s="66">
        <f t="shared" si="6"/>
        <v>99.660646815332839</v>
      </c>
      <c r="I31" s="66">
        <f t="shared" si="7"/>
        <v>107.34319841672257</v>
      </c>
      <c r="J31" s="396">
        <f t="shared" si="8"/>
        <v>3.5157559257310207</v>
      </c>
      <c r="K31" s="248">
        <f t="shared" si="9"/>
        <v>0.25673413863492467</v>
      </c>
      <c r="L31" s="266">
        <f t="shared" si="10"/>
        <v>0</v>
      </c>
      <c r="M31" s="267">
        <f t="shared" si="11"/>
        <v>0</v>
      </c>
      <c r="N31" s="251">
        <f t="shared" si="47"/>
        <v>0</v>
      </c>
      <c r="O31" s="64">
        <f t="shared" si="12"/>
        <v>-0.38899684187995182</v>
      </c>
      <c r="P31" s="64">
        <f t="shared" si="13"/>
        <v>2.9788886187315296E-2</v>
      </c>
      <c r="Q31" s="64">
        <f t="shared" si="14"/>
        <v>9.7579676741298776E-2</v>
      </c>
      <c r="R31" s="266">
        <f t="shared" si="44"/>
        <v>0.20462569495119914</v>
      </c>
      <c r="S31" s="64">
        <f t="shared" si="45"/>
        <v>0.50608748318726282</v>
      </c>
      <c r="T31" s="334">
        <f t="shared" si="42"/>
        <v>5.8195051699598395</v>
      </c>
      <c r="U31" s="274">
        <f t="shared" si="40"/>
        <v>6.0762393085947632</v>
      </c>
      <c r="V31" s="164">
        <f t="shared" si="15"/>
        <v>4.6240487806107815</v>
      </c>
      <c r="W31" s="180">
        <f t="shared" si="16"/>
        <v>-1.9505169959839641E-2</v>
      </c>
      <c r="X31" s="414">
        <f t="shared" si="17"/>
        <v>-8.1442982652505034</v>
      </c>
      <c r="Y31" s="72">
        <f t="shared" si="18"/>
        <v>0.76793741802706572</v>
      </c>
      <c r="Z31" s="73">
        <f t="shared" si="19"/>
        <v>0.7225329943670904</v>
      </c>
      <c r="AA31" s="295">
        <f t="shared" si="48"/>
        <v>0.4450659887341808</v>
      </c>
      <c r="AB31" s="69">
        <f t="shared" si="20"/>
        <v>0.41951838058841839</v>
      </c>
      <c r="AC31" s="68">
        <f t="shared" si="21"/>
        <v>0.41951838058841839</v>
      </c>
      <c r="AD31" s="68">
        <f t="shared" si="22"/>
        <v>0.4450659887341808</v>
      </c>
      <c r="AE31" s="23">
        <f t="shared" si="23"/>
        <v>0.93165492220338875</v>
      </c>
      <c r="AF31" s="23">
        <f t="shared" si="24"/>
        <v>0.6042199138507427</v>
      </c>
      <c r="AG31" s="23">
        <f t="shared" si="25"/>
        <v>0.93165492220338875</v>
      </c>
      <c r="AH31" s="23">
        <f t="shared" si="26"/>
        <v>0.6042199138507427</v>
      </c>
      <c r="AI31" s="23">
        <f t="shared" si="27"/>
        <v>0.76793741802706572</v>
      </c>
      <c r="AJ31" s="23">
        <f t="shared" si="28"/>
        <v>0.76793741802706572</v>
      </c>
      <c r="AK31" s="289">
        <f t="shared" si="46"/>
        <v>3.5973083986179377E-4</v>
      </c>
      <c r="AL31" s="70">
        <f t="shared" si="29"/>
        <v>5.8</v>
      </c>
      <c r="AM31" s="187">
        <f t="shared" si="35"/>
        <v>0.3</v>
      </c>
      <c r="AN31" s="188">
        <f t="shared" si="41"/>
        <v>8</v>
      </c>
      <c r="AO31" s="71">
        <f t="shared" si="36"/>
        <v>0</v>
      </c>
      <c r="AP31" s="342">
        <f t="shared" si="49"/>
        <v>0</v>
      </c>
      <c r="AQ31" s="343">
        <f t="shared" si="43"/>
        <v>0</v>
      </c>
      <c r="AR31" s="343">
        <f t="shared" si="50"/>
        <v>0</v>
      </c>
    </row>
    <row r="32" spans="1:44" s="74" customFormat="1" ht="15" customHeight="1">
      <c r="A32" s="63">
        <f t="shared" si="39"/>
        <v>0.34000000000000014</v>
      </c>
      <c r="B32" s="64">
        <f t="shared" si="0"/>
        <v>1.2316823405414536</v>
      </c>
      <c r="C32" s="64">
        <f t="shared" si="1"/>
        <v>2.7316823405414539</v>
      </c>
      <c r="D32" s="179">
        <f t="shared" si="2"/>
        <v>-40.038717201166193</v>
      </c>
      <c r="E32" s="64">
        <f t="shared" si="3"/>
        <v>7.5922000000000029E-3</v>
      </c>
      <c r="F32" s="65">
        <f t="shared" si="4"/>
        <v>16105.100754709214</v>
      </c>
      <c r="G32" s="65">
        <f t="shared" si="5"/>
        <v>5882.3529411764684</v>
      </c>
      <c r="H32" s="66">
        <f t="shared" si="6"/>
        <v>101.83147134158612</v>
      </c>
      <c r="I32" s="66">
        <f t="shared" si="7"/>
        <v>109.36163074073848</v>
      </c>
      <c r="J32" s="396">
        <f t="shared" si="8"/>
        <v>3.6943273146548226</v>
      </c>
      <c r="K32" s="248">
        <f t="shared" si="9"/>
        <v>0.25856746500529626</v>
      </c>
      <c r="L32" s="266">
        <f t="shared" si="10"/>
        <v>0</v>
      </c>
      <c r="M32" s="267">
        <f t="shared" si="11"/>
        <v>0</v>
      </c>
      <c r="N32" s="251">
        <f t="shared" si="47"/>
        <v>0</v>
      </c>
      <c r="O32" s="64">
        <f t="shared" si="12"/>
        <v>-0.40078462496722311</v>
      </c>
      <c r="P32" s="64">
        <f t="shared" si="13"/>
        <v>3.1478581889668851E-2</v>
      </c>
      <c r="Q32" s="64">
        <f t="shared" si="14"/>
        <v>0.10925451159806822</v>
      </c>
      <c r="R32" s="266">
        <f t="shared" si="44"/>
        <v>0.21742561076060202</v>
      </c>
      <c r="S32" s="64">
        <f t="shared" si="45"/>
        <v>0.57272378988240269</v>
      </c>
      <c r="T32" s="334">
        <f t="shared" si="42"/>
        <v>6.1254135674373487</v>
      </c>
      <c r="U32" s="274">
        <f t="shared" si="40"/>
        <v>6.3839810324426445</v>
      </c>
      <c r="V32" s="164">
        <f t="shared" si="15"/>
        <v>4.8937312268958948</v>
      </c>
      <c r="W32" s="180">
        <f t="shared" si="16"/>
        <v>-0.32541356743734884</v>
      </c>
      <c r="X32" s="414">
        <f t="shared" si="17"/>
        <v>-8.2383171204566423</v>
      </c>
      <c r="Y32" s="72">
        <f t="shared" si="18"/>
        <v>0.75376398538100575</v>
      </c>
      <c r="Z32" s="73">
        <f t="shared" si="19"/>
        <v>0.71356853711496737</v>
      </c>
      <c r="AA32" s="295">
        <f t="shared" si="48"/>
        <v>0.42713707422993474</v>
      </c>
      <c r="AB32" s="69">
        <f t="shared" si="20"/>
        <v>0.40244869367375102</v>
      </c>
      <c r="AC32" s="68">
        <f t="shared" si="21"/>
        <v>0.40244869367375102</v>
      </c>
      <c r="AD32" s="68">
        <f t="shared" si="22"/>
        <v>0.42713707422993474</v>
      </c>
      <c r="AE32" s="23">
        <f t="shared" si="23"/>
        <v>0.91445983836030076</v>
      </c>
      <c r="AF32" s="23">
        <f t="shared" si="24"/>
        <v>0.59306813240171086</v>
      </c>
      <c r="AG32" s="23">
        <f t="shared" si="25"/>
        <v>0.91445983836030076</v>
      </c>
      <c r="AH32" s="23">
        <f t="shared" si="26"/>
        <v>0.59306813240171086</v>
      </c>
      <c r="AI32" s="23">
        <f t="shared" si="27"/>
        <v>0.75376398538100575</v>
      </c>
      <c r="AJ32" s="23">
        <f t="shared" si="28"/>
        <v>0.75376398538100575</v>
      </c>
      <c r="AK32" s="289">
        <f t="shared" si="46"/>
        <v>3.5103842886266486E-4</v>
      </c>
      <c r="AL32" s="70">
        <f t="shared" si="29"/>
        <v>5.8</v>
      </c>
      <c r="AM32" s="187">
        <f t="shared" si="35"/>
        <v>0.3</v>
      </c>
      <c r="AN32" s="188">
        <f t="shared" si="41"/>
        <v>8</v>
      </c>
      <c r="AO32" s="71">
        <f t="shared" si="36"/>
        <v>0</v>
      </c>
      <c r="AP32" s="342">
        <f t="shared" si="49"/>
        <v>0</v>
      </c>
      <c r="AQ32" s="343">
        <f t="shared" si="43"/>
        <v>0</v>
      </c>
      <c r="AR32" s="343">
        <f t="shared" si="50"/>
        <v>0</v>
      </c>
    </row>
    <row r="33" spans="1:49" s="62" customFormat="1" ht="15" customHeight="1">
      <c r="A33" s="51">
        <f t="shared" si="39"/>
        <v>0.35000000000000014</v>
      </c>
      <c r="B33" s="52">
        <f t="shared" si="0"/>
        <v>1.2679082917338493</v>
      </c>
      <c r="C33" s="52">
        <f t="shared" si="1"/>
        <v>2.7679082917338493</v>
      </c>
      <c r="D33" s="176">
        <f t="shared" si="2"/>
        <v>-41.216326530612257</v>
      </c>
      <c r="E33" s="52">
        <f t="shared" si="3"/>
        <v>7.815500000000003E-3</v>
      </c>
      <c r="F33" s="53">
        <f t="shared" si="4"/>
        <v>15644.955018860381</v>
      </c>
      <c r="G33" s="53">
        <f t="shared" si="5"/>
        <v>5714.2857142857119</v>
      </c>
      <c r="H33" s="54">
        <f t="shared" si="6"/>
        <v>104.01975497139198</v>
      </c>
      <c r="I33" s="54">
        <f t="shared" si="7"/>
        <v>111.40209669027682</v>
      </c>
      <c r="J33" s="395">
        <f t="shared" si="8"/>
        <v>3.8795754777881091</v>
      </c>
      <c r="K33" s="247">
        <f t="shared" si="9"/>
        <v>0.26069143493167468</v>
      </c>
      <c r="L33" s="263">
        <f t="shared" si="10"/>
        <v>0</v>
      </c>
      <c r="M33" s="264">
        <f t="shared" si="11"/>
        <v>0</v>
      </c>
      <c r="N33" s="265">
        <f t="shared" si="47"/>
        <v>0</v>
      </c>
      <c r="O33" s="52">
        <f t="shared" si="12"/>
        <v>-0.41257240805449436</v>
      </c>
      <c r="P33" s="52">
        <f t="shared" si="13"/>
        <v>3.3202352030764458E-2</v>
      </c>
      <c r="Q33" s="52">
        <f t="shared" si="14"/>
        <v>0.12189895703313483</v>
      </c>
      <c r="R33" s="263">
        <f t="shared" si="44"/>
        <v>0.23193349001984484</v>
      </c>
      <c r="S33" s="52">
        <f t="shared" si="45"/>
        <v>0.65204896880648344</v>
      </c>
      <c r="T33" s="277">
        <f t="shared" si="42"/>
        <v>6.453365185381422</v>
      </c>
      <c r="U33" s="273">
        <f t="shared" si="40"/>
        <v>6.7140566203130962</v>
      </c>
      <c r="V33" s="177">
        <f t="shared" si="15"/>
        <v>5.1854568936475722</v>
      </c>
      <c r="W33" s="178">
        <f t="shared" si="16"/>
        <v>-0.65336518538142219</v>
      </c>
      <c r="X33" s="413">
        <f t="shared" si="17"/>
        <v>-8.3413579858053861</v>
      </c>
      <c r="Y33" s="59">
        <f t="shared" si="18"/>
        <v>0.73995787407921998</v>
      </c>
      <c r="Z33" s="60">
        <f t="shared" si="19"/>
        <v>0.70465033342705452</v>
      </c>
      <c r="AA33" s="294">
        <f t="shared" si="48"/>
        <v>0.40930066685410904</v>
      </c>
      <c r="AB33" s="56">
        <f t="shared" si="20"/>
        <v>0.38545466730830968</v>
      </c>
      <c r="AC33" s="55">
        <f t="shared" si="21"/>
        <v>0.38545466730830968</v>
      </c>
      <c r="AD33" s="55">
        <f t="shared" si="22"/>
        <v>0.40930066685410904</v>
      </c>
      <c r="AE33" s="61">
        <f t="shared" si="23"/>
        <v>0.89771038554181182</v>
      </c>
      <c r="AF33" s="61">
        <f t="shared" si="24"/>
        <v>0.58220536261662825</v>
      </c>
      <c r="AG33" s="61">
        <f t="shared" si="25"/>
        <v>0.89771038554181182</v>
      </c>
      <c r="AH33" s="61">
        <f t="shared" si="26"/>
        <v>0.58220536261662825</v>
      </c>
      <c r="AI33" s="61">
        <f t="shared" si="27"/>
        <v>0.73995787407921998</v>
      </c>
      <c r="AJ33" s="61">
        <f t="shared" si="28"/>
        <v>0.73995787407921998</v>
      </c>
      <c r="AK33" s="299">
        <f t="shared" si="46"/>
        <v>3.4271413741993593E-4</v>
      </c>
      <c r="AL33" s="57">
        <f t="shared" si="29"/>
        <v>5.8</v>
      </c>
      <c r="AM33" s="186">
        <f t="shared" si="35"/>
        <v>0.3</v>
      </c>
      <c r="AN33" s="189">
        <f t="shared" si="41"/>
        <v>8</v>
      </c>
      <c r="AO33" s="58">
        <f t="shared" si="36"/>
        <v>0</v>
      </c>
      <c r="AP33" s="340">
        <f t="shared" si="49"/>
        <v>0</v>
      </c>
      <c r="AQ33" s="341">
        <f t="shared" si="43"/>
        <v>0</v>
      </c>
      <c r="AR33" s="341">
        <f t="shared" si="50"/>
        <v>0</v>
      </c>
    </row>
    <row r="34" spans="1:49" s="74" customFormat="1" ht="15" customHeight="1">
      <c r="A34" s="63">
        <f t="shared" si="39"/>
        <v>0.36000000000000015</v>
      </c>
      <c r="B34" s="64">
        <f t="shared" si="0"/>
        <v>1.304134242926245</v>
      </c>
      <c r="C34" s="64">
        <f t="shared" si="1"/>
        <v>2.8041342429262448</v>
      </c>
      <c r="D34" s="179">
        <f t="shared" si="2"/>
        <v>-42.39393586005832</v>
      </c>
      <c r="E34" s="64">
        <f t="shared" si="3"/>
        <v>8.0388000000000039E-3</v>
      </c>
      <c r="F34" s="65">
        <f t="shared" si="4"/>
        <v>15210.372935003148</v>
      </c>
      <c r="G34" s="65">
        <f t="shared" si="5"/>
        <v>5555.5555555555529</v>
      </c>
      <c r="H34" s="66">
        <f t="shared" si="6"/>
        <v>106.22441870774796</v>
      </c>
      <c r="I34" s="66">
        <f t="shared" si="7"/>
        <v>113.46340754833831</v>
      </c>
      <c r="J34" s="396">
        <f t="shared" si="8"/>
        <v>4.0717987027288078</v>
      </c>
      <c r="K34" s="248">
        <f t="shared" si="9"/>
        <v>0.26314766427843761</v>
      </c>
      <c r="L34" s="266">
        <f t="shared" si="10"/>
        <v>0</v>
      </c>
      <c r="M34" s="267">
        <f t="shared" si="11"/>
        <v>0</v>
      </c>
      <c r="N34" s="251">
        <f t="shared" si="47"/>
        <v>0</v>
      </c>
      <c r="O34" s="64">
        <f t="shared" si="12"/>
        <v>-0.4243601911417656</v>
      </c>
      <c r="P34" s="64">
        <f t="shared" si="13"/>
        <v>3.4958918096411863E-2</v>
      </c>
      <c r="Q34" s="64">
        <f t="shared" si="14"/>
        <v>0.13555977605697922</v>
      </c>
      <c r="R34" s="266">
        <f t="shared" si="44"/>
        <v>0.24842789604249402</v>
      </c>
      <c r="S34" s="64">
        <f t="shared" si="45"/>
        <v>0.74760138597900183</v>
      </c>
      <c r="T34" s="334">
        <f t="shared" si="42"/>
        <v>6.8075220037335278</v>
      </c>
      <c r="U34" s="274">
        <f t="shared" si="40"/>
        <v>7.0706696680119654</v>
      </c>
      <c r="V34" s="164">
        <f t="shared" si="15"/>
        <v>5.503387760807283</v>
      </c>
      <c r="W34" s="180">
        <f t="shared" si="16"/>
        <v>-1.007522003733528</v>
      </c>
      <c r="X34" s="414">
        <f t="shared" si="17"/>
        <v>-8.4555153706305362</v>
      </c>
      <c r="Y34" s="72">
        <f t="shared" si="18"/>
        <v>0.7265149215599439</v>
      </c>
      <c r="Z34" s="73">
        <f t="shared" si="19"/>
        <v>0.69578983214840928</v>
      </c>
      <c r="AA34" s="295">
        <f t="shared" si="48"/>
        <v>0.39157966429681856</v>
      </c>
      <c r="AB34" s="69">
        <f t="shared" si="20"/>
        <v>0.36855759330903726</v>
      </c>
      <c r="AC34" s="68">
        <f t="shared" si="21"/>
        <v>0.36855759330903726</v>
      </c>
      <c r="AD34" s="68">
        <f t="shared" si="22"/>
        <v>0.39157966429681856</v>
      </c>
      <c r="AE34" s="23">
        <f t="shared" si="23"/>
        <v>0.88140151376459541</v>
      </c>
      <c r="AF34" s="23">
        <f t="shared" si="24"/>
        <v>0.5716283293552924</v>
      </c>
      <c r="AG34" s="23">
        <f t="shared" si="25"/>
        <v>0.88140151376459541</v>
      </c>
      <c r="AH34" s="23">
        <f t="shared" si="26"/>
        <v>0.5716283293552924</v>
      </c>
      <c r="AI34" s="23">
        <f t="shared" si="27"/>
        <v>0.7265149215599439</v>
      </c>
      <c r="AJ34" s="23">
        <f t="shared" si="28"/>
        <v>0.7265149215599439</v>
      </c>
      <c r="AK34" s="289">
        <f t="shared" si="46"/>
        <v>3.3473816661869064E-4</v>
      </c>
      <c r="AL34" s="70">
        <f t="shared" si="29"/>
        <v>5.8</v>
      </c>
      <c r="AM34" s="187">
        <f t="shared" si="35"/>
        <v>0.3</v>
      </c>
      <c r="AN34" s="188">
        <f t="shared" si="41"/>
        <v>8</v>
      </c>
      <c r="AO34" s="71">
        <f t="shared" si="36"/>
        <v>0</v>
      </c>
      <c r="AP34" s="342">
        <f t="shared" si="49"/>
        <v>0</v>
      </c>
      <c r="AQ34" s="343">
        <f t="shared" si="43"/>
        <v>0</v>
      </c>
      <c r="AR34" s="343">
        <f t="shared" si="50"/>
        <v>0</v>
      </c>
    </row>
    <row r="35" spans="1:49" s="74" customFormat="1" ht="15" customHeight="1">
      <c r="A35" s="63">
        <f t="shared" si="39"/>
        <v>0.37000000000000016</v>
      </c>
      <c r="B35" s="64">
        <f t="shared" si="0"/>
        <v>1.3403601941186407</v>
      </c>
      <c r="C35" s="64">
        <f t="shared" si="1"/>
        <v>2.8403601941186407</v>
      </c>
      <c r="D35" s="179">
        <f t="shared" si="2"/>
        <v>-43.571545189504384</v>
      </c>
      <c r="E35" s="64">
        <f t="shared" si="3"/>
        <v>8.2621000000000031E-3</v>
      </c>
      <c r="F35" s="65">
        <f t="shared" si="4"/>
        <v>14799.281774597655</v>
      </c>
      <c r="G35" s="65">
        <f t="shared" si="5"/>
        <v>5405.4054054054031</v>
      </c>
      <c r="H35" s="66">
        <f t="shared" si="6"/>
        <v>108.44446353808878</v>
      </c>
      <c r="I35" s="66">
        <f t="shared" si="7"/>
        <v>115.54444770193514</v>
      </c>
      <c r="J35" s="396">
        <f t="shared" si="8"/>
        <v>4.2713450828787938</v>
      </c>
      <c r="K35" s="248">
        <f t="shared" si="9"/>
        <v>0.26598386569783994</v>
      </c>
      <c r="L35" s="266">
        <f t="shared" si="10"/>
        <v>0</v>
      </c>
      <c r="M35" s="267">
        <f t="shared" si="11"/>
        <v>0</v>
      </c>
      <c r="N35" s="251">
        <f t="shared" si="47"/>
        <v>0</v>
      </c>
      <c r="O35" s="64">
        <f t="shared" si="12"/>
        <v>-0.43614797422903689</v>
      </c>
      <c r="P35" s="64">
        <f t="shared" si="13"/>
        <v>3.674698674153748E-2</v>
      </c>
      <c r="Q35" s="64">
        <f t="shared" si="14"/>
        <v>0.15028466873530871</v>
      </c>
      <c r="R35" s="266">
        <f t="shared" si="44"/>
        <v>0.26725085507163865</v>
      </c>
      <c r="S35" s="64">
        <f t="shared" si="45"/>
        <v>0.86437038467290561</v>
      </c>
      <c r="T35" s="334">
        <f t="shared" si="42"/>
        <v>7.1936111854772884</v>
      </c>
      <c r="U35" s="274">
        <f t="shared" si="40"/>
        <v>7.4595950511751274</v>
      </c>
      <c r="V35" s="164">
        <f t="shared" si="15"/>
        <v>5.8532509913586477</v>
      </c>
      <c r="W35" s="180">
        <f t="shared" si="16"/>
        <v>-1.3936111854772886</v>
      </c>
      <c r="X35" s="414">
        <f t="shared" si="17"/>
        <v>-8.5836736728773566</v>
      </c>
      <c r="Y35" s="72">
        <f t="shared" si="18"/>
        <v>0.71342985556132754</v>
      </c>
      <c r="Z35" s="73">
        <f t="shared" si="19"/>
        <v>0.68699736894358021</v>
      </c>
      <c r="AA35" s="295">
        <f t="shared" si="48"/>
        <v>0.37399473788716042</v>
      </c>
      <c r="AB35" s="69">
        <f t="shared" si="20"/>
        <v>0.35177672806640237</v>
      </c>
      <c r="AC35" s="68">
        <f t="shared" si="21"/>
        <v>0.35177672806640237</v>
      </c>
      <c r="AD35" s="68">
        <f t="shared" si="22"/>
        <v>0.37399473788716042</v>
      </c>
      <c r="AE35" s="23">
        <f t="shared" si="23"/>
        <v>0.86552682676694026</v>
      </c>
      <c r="AF35" s="23">
        <f t="shared" si="24"/>
        <v>0.56133288435571482</v>
      </c>
      <c r="AG35" s="23">
        <f t="shared" si="25"/>
        <v>0.86552682676694026</v>
      </c>
      <c r="AH35" s="23">
        <f t="shared" si="26"/>
        <v>0.56133288435571482</v>
      </c>
      <c r="AI35" s="23">
        <f t="shared" si="27"/>
        <v>0.71342985556132754</v>
      </c>
      <c r="AJ35" s="23">
        <f t="shared" si="28"/>
        <v>0.71342985556132754</v>
      </c>
      <c r="AK35" s="289">
        <f t="shared" si="46"/>
        <v>3.2709179115962534E-4</v>
      </c>
      <c r="AL35" s="70">
        <f t="shared" si="29"/>
        <v>5.8</v>
      </c>
      <c r="AM35" s="187">
        <f t="shared" si="35"/>
        <v>0.3</v>
      </c>
      <c r="AN35" s="188">
        <f t="shared" si="41"/>
        <v>8</v>
      </c>
      <c r="AO35" s="71">
        <f t="shared" si="36"/>
        <v>0</v>
      </c>
      <c r="AP35" s="342">
        <f t="shared" si="49"/>
        <v>0</v>
      </c>
      <c r="AQ35" s="343">
        <f t="shared" si="43"/>
        <v>0</v>
      </c>
      <c r="AR35" s="343">
        <f t="shared" si="50"/>
        <v>0</v>
      </c>
    </row>
    <row r="36" spans="1:49" s="74" customFormat="1" ht="15" customHeight="1">
      <c r="A36" s="63">
        <f t="shared" si="39"/>
        <v>0.38000000000000017</v>
      </c>
      <c r="B36" s="64">
        <f t="shared" si="0"/>
        <v>1.3765861453110364</v>
      </c>
      <c r="C36" s="64">
        <f t="shared" si="1"/>
        <v>2.8765861453110366</v>
      </c>
      <c r="D36" s="179">
        <f t="shared" si="2"/>
        <v>-44.749154518950448</v>
      </c>
      <c r="E36" s="64">
        <f t="shared" si="3"/>
        <v>8.4854000000000041E-3</v>
      </c>
      <c r="F36" s="65">
        <f t="shared" si="4"/>
        <v>14409.826991055614</v>
      </c>
      <c r="G36" s="65">
        <f t="shared" si="5"/>
        <v>5263.1578947368398</v>
      </c>
      <c r="H36" s="66">
        <f t="shared" si="6"/>
        <v>110.67896390508524</v>
      </c>
      <c r="I36" s="66">
        <f t="shared" si="7"/>
        <v>117.64417016488544</v>
      </c>
      <c r="J36" s="396">
        <f t="shared" si="8"/>
        <v>4.4786145110137756</v>
      </c>
      <c r="K36" s="248">
        <f t="shared" si="9"/>
        <v>0.26925891382554656</v>
      </c>
      <c r="L36" s="266">
        <f t="shared" si="10"/>
        <v>0</v>
      </c>
      <c r="M36" s="267">
        <f t="shared" si="11"/>
        <v>0</v>
      </c>
      <c r="N36" s="251">
        <f t="shared" si="47"/>
        <v>0</v>
      </c>
      <c r="O36" s="64">
        <f t="shared" si="12"/>
        <v>-0.44793575731630814</v>
      </c>
      <c r="P36" s="64">
        <f t="shared" si="13"/>
        <v>3.856525136610222E-2</v>
      </c>
      <c r="Q36" s="64">
        <f t="shared" si="14"/>
        <v>0.16612235738819064</v>
      </c>
      <c r="R36" s="266">
        <f t="shared" si="44"/>
        <v>0.28882532930754901</v>
      </c>
      <c r="S36" s="64">
        <f t="shared" si="45"/>
        <v>1.0096468495642077</v>
      </c>
      <c r="T36" s="334">
        <f t="shared" si="42"/>
        <v>7.6197951925847596</v>
      </c>
      <c r="U36" s="274">
        <f t="shared" si="40"/>
        <v>7.8890541064103061</v>
      </c>
      <c r="V36" s="164">
        <f t="shared" si="15"/>
        <v>6.2432090472737229</v>
      </c>
      <c r="W36" s="180">
        <f t="shared" si="16"/>
        <v>-1.8197951925847597</v>
      </c>
      <c r="X36" s="414">
        <f t="shared" si="17"/>
        <v>-8.7299500194041961</v>
      </c>
      <c r="Y36" s="72">
        <f t="shared" si="18"/>
        <v>0.70069650301727904</v>
      </c>
      <c r="Z36" s="73">
        <f t="shared" si="19"/>
        <v>0.67828243341579419</v>
      </c>
      <c r="AA36" s="295">
        <f t="shared" si="48"/>
        <v>0.35656486683158839</v>
      </c>
      <c r="AB36" s="69">
        <f t="shared" si="20"/>
        <v>0.33512949917724599</v>
      </c>
      <c r="AC36" s="68">
        <f t="shared" si="21"/>
        <v>0.33512949917724599</v>
      </c>
      <c r="AD36" s="68">
        <f t="shared" si="22"/>
        <v>0.35656486683158839</v>
      </c>
      <c r="AE36" s="23">
        <f t="shared" si="23"/>
        <v>0.85007883543935048</v>
      </c>
      <c r="AF36" s="23">
        <f t="shared" si="24"/>
        <v>0.55131417059520771</v>
      </c>
      <c r="AG36" s="23">
        <f t="shared" si="25"/>
        <v>0.85007883543935048</v>
      </c>
      <c r="AH36" s="23">
        <f t="shared" si="26"/>
        <v>0.55131417059520771</v>
      </c>
      <c r="AI36" s="23">
        <f t="shared" si="27"/>
        <v>0.70069650301727904</v>
      </c>
      <c r="AJ36" s="23">
        <f t="shared" si="28"/>
        <v>0.70069650301727904</v>
      </c>
      <c r="AK36" s="289">
        <f t="shared" si="46"/>
        <v>3.1975733342509444E-4</v>
      </c>
      <c r="AL36" s="70">
        <f t="shared" si="29"/>
        <v>5.8</v>
      </c>
      <c r="AM36" s="187">
        <f t="shared" si="35"/>
        <v>0.3</v>
      </c>
      <c r="AN36" s="188">
        <f t="shared" si="41"/>
        <v>8</v>
      </c>
      <c r="AO36" s="71">
        <f t="shared" si="36"/>
        <v>0</v>
      </c>
      <c r="AP36" s="342">
        <f t="shared" si="49"/>
        <v>0</v>
      </c>
      <c r="AQ36" s="343">
        <f t="shared" si="43"/>
        <v>0</v>
      </c>
      <c r="AR36" s="343">
        <f t="shared" si="50"/>
        <v>0</v>
      </c>
    </row>
    <row r="37" spans="1:49" s="74" customFormat="1" ht="15" customHeight="1">
      <c r="A37" s="63">
        <f t="shared" si="39"/>
        <v>0.39000000000000018</v>
      </c>
      <c r="B37" s="64">
        <f t="shared" si="0"/>
        <v>1.4128120965034321</v>
      </c>
      <c r="C37" s="64">
        <f t="shared" si="1"/>
        <v>2.9128120965034321</v>
      </c>
      <c r="D37" s="179">
        <f t="shared" si="2"/>
        <v>-45.926763848396519</v>
      </c>
      <c r="E37" s="64">
        <f t="shared" si="3"/>
        <v>8.7087000000000032E-3</v>
      </c>
      <c r="F37" s="65">
        <f t="shared" si="4"/>
        <v>14040.344247695211</v>
      </c>
      <c r="G37" s="65">
        <f t="shared" si="5"/>
        <v>5128.2051282051261</v>
      </c>
      <c r="H37" s="66">
        <f t="shared" si="6"/>
        <v>112.92706171204858</v>
      </c>
      <c r="I37" s="66">
        <f t="shared" si="7"/>
        <v>119.76159229735629</v>
      </c>
      <c r="J37" s="396">
        <f t="shared" si="8"/>
        <v>4.6940938390753484</v>
      </c>
      <c r="K37" s="248">
        <f t="shared" si="9"/>
        <v>0.27302181870435493</v>
      </c>
      <c r="L37" s="266">
        <f t="shared" si="10"/>
        <v>0</v>
      </c>
      <c r="M37" s="267">
        <f t="shared" si="11"/>
        <v>0</v>
      </c>
      <c r="N37" s="251">
        <f t="shared" si="47"/>
        <v>0</v>
      </c>
      <c r="O37" s="64">
        <f t="shared" si="12"/>
        <v>-0.45972354040357949</v>
      </c>
      <c r="P37" s="64">
        <f t="shared" si="13"/>
        <v>4.0412393693654798E-2</v>
      </c>
      <c r="Q37" s="64">
        <f t="shared" si="14"/>
        <v>0.18312268744965082</v>
      </c>
      <c r="R37" s="266">
        <f t="shared" si="44"/>
        <v>0.31368378797931701</v>
      </c>
      <c r="S37" s="64">
        <f t="shared" si="45"/>
        <v>1.1946115620465494</v>
      </c>
      <c r="T37" s="334">
        <f t="shared" si="42"/>
        <v>8.0983239730542973</v>
      </c>
      <c r="U37" s="274">
        <f t="shared" si="40"/>
        <v>8.3713457917586531</v>
      </c>
      <c r="V37" s="164">
        <f t="shared" si="15"/>
        <v>6.6855118765508657</v>
      </c>
      <c r="W37" s="180">
        <f t="shared" si="16"/>
        <v>-2.2983239730542975</v>
      </c>
      <c r="X37" s="414">
        <f t="shared" si="17"/>
        <v>-8.9005171155709917</v>
      </c>
      <c r="Y37" s="72">
        <f t="shared" si="18"/>
        <v>0.68830797130880028</v>
      </c>
      <c r="Z37" s="73">
        <f t="shared" si="19"/>
        <v>0.66965263931561747</v>
      </c>
      <c r="AA37" s="295">
        <f t="shared" si="48"/>
        <v>0.33930527863123494</v>
      </c>
      <c r="AB37" s="69">
        <f t="shared" si="20"/>
        <v>0.31863129908981569</v>
      </c>
      <c r="AC37" s="68">
        <f t="shared" si="21"/>
        <v>0.31863129908981569</v>
      </c>
      <c r="AD37" s="68">
        <f t="shared" si="22"/>
        <v>0.33930527863123494</v>
      </c>
      <c r="AE37" s="23">
        <f t="shared" si="23"/>
        <v>0.8350491777170721</v>
      </c>
      <c r="AF37" s="23">
        <f t="shared" si="24"/>
        <v>0.54156676490052846</v>
      </c>
      <c r="AG37" s="23">
        <f t="shared" si="25"/>
        <v>0.8350491777170721</v>
      </c>
      <c r="AH37" s="23">
        <f t="shared" si="26"/>
        <v>0.54156676490052846</v>
      </c>
      <c r="AI37" s="23">
        <f t="shared" si="27"/>
        <v>0.68830797130880028</v>
      </c>
      <c r="AJ37" s="23">
        <f t="shared" si="28"/>
        <v>0.68830797130880028</v>
      </c>
      <c r="AK37" s="289">
        <f t="shared" si="46"/>
        <v>3.1271812843777736E-4</v>
      </c>
      <c r="AL37" s="70">
        <f t="shared" si="29"/>
        <v>5.8</v>
      </c>
      <c r="AM37" s="187">
        <f t="shared" si="35"/>
        <v>0.3</v>
      </c>
      <c r="AN37" s="188">
        <f t="shared" si="41"/>
        <v>8</v>
      </c>
      <c r="AO37" s="71">
        <f t="shared" si="36"/>
        <v>0</v>
      </c>
      <c r="AP37" s="342">
        <f t="shared" si="49"/>
        <v>0</v>
      </c>
      <c r="AQ37" s="343">
        <f t="shared" si="43"/>
        <v>0</v>
      </c>
      <c r="AR37" s="343">
        <f t="shared" si="50"/>
        <v>0</v>
      </c>
    </row>
    <row r="38" spans="1:49" s="85" customFormat="1" ht="15" customHeight="1">
      <c r="A38" s="75">
        <f t="shared" si="39"/>
        <v>0.40000000000000019</v>
      </c>
      <c r="B38" s="76">
        <f t="shared" si="0"/>
        <v>1.4490380476958278</v>
      </c>
      <c r="C38" s="76">
        <f t="shared" si="1"/>
        <v>2.9490380476958276</v>
      </c>
      <c r="D38" s="181">
        <f t="shared" si="2"/>
        <v>-47.104373177842582</v>
      </c>
      <c r="E38" s="76">
        <f t="shared" si="3"/>
        <v>8.9320000000000042E-3</v>
      </c>
      <c r="F38" s="77">
        <f t="shared" si="4"/>
        <v>13689.335641502832</v>
      </c>
      <c r="G38" s="77">
        <f t="shared" si="5"/>
        <v>4999.9999999999973</v>
      </c>
      <c r="H38" s="78">
        <f t="shared" si="6"/>
        <v>115.18796082709724</v>
      </c>
      <c r="I38" s="78">
        <f t="shared" si="7"/>
        <v>121.89579173288243</v>
      </c>
      <c r="J38" s="397">
        <f t="shared" si="8"/>
        <v>4.9183285008501212</v>
      </c>
      <c r="K38" s="249">
        <f t="shared" si="9"/>
        <v>0.27734784418569802</v>
      </c>
      <c r="L38" s="252">
        <f t="shared" si="10"/>
        <v>0</v>
      </c>
      <c r="M38" s="268">
        <f t="shared" si="11"/>
        <v>0</v>
      </c>
      <c r="N38" s="265">
        <f t="shared" si="47"/>
        <v>0</v>
      </c>
      <c r="O38" s="76">
        <f t="shared" si="12"/>
        <v>-0.47151132349085073</v>
      </c>
      <c r="P38" s="76">
        <f t="shared" si="13"/>
        <v>4.228708534987595E-2</v>
      </c>
      <c r="Q38" s="76">
        <f t="shared" si="14"/>
        <v>0.20133674514953462</v>
      </c>
      <c r="R38" s="252">
        <f>10*LOG10(1/SQRT(1-AK38*(Q/AA38)^2))</f>
        <v>0.34249739850005212</v>
      </c>
      <c r="S38" s="76">
        <f>-10*LOG10(AA38*SQRT(1-Q*Q*((SD_blw^2+AK38)/AA38^2+Vmn+(P38*P38))))-$T$13-J38-L38-Q38-N38-R38-Pmn</f>
        <v>1.4374506762166979</v>
      </c>
      <c r="T38" s="278">
        <f t="shared" si="42"/>
        <v>8.648651368412235</v>
      </c>
      <c r="U38" s="275">
        <f t="shared" si="40"/>
        <v>8.9259992125979331</v>
      </c>
      <c r="V38" s="182">
        <f t="shared" si="15"/>
        <v>7.1996133207164075</v>
      </c>
      <c r="W38" s="183">
        <f t="shared" si="16"/>
        <v>-2.8486513684122352</v>
      </c>
      <c r="X38" s="415">
        <f t="shared" si="17"/>
        <v>-9.1051902920690786</v>
      </c>
      <c r="Y38" s="80">
        <f t="shared" si="18"/>
        <v>0.67625680479228534</v>
      </c>
      <c r="Z38" s="83">
        <f t="shared" si="19"/>
        <v>0.66111543724310762</v>
      </c>
      <c r="AA38" s="294">
        <f t="shared" si="48"/>
        <v>0.32223087448621524</v>
      </c>
      <c r="AB38" s="79">
        <f t="shared" si="20"/>
        <v>0.30229597556329701</v>
      </c>
      <c r="AC38" s="80">
        <f t="shared" si="21"/>
        <v>0.30229597556329701</v>
      </c>
      <c r="AD38" s="80">
        <f t="shared" si="22"/>
        <v>0.32223087448621524</v>
      </c>
      <c r="AE38" s="84">
        <f t="shared" si="23"/>
        <v>0.82042880847884847</v>
      </c>
      <c r="AF38" s="84">
        <f t="shared" si="24"/>
        <v>0.53208480110572232</v>
      </c>
      <c r="AG38" s="84">
        <f t="shared" si="25"/>
        <v>0.82042880847884847</v>
      </c>
      <c r="AH38" s="84">
        <f t="shared" si="26"/>
        <v>0.53208480110572232</v>
      </c>
      <c r="AI38" s="84">
        <f t="shared" si="27"/>
        <v>0.67625680479228534</v>
      </c>
      <c r="AJ38" s="84">
        <f t="shared" si="28"/>
        <v>0.67625680479228534</v>
      </c>
      <c r="AK38" s="364">
        <f t="shared" si="46"/>
        <v>3.0595848276745779E-4</v>
      </c>
      <c r="AL38" s="81">
        <f t="shared" si="29"/>
        <v>5.8</v>
      </c>
      <c r="AM38" s="190">
        <f t="shared" si="35"/>
        <v>0.3</v>
      </c>
      <c r="AN38" s="191">
        <f>ROUNDUP(L6,0)</f>
        <v>8</v>
      </c>
      <c r="AO38" s="82">
        <f t="shared" si="36"/>
        <v>0</v>
      </c>
      <c r="AP38" s="344">
        <f t="shared" si="49"/>
        <v>0</v>
      </c>
      <c r="AQ38" s="341">
        <f>IF($A38=$L$3,B_1*Tb_eff/(SQRT(8)*H38),0)</f>
        <v>0</v>
      </c>
      <c r="AR38" s="341">
        <f>IF($A38=$L$3,B_1*Tb_eff*(1-$G$9)/(SQRT(8)*SQRT($H38^2+$AG$8^2)),0)</f>
        <v>0</v>
      </c>
    </row>
    <row r="39" spans="1:49" s="74" customFormat="1" ht="15" customHeight="1">
      <c r="A39" s="86"/>
      <c r="B39" s="86"/>
      <c r="C39" s="86"/>
      <c r="D39" s="69"/>
      <c r="E39" s="86"/>
      <c r="F39" s="86"/>
      <c r="G39" s="86"/>
      <c r="H39" s="69"/>
      <c r="I39" s="69"/>
      <c r="J39" s="107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0.79359276261531608</v>
      </c>
      <c r="AP39" s="345">
        <f>SUM(AP18:AP38)</f>
        <v>101.43318574881128</v>
      </c>
      <c r="AQ39" s="346">
        <f>SUM(AQ18:AQ38)</f>
        <v>0.79980435243989456</v>
      </c>
      <c r="AR39" s="346">
        <f>SUM(AR18:AR38)</f>
        <v>0.79980435243989456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91" t="s">
        <v>310</v>
      </c>
      <c r="B40" s="86"/>
      <c r="C40" s="207" t="s">
        <v>311</v>
      </c>
      <c r="D40" s="69"/>
      <c r="E40" s="86"/>
      <c r="F40" s="86"/>
      <c r="G40" s="86"/>
      <c r="K40" s="1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86" t="s">
        <v>312</v>
      </c>
      <c r="B41" s="86"/>
      <c r="C41" s="86"/>
      <c r="D41" s="69"/>
      <c r="E41" s="86"/>
      <c r="F41" s="86"/>
      <c r="G41" s="86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51">0.5+(-0.5+Z41)*$Y$44</f>
        <v>-0.29946702198534303</v>
      </c>
      <c r="AB41" s="288">
        <f>MAX(MIN(B_1*Tb_eff*($AA41)/(SQRT(2)*$AG$9),10),-10)</f>
        <v>-0.716562503316857</v>
      </c>
      <c r="AC41" s="288">
        <f>MAX(MIN(B_1*Tb_eff*(1-$AA41)/(SQRT(2)*$AG$9),10),-10)</f>
        <v>3.1093552007108558</v>
      </c>
      <c r="AD41" s="308" t="e">
        <f t="shared" ref="AD41:AD71" si="52">(ERF(AB41)+1)/2</f>
        <v>#NUM!</v>
      </c>
      <c r="AE41" s="308">
        <f t="shared" ref="AE41:AE71" si="53">(ERF(AC41)+1)/2</f>
        <v>0.99999451951539209</v>
      </c>
      <c r="AF41" s="309" t="e">
        <f t="shared" ref="AF41:AF71" si="54">AD41+AE41-1</f>
        <v>#NUM!</v>
      </c>
      <c r="AG41" s="309" t="e">
        <f t="shared" ref="AG41:AG71" si="55">1-AD41</f>
        <v>#NUM!</v>
      </c>
      <c r="AH41" s="309">
        <f t="shared" ref="AH41:AH71" si="56">1-AE41</f>
        <v>5.4804846079115066E-6</v>
      </c>
      <c r="AI41" s="309" t="e">
        <f t="shared" ref="AI41:AI71" si="57">1-AF41</f>
        <v>#NUM!</v>
      </c>
      <c r="AJ41" s="288">
        <f t="shared" ref="AJ41:AJ71" si="58">Z41-1</f>
        <v>-1.25</v>
      </c>
      <c r="AK41" s="288">
        <f t="shared" ref="AK41:AK71" si="59">Z41+1</f>
        <v>0.75</v>
      </c>
      <c r="AL41" s="288">
        <f t="shared" ref="AL41:AL71" si="60">$Z41-$G$9/(2*$Y$44)</f>
        <v>-0.25</v>
      </c>
      <c r="AM41" s="306">
        <f t="shared" ref="AM41:AM71" si="61">$Z41+$G$9/(2*$Y$44)</f>
        <v>-0.25</v>
      </c>
      <c r="AN41" s="288">
        <f>$C$12</f>
        <v>0.3</v>
      </c>
      <c r="AO41" s="316">
        <v>0.5</v>
      </c>
      <c r="AP41" s="307">
        <f>MAX(MIN(B_1*Tb_eff*($AA41)/(SQRT(2)*$AP$39),10),-10)</f>
        <v>-0.48674252922048356</v>
      </c>
      <c r="AQ41" s="288">
        <f t="shared" ref="AQ41:AQ69" si="62">MAX(MIN(B_1*Tb_eff*(1-$AA41)/(SQRT(2)*$AP$39),10),-10)</f>
        <v>2.1121052352492846</v>
      </c>
      <c r="AR41" s="308" t="e">
        <f t="shared" ref="AR41:AR69" si="63">(ERF(AP41)+1)/2</f>
        <v>#NUM!</v>
      </c>
      <c r="AS41" s="308">
        <f t="shared" ref="AS41:AS69" si="64">(ERF(AQ41)+1)/2</f>
        <v>0.99859120329455586</v>
      </c>
      <c r="AT41" s="309" t="e">
        <f t="shared" ref="AT41:AT69" si="65">AR41+AS41-1</f>
        <v>#NUM!</v>
      </c>
      <c r="AU41" s="309" t="e">
        <f t="shared" ref="AU41:AW69" si="66">1-AR41</f>
        <v>#NUM!</v>
      </c>
      <c r="AV41" s="309">
        <f t="shared" si="66"/>
        <v>1.4087967054441375E-3</v>
      </c>
      <c r="AW41" s="328" t="e">
        <f t="shared" si="66"/>
        <v>#NUM!</v>
      </c>
    </row>
    <row r="42" spans="1:49" s="74" customFormat="1" ht="15" customHeight="1">
      <c r="A42" s="69"/>
      <c r="B42" s="92"/>
      <c r="C42" s="93"/>
      <c r="D42" s="93"/>
      <c r="E42" s="93"/>
      <c r="F42" s="86"/>
      <c r="G42" s="86"/>
      <c r="H42" s="93"/>
      <c r="I42" s="93"/>
      <c r="J42" s="93"/>
      <c r="K42" s="93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7">Z41+$Y$42</f>
        <v>-0.2</v>
      </c>
      <c r="AA42" s="288">
        <f t="shared" si="51"/>
        <v>-0.2461692205196534</v>
      </c>
      <c r="AB42" s="288">
        <f t="shared" ref="AB42:AB71" si="68">MAX(MIN(B_1*Tb_eff*($AA42)/(SQRT(2)*$AG$9),10),-10)</f>
        <v>-0.58903191318259951</v>
      </c>
      <c r="AC42" s="288">
        <f>MAX(MIN(B_1*Tb_eff*(1-$AA42)/(SQRT(2)*$AG$9),10),-10)</f>
        <v>2.9818246105765982</v>
      </c>
      <c r="AD42" s="308" t="e">
        <f t="shared" si="52"/>
        <v>#NUM!</v>
      </c>
      <c r="AE42" s="308">
        <f t="shared" si="53"/>
        <v>0.99998761783298873</v>
      </c>
      <c r="AF42" s="309" t="e">
        <f t="shared" si="54"/>
        <v>#NUM!</v>
      </c>
      <c r="AG42" s="309" t="e">
        <f t="shared" si="55"/>
        <v>#NUM!</v>
      </c>
      <c r="AH42" s="309">
        <f t="shared" si="56"/>
        <v>1.238216701127115E-5</v>
      </c>
      <c r="AI42" s="309" t="e">
        <f t="shared" si="57"/>
        <v>#NUM!</v>
      </c>
      <c r="AJ42" s="288">
        <f t="shared" si="58"/>
        <v>-1.2</v>
      </c>
      <c r="AK42" s="288">
        <f t="shared" si="59"/>
        <v>0.8</v>
      </c>
      <c r="AL42" s="288">
        <f t="shared" si="60"/>
        <v>-0.2</v>
      </c>
      <c r="AM42" s="306">
        <f t="shared" si="61"/>
        <v>-0.2</v>
      </c>
      <c r="AN42" s="288">
        <f>$C$13</f>
        <v>0.4</v>
      </c>
      <c r="AO42" s="316">
        <f>$C$14</f>
        <v>0.25</v>
      </c>
      <c r="AP42" s="307">
        <f t="shared" ref="AP42:AP69" si="69">MAX(MIN(B_1*Tb_eff*($AA42)/(SQRT(2)*$AP$39),10),-10)</f>
        <v>-0.40011427040482445</v>
      </c>
      <c r="AQ42" s="288">
        <f t="shared" si="62"/>
        <v>2.0254769764336249</v>
      </c>
      <c r="AR42" s="308" t="e">
        <f t="shared" si="63"/>
        <v>#NUM!</v>
      </c>
      <c r="AS42" s="308">
        <f t="shared" si="64"/>
        <v>0.99791137564427623</v>
      </c>
      <c r="AT42" s="309" t="e">
        <f t="shared" si="65"/>
        <v>#NUM!</v>
      </c>
      <c r="AU42" s="309" t="e">
        <f t="shared" si="66"/>
        <v>#NUM!</v>
      </c>
      <c r="AV42" s="309">
        <f t="shared" si="66"/>
        <v>2.0886243557237671E-3</v>
      </c>
      <c r="AW42" s="328" t="e">
        <f t="shared" si="66"/>
        <v>#NUM!</v>
      </c>
    </row>
    <row r="43" spans="1:49" s="74" customFormat="1" ht="15" customHeight="1">
      <c r="A43" s="86"/>
      <c r="B43" s="93" t="s">
        <v>379</v>
      </c>
      <c r="C43" s="86"/>
      <c r="D43" s="69"/>
      <c r="E43" s="86"/>
      <c r="F43" s="86"/>
      <c r="G43" s="86"/>
      <c r="H43" s="69"/>
      <c r="I43" s="69"/>
      <c r="J43" s="69"/>
      <c r="K43" s="69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7"/>
        <v>-0.15000000000000002</v>
      </c>
      <c r="AA43" s="288">
        <f t="shared" si="51"/>
        <v>-0.19287141905396399</v>
      </c>
      <c r="AB43" s="288">
        <f t="shared" si="68"/>
        <v>-0.46150132304834279</v>
      </c>
      <c r="AC43" s="288">
        <f t="shared" ref="AC43:AC71" si="70">MAX(MIN(B_1*Tb_eff*(1-$AA43)/(SQRT(2)*$AG$9),10),-10)</f>
        <v>2.8542940204423415</v>
      </c>
      <c r="AD43" s="308" t="e">
        <f t="shared" si="52"/>
        <v>#NUM!</v>
      </c>
      <c r="AE43" s="308">
        <f t="shared" si="53"/>
        <v>0.99997288213314928</v>
      </c>
      <c r="AF43" s="309" t="e">
        <f t="shared" si="54"/>
        <v>#NUM!</v>
      </c>
      <c r="AG43" s="309" t="e">
        <f t="shared" si="55"/>
        <v>#NUM!</v>
      </c>
      <c r="AH43" s="309">
        <f t="shared" si="56"/>
        <v>2.711786685072326E-5</v>
      </c>
      <c r="AI43" s="309" t="e">
        <f t="shared" si="57"/>
        <v>#NUM!</v>
      </c>
      <c r="AJ43" s="288">
        <f t="shared" si="58"/>
        <v>-1.1499999999999999</v>
      </c>
      <c r="AK43" s="288">
        <f t="shared" si="59"/>
        <v>0.85</v>
      </c>
      <c r="AL43" s="288">
        <f t="shared" si="60"/>
        <v>-0.15000000000000002</v>
      </c>
      <c r="AM43" s="306">
        <f t="shared" si="61"/>
        <v>-0.15000000000000002</v>
      </c>
      <c r="AN43" s="288">
        <f>1-AN42</f>
        <v>0.6</v>
      </c>
      <c r="AO43" s="316">
        <f>$C$14</f>
        <v>0.25</v>
      </c>
      <c r="AP43" s="307">
        <f t="shared" si="69"/>
        <v>-0.31348601158916573</v>
      </c>
      <c r="AQ43" s="288">
        <f t="shared" si="62"/>
        <v>1.9388487176179665</v>
      </c>
      <c r="AR43" s="308" t="e">
        <f t="shared" si="63"/>
        <v>#NUM!</v>
      </c>
      <c r="AS43" s="308">
        <f t="shared" si="64"/>
        <v>0.9969461820626524</v>
      </c>
      <c r="AT43" s="309" t="e">
        <f t="shared" si="65"/>
        <v>#NUM!</v>
      </c>
      <c r="AU43" s="309" t="e">
        <f t="shared" si="66"/>
        <v>#NUM!</v>
      </c>
      <c r="AV43" s="309">
        <f t="shared" si="66"/>
        <v>3.0538179373476027E-3</v>
      </c>
      <c r="AW43" s="328" t="e">
        <f t="shared" si="66"/>
        <v>#NUM!</v>
      </c>
    </row>
    <row r="44" spans="1:49" s="74" customFormat="1" ht="15" customHeight="1">
      <c r="A44" s="86"/>
      <c r="B44" s="93" t="s">
        <v>61</v>
      </c>
      <c r="C44" s="86"/>
      <c r="D44" s="69"/>
      <c r="E44" s="86"/>
      <c r="F44" s="86"/>
      <c r="G44" s="86"/>
      <c r="H44" s="69"/>
      <c r="I44" s="69"/>
      <c r="J44" s="69"/>
      <c r="K44" s="69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1.0659560293137906</v>
      </c>
      <c r="Z44" s="288">
        <f t="shared" si="67"/>
        <v>-0.10000000000000002</v>
      </c>
      <c r="AA44" s="288">
        <f t="shared" si="51"/>
        <v>-0.13957361758827436</v>
      </c>
      <c r="AB44" s="288">
        <f t="shared" si="68"/>
        <v>-0.33397073291408547</v>
      </c>
      <c r="AC44" s="288">
        <f t="shared" si="70"/>
        <v>2.7267634303080839</v>
      </c>
      <c r="AD44" s="308" t="e">
        <f t="shared" si="52"/>
        <v>#NUM!</v>
      </c>
      <c r="AE44" s="308">
        <f t="shared" si="53"/>
        <v>0.99994242444000903</v>
      </c>
      <c r="AF44" s="309" t="e">
        <f t="shared" si="54"/>
        <v>#NUM!</v>
      </c>
      <c r="AG44" s="309" t="e">
        <f t="shared" si="55"/>
        <v>#NUM!</v>
      </c>
      <c r="AH44" s="309">
        <f t="shared" si="56"/>
        <v>5.7575559990974412E-5</v>
      </c>
      <c r="AI44" s="309" t="e">
        <f t="shared" si="57"/>
        <v>#NUM!</v>
      </c>
      <c r="AJ44" s="288">
        <f t="shared" si="58"/>
        <v>-1.1000000000000001</v>
      </c>
      <c r="AK44" s="288">
        <f t="shared" si="59"/>
        <v>0.9</v>
      </c>
      <c r="AL44" s="288">
        <f t="shared" si="60"/>
        <v>-0.10000000000000002</v>
      </c>
      <c r="AM44" s="306">
        <f t="shared" si="61"/>
        <v>-0.10000000000000002</v>
      </c>
      <c r="AN44" s="288">
        <f>1-AN41</f>
        <v>0.7</v>
      </c>
      <c r="AO44" s="316">
        <v>0.5</v>
      </c>
      <c r="AP44" s="307">
        <f t="shared" si="69"/>
        <v>-0.22685775277350664</v>
      </c>
      <c r="AQ44" s="288">
        <f t="shared" si="62"/>
        <v>1.852220458802307</v>
      </c>
      <c r="AR44" s="308" t="e">
        <f t="shared" si="63"/>
        <v>#NUM!</v>
      </c>
      <c r="AS44" s="308">
        <f t="shared" si="64"/>
        <v>0.9955962257823896</v>
      </c>
      <c r="AT44" s="309" t="e">
        <f t="shared" si="65"/>
        <v>#NUM!</v>
      </c>
      <c r="AU44" s="309" t="e">
        <f t="shared" si="66"/>
        <v>#NUM!</v>
      </c>
      <c r="AV44" s="309">
        <f t="shared" si="66"/>
        <v>4.4037742176104011E-3</v>
      </c>
      <c r="AW44" s="328" t="e">
        <f t="shared" si="66"/>
        <v>#NUM!</v>
      </c>
    </row>
    <row r="45" spans="1:49" s="74" customFormat="1" ht="15" customHeight="1">
      <c r="A45" s="86"/>
      <c r="B45" s="86"/>
      <c r="C45" s="86"/>
      <c r="D45" s="69"/>
      <c r="E45" s="86"/>
      <c r="G45" s="86"/>
      <c r="H45" s="69"/>
      <c r="I45" s="69"/>
      <c r="J45" s="69"/>
      <c r="K45" s="69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7"/>
        <v>-5.0000000000000017E-2</v>
      </c>
      <c r="AA45" s="288">
        <f t="shared" si="51"/>
        <v>-8.6275816122584947E-2</v>
      </c>
      <c r="AB45" s="288">
        <f t="shared" si="68"/>
        <v>-0.20644014277982867</v>
      </c>
      <c r="AC45" s="288">
        <f t="shared" si="70"/>
        <v>2.5992328401738276</v>
      </c>
      <c r="AD45" s="308" t="e">
        <f t="shared" si="52"/>
        <v>#NUM!</v>
      </c>
      <c r="AE45" s="308">
        <f t="shared" si="53"/>
        <v>0.99988148004343136</v>
      </c>
      <c r="AF45" s="309" t="e">
        <f t="shared" si="54"/>
        <v>#NUM!</v>
      </c>
      <c r="AG45" s="309" t="e">
        <f t="shared" si="55"/>
        <v>#NUM!</v>
      </c>
      <c r="AH45" s="309">
        <f t="shared" si="56"/>
        <v>1.1851995656864123E-4</v>
      </c>
      <c r="AI45" s="309" t="e">
        <f t="shared" si="57"/>
        <v>#NUM!</v>
      </c>
      <c r="AJ45" s="288">
        <f t="shared" si="58"/>
        <v>-1.05</v>
      </c>
      <c r="AK45" s="288">
        <f t="shared" si="59"/>
        <v>0.95</v>
      </c>
      <c r="AL45" s="288">
        <f t="shared" si="60"/>
        <v>-5.0000000000000017E-2</v>
      </c>
      <c r="AM45" s="306">
        <f t="shared" si="61"/>
        <v>-5.0000000000000017E-2</v>
      </c>
      <c r="AN45" s="288">
        <f>AN43</f>
        <v>0.6</v>
      </c>
      <c r="AO45" s="316">
        <f>1-$C$14</f>
        <v>0.75</v>
      </c>
      <c r="AP45" s="307">
        <f t="shared" si="69"/>
        <v>-0.14022949395784789</v>
      </c>
      <c r="AQ45" s="288">
        <f t="shared" si="62"/>
        <v>1.7655921999866486</v>
      </c>
      <c r="AR45" s="308" t="e">
        <f t="shared" si="63"/>
        <v>#NUM!</v>
      </c>
      <c r="AS45" s="308">
        <f t="shared" si="64"/>
        <v>0.99373621692476388</v>
      </c>
      <c r="AT45" s="309" t="e">
        <f t="shared" si="65"/>
        <v>#NUM!</v>
      </c>
      <c r="AU45" s="309" t="e">
        <f t="shared" si="66"/>
        <v>#NUM!</v>
      </c>
      <c r="AV45" s="309">
        <f t="shared" si="66"/>
        <v>6.2637830752361179E-3</v>
      </c>
      <c r="AW45" s="328" t="e">
        <f t="shared" si="66"/>
        <v>#NUM!</v>
      </c>
    </row>
    <row r="46" spans="1:49" s="74" customFormat="1" ht="15" customHeight="1">
      <c r="A46" s="86"/>
      <c r="D46" s="69"/>
      <c r="E46" s="86"/>
      <c r="F46" s="86"/>
      <c r="G46" s="86"/>
      <c r="H46" s="69"/>
      <c r="I46" s="69"/>
      <c r="J46" s="69"/>
      <c r="K46" s="69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7"/>
        <v>0</v>
      </c>
      <c r="AA46" s="288">
        <f t="shared" si="51"/>
        <v>-3.2978014656895316E-2</v>
      </c>
      <c r="AB46" s="288">
        <f t="shared" si="68"/>
        <v>-7.8909552645571382E-2</v>
      </c>
      <c r="AC46" s="288">
        <f t="shared" si="70"/>
        <v>2.47170225003957</v>
      </c>
      <c r="AD46" s="308" t="e">
        <f t="shared" si="52"/>
        <v>#NUM!</v>
      </c>
      <c r="AE46" s="308">
        <f t="shared" si="53"/>
        <v>0.9997634259302588</v>
      </c>
      <c r="AF46" s="309" t="e">
        <f t="shared" si="54"/>
        <v>#NUM!</v>
      </c>
      <c r="AG46" s="309" t="e">
        <f t="shared" si="55"/>
        <v>#NUM!</v>
      </c>
      <c r="AH46" s="309">
        <f t="shared" si="56"/>
        <v>2.3657406974120221E-4</v>
      </c>
      <c r="AI46" s="309" t="e">
        <f t="shared" si="57"/>
        <v>#NUM!</v>
      </c>
      <c r="AJ46" s="288">
        <f t="shared" si="58"/>
        <v>-1</v>
      </c>
      <c r="AK46" s="288">
        <f t="shared" si="59"/>
        <v>1</v>
      </c>
      <c r="AL46" s="288">
        <f t="shared" si="60"/>
        <v>0</v>
      </c>
      <c r="AM46" s="306">
        <f t="shared" si="61"/>
        <v>0</v>
      </c>
      <c r="AN46" s="288">
        <f>AN42</f>
        <v>0.4</v>
      </c>
      <c r="AO46" s="316">
        <f>AO45</f>
        <v>0.75</v>
      </c>
      <c r="AP46" s="307">
        <f t="shared" si="69"/>
        <v>-5.3601235142188827E-2</v>
      </c>
      <c r="AQ46" s="288">
        <f t="shared" si="62"/>
        <v>1.6789639411709896</v>
      </c>
      <c r="AR46" s="308" t="e">
        <f t="shared" si="63"/>
        <v>#NUM!</v>
      </c>
      <c r="AS46" s="308">
        <f t="shared" si="64"/>
        <v>0.99121157418174166</v>
      </c>
      <c r="AT46" s="309" t="e">
        <f t="shared" si="65"/>
        <v>#NUM!</v>
      </c>
      <c r="AU46" s="309" t="e">
        <f t="shared" si="66"/>
        <v>#NUM!</v>
      </c>
      <c r="AV46" s="309">
        <f t="shared" si="66"/>
        <v>8.7884258182583386E-3</v>
      </c>
      <c r="AW46" s="328" t="e">
        <f t="shared" si="66"/>
        <v>#NUM!</v>
      </c>
    </row>
    <row r="47" spans="1:49" s="74" customFormat="1" ht="15" customHeight="1">
      <c r="A47" s="94"/>
      <c r="B47" s="86"/>
      <c r="D47" s="95"/>
      <c r="E47" s="86"/>
      <c r="F47" s="86"/>
      <c r="G47" s="94"/>
      <c r="H47" s="69"/>
      <c r="I47" s="69"/>
      <c r="J47" s="69"/>
      <c r="K47" s="69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7"/>
        <v>0.05</v>
      </c>
      <c r="AA47" s="288">
        <f t="shared" si="51"/>
        <v>2.0319786808794205E-2</v>
      </c>
      <c r="AB47" s="288">
        <f t="shared" si="68"/>
        <v>4.8621037488685681E-2</v>
      </c>
      <c r="AC47" s="288">
        <f t="shared" si="70"/>
        <v>2.3441716599053133</v>
      </c>
      <c r="AD47" s="308">
        <f t="shared" si="52"/>
        <v>0.52740988215526796</v>
      </c>
      <c r="AE47" s="308">
        <f t="shared" si="53"/>
        <v>0.99954204550815406</v>
      </c>
      <c r="AF47" s="309">
        <f t="shared" si="54"/>
        <v>0.52695192766342203</v>
      </c>
      <c r="AG47" s="309">
        <f t="shared" si="55"/>
        <v>0.47259011784473204</v>
      </c>
      <c r="AH47" s="309">
        <f t="shared" si="56"/>
        <v>4.5795449184593551E-4</v>
      </c>
      <c r="AI47" s="309">
        <f t="shared" si="57"/>
        <v>0.47304807233657797</v>
      </c>
      <c r="AJ47" s="288">
        <f t="shared" si="58"/>
        <v>-0.95</v>
      </c>
      <c r="AK47" s="288">
        <f t="shared" si="59"/>
        <v>1.05</v>
      </c>
      <c r="AL47" s="288">
        <f t="shared" si="60"/>
        <v>0.05</v>
      </c>
      <c r="AM47" s="306">
        <f t="shared" si="61"/>
        <v>0.05</v>
      </c>
      <c r="AN47" s="312">
        <f>AN41</f>
        <v>0.3</v>
      </c>
      <c r="AO47" s="317">
        <v>0.5</v>
      </c>
      <c r="AP47" s="307">
        <f t="shared" si="69"/>
        <v>3.3027023673470081E-2</v>
      </c>
      <c r="AQ47" s="288">
        <f t="shared" si="62"/>
        <v>1.5923356823553307</v>
      </c>
      <c r="AR47" s="308">
        <f t="shared" si="63"/>
        <v>0.518626729903373</v>
      </c>
      <c r="AS47" s="308">
        <f t="shared" si="64"/>
        <v>0.98783578796747085</v>
      </c>
      <c r="AT47" s="309">
        <f t="shared" si="65"/>
        <v>0.50646251787084395</v>
      </c>
      <c r="AU47" s="309">
        <f t="shared" si="66"/>
        <v>0.481373270096627</v>
      </c>
      <c r="AV47" s="309">
        <f t="shared" si="66"/>
        <v>1.2164212032529154E-2</v>
      </c>
      <c r="AW47" s="328">
        <f t="shared" si="66"/>
        <v>0.49353748212915605</v>
      </c>
    </row>
    <row r="48" spans="1:49" s="74" customFormat="1" ht="15" customHeight="1">
      <c r="A48" s="94"/>
      <c r="B48" s="86"/>
      <c r="D48" s="95"/>
      <c r="E48" s="86"/>
      <c r="F48" s="86"/>
      <c r="G48" s="94"/>
      <c r="H48" s="69"/>
      <c r="I48" s="69"/>
      <c r="J48" s="69"/>
      <c r="K48" s="69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7"/>
        <v>0.1</v>
      </c>
      <c r="AA48" s="288">
        <f t="shared" si="51"/>
        <v>7.3617588274483725E-2</v>
      </c>
      <c r="AB48" s="288">
        <f t="shared" si="68"/>
        <v>0.17615162762294273</v>
      </c>
      <c r="AC48" s="288">
        <f t="shared" si="70"/>
        <v>2.2166410697710561</v>
      </c>
      <c r="AD48" s="308">
        <f t="shared" si="52"/>
        <v>0.59836448137555576</v>
      </c>
      <c r="AE48" s="308">
        <f t="shared" si="53"/>
        <v>0.99914015470804618</v>
      </c>
      <c r="AF48" s="309">
        <f t="shared" si="54"/>
        <v>0.59750463608360205</v>
      </c>
      <c r="AG48" s="309">
        <f t="shared" si="55"/>
        <v>0.40163551862444424</v>
      </c>
      <c r="AH48" s="309">
        <f t="shared" si="56"/>
        <v>8.598452919538202E-4</v>
      </c>
      <c r="AI48" s="309">
        <f t="shared" si="57"/>
        <v>0.40249536391639795</v>
      </c>
      <c r="AJ48" s="288">
        <f t="shared" si="58"/>
        <v>-0.9</v>
      </c>
      <c r="AK48" s="288">
        <f t="shared" si="59"/>
        <v>1.1000000000000001</v>
      </c>
      <c r="AL48" s="288">
        <f t="shared" si="60"/>
        <v>0.1</v>
      </c>
      <c r="AM48" s="306">
        <f t="shared" si="61"/>
        <v>0.1</v>
      </c>
      <c r="AP48" s="307">
        <f t="shared" si="69"/>
        <v>0.11965528248912898</v>
      </c>
      <c r="AQ48" s="288">
        <f t="shared" si="62"/>
        <v>1.5057074235396717</v>
      </c>
      <c r="AR48" s="308">
        <f t="shared" si="63"/>
        <v>0.56718746243744389</v>
      </c>
      <c r="AS48" s="308">
        <f t="shared" si="64"/>
        <v>0.98338907106327311</v>
      </c>
      <c r="AT48" s="309">
        <f t="shared" si="65"/>
        <v>0.55057653350071689</v>
      </c>
      <c r="AU48" s="309">
        <f t="shared" si="66"/>
        <v>0.43281253756255611</v>
      </c>
      <c r="AV48" s="309">
        <f t="shared" si="66"/>
        <v>1.6610928936726888E-2</v>
      </c>
      <c r="AW48" s="328">
        <f t="shared" si="66"/>
        <v>0.44942346649928311</v>
      </c>
    </row>
    <row r="49" spans="1:49" s="74" customFormat="1" ht="15" customHeight="1">
      <c r="A49" s="94"/>
      <c r="B49" s="86"/>
      <c r="D49" s="95"/>
      <c r="E49" s="86"/>
      <c r="F49" s="86"/>
      <c r="G49" s="94"/>
      <c r="H49" s="69"/>
      <c r="I49" s="69"/>
      <c r="J49" s="69"/>
      <c r="K49" s="69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7"/>
        <v>0.15000000000000002</v>
      </c>
      <c r="AA49" s="288">
        <f t="shared" si="51"/>
        <v>0.1269153897401733</v>
      </c>
      <c r="AB49" s="288">
        <f t="shared" si="68"/>
        <v>0.30368221775719995</v>
      </c>
      <c r="AC49" s="288">
        <f t="shared" si="70"/>
        <v>2.089110479636799</v>
      </c>
      <c r="AD49" s="308">
        <f t="shared" si="52"/>
        <v>0.66620993887852009</v>
      </c>
      <c r="AE49" s="308">
        <f t="shared" si="53"/>
        <v>0.99843385717458921</v>
      </c>
      <c r="AF49" s="309">
        <f t="shared" si="54"/>
        <v>0.6646437960531093</v>
      </c>
      <c r="AG49" s="309">
        <f t="shared" si="55"/>
        <v>0.33379006112147991</v>
      </c>
      <c r="AH49" s="309">
        <f t="shared" si="56"/>
        <v>1.5661428254107879E-3</v>
      </c>
      <c r="AI49" s="309">
        <f t="shared" si="57"/>
        <v>0.3353562039468907</v>
      </c>
      <c r="AJ49" s="288">
        <f t="shared" si="58"/>
        <v>-0.85</v>
      </c>
      <c r="AK49" s="288">
        <f t="shared" si="59"/>
        <v>1.1499999999999999</v>
      </c>
      <c r="AL49" s="288">
        <f t="shared" si="60"/>
        <v>0.15000000000000002</v>
      </c>
      <c r="AM49" s="306">
        <f t="shared" si="61"/>
        <v>0.15000000000000002</v>
      </c>
      <c r="AP49" s="307">
        <f t="shared" si="69"/>
        <v>0.20628354130478799</v>
      </c>
      <c r="AQ49" s="288">
        <f t="shared" si="62"/>
        <v>1.4190791647240129</v>
      </c>
      <c r="AR49" s="308">
        <f t="shared" si="63"/>
        <v>0.61475307577064786</v>
      </c>
      <c r="AS49" s="308">
        <f t="shared" si="64"/>
        <v>0.97761882926802957</v>
      </c>
      <c r="AT49" s="309">
        <f t="shared" si="65"/>
        <v>0.59237190503867732</v>
      </c>
      <c r="AU49" s="309">
        <f t="shared" si="66"/>
        <v>0.38524692422935214</v>
      </c>
      <c r="AV49" s="309">
        <f t="shared" si="66"/>
        <v>2.2381170731970434E-2</v>
      </c>
      <c r="AW49" s="328">
        <f t="shared" si="66"/>
        <v>0.40762809496132268</v>
      </c>
    </row>
    <row r="50" spans="1:49" s="74" customFormat="1" ht="15" customHeight="1">
      <c r="A50" s="94"/>
      <c r="B50" s="86"/>
      <c r="C50" s="86"/>
      <c r="D50" s="95"/>
      <c r="E50" s="86"/>
      <c r="F50" s="86"/>
      <c r="G50" s="94"/>
      <c r="H50" s="69"/>
      <c r="I50" s="69"/>
      <c r="J50" s="69"/>
      <c r="K50" s="69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7"/>
        <v>0.2</v>
      </c>
      <c r="AA50" s="288">
        <f t="shared" si="51"/>
        <v>0.18021319120586282</v>
      </c>
      <c r="AB50" s="288">
        <f t="shared" si="68"/>
        <v>0.431212807891457</v>
      </c>
      <c r="AC50" s="288">
        <f t="shared" si="70"/>
        <v>1.9615798895025416</v>
      </c>
      <c r="AD50" s="308">
        <f t="shared" si="52"/>
        <v>0.7290117933328587</v>
      </c>
      <c r="AE50" s="308">
        <f t="shared" si="53"/>
        <v>0.99723220624680575</v>
      </c>
      <c r="AF50" s="309">
        <f t="shared" si="54"/>
        <v>0.72624399957966457</v>
      </c>
      <c r="AG50" s="309">
        <f t="shared" si="55"/>
        <v>0.2709882066671413</v>
      </c>
      <c r="AH50" s="309">
        <f t="shared" si="56"/>
        <v>2.7677937531942476E-3</v>
      </c>
      <c r="AI50" s="309">
        <f t="shared" si="57"/>
        <v>0.27375600042033543</v>
      </c>
      <c r="AJ50" s="288">
        <f t="shared" si="58"/>
        <v>-0.8</v>
      </c>
      <c r="AK50" s="288">
        <f t="shared" si="59"/>
        <v>1.2</v>
      </c>
      <c r="AL50" s="288">
        <f t="shared" si="60"/>
        <v>0.2</v>
      </c>
      <c r="AM50" s="306">
        <f t="shared" si="61"/>
        <v>0.2</v>
      </c>
      <c r="AP50" s="307">
        <f t="shared" si="69"/>
        <v>0.29291180012044693</v>
      </c>
      <c r="AQ50" s="288">
        <f t="shared" si="62"/>
        <v>1.3324509059083538</v>
      </c>
      <c r="AR50" s="308">
        <f t="shared" si="63"/>
        <v>0.6606507663569996</v>
      </c>
      <c r="AS50" s="308">
        <f t="shared" si="64"/>
        <v>0.97024253233698965</v>
      </c>
      <c r="AT50" s="309">
        <f t="shared" si="65"/>
        <v>0.63089329869398925</v>
      </c>
      <c r="AU50" s="309">
        <f t="shared" si="66"/>
        <v>0.3393492336430004</v>
      </c>
      <c r="AV50" s="309">
        <f t="shared" si="66"/>
        <v>2.9757467663010351E-2</v>
      </c>
      <c r="AW50" s="328">
        <f t="shared" si="66"/>
        <v>0.36910670130601075</v>
      </c>
    </row>
    <row r="51" spans="1:49" s="74" customFormat="1" ht="15" customHeight="1">
      <c r="A51" s="94"/>
      <c r="B51" s="86"/>
      <c r="C51" s="86"/>
      <c r="D51" s="95"/>
      <c r="E51" s="86"/>
      <c r="F51" s="86"/>
      <c r="G51" s="94"/>
      <c r="H51" s="69"/>
      <c r="I51" s="69"/>
      <c r="J51" s="69"/>
      <c r="K51" s="69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7"/>
        <v>0.25</v>
      </c>
      <c r="AA51" s="288">
        <f t="shared" si="51"/>
        <v>0.23351099267155234</v>
      </c>
      <c r="AB51" s="288">
        <f t="shared" si="68"/>
        <v>0.55874339802571404</v>
      </c>
      <c r="AC51" s="288">
        <f t="shared" si="70"/>
        <v>1.8340492993682846</v>
      </c>
      <c r="AD51" s="308">
        <f t="shared" si="52"/>
        <v>0.785289399987668</v>
      </c>
      <c r="AE51" s="308">
        <f t="shared" si="53"/>
        <v>0.99525305115854923</v>
      </c>
      <c r="AF51" s="309">
        <f t="shared" si="54"/>
        <v>0.78054245114621734</v>
      </c>
      <c r="AG51" s="309">
        <f t="shared" si="55"/>
        <v>0.214710600012332</v>
      </c>
      <c r="AH51" s="309">
        <f t="shared" si="56"/>
        <v>4.746948841450771E-3</v>
      </c>
      <c r="AI51" s="309">
        <f t="shared" si="57"/>
        <v>0.21945754885378266</v>
      </c>
      <c r="AJ51" s="288">
        <f t="shared" si="58"/>
        <v>-0.75</v>
      </c>
      <c r="AK51" s="288">
        <f t="shared" si="59"/>
        <v>1.25</v>
      </c>
      <c r="AL51" s="288">
        <f t="shared" si="60"/>
        <v>0.25</v>
      </c>
      <c r="AM51" s="306">
        <f t="shared" si="61"/>
        <v>0.25</v>
      </c>
      <c r="AP51" s="307">
        <f t="shared" si="69"/>
        <v>0.37954005893610582</v>
      </c>
      <c r="AQ51" s="288">
        <f t="shared" si="62"/>
        <v>1.245822647092695</v>
      </c>
      <c r="AR51" s="308">
        <f t="shared" si="63"/>
        <v>0.70428008387320362</v>
      </c>
      <c r="AS51" s="308">
        <f t="shared" si="64"/>
        <v>0.9609534536820874</v>
      </c>
      <c r="AT51" s="309">
        <f t="shared" si="65"/>
        <v>0.66523353755529113</v>
      </c>
      <c r="AU51" s="309">
        <f t="shared" si="66"/>
        <v>0.29571991612679638</v>
      </c>
      <c r="AV51" s="309">
        <f t="shared" si="66"/>
        <v>3.90465463179126E-2</v>
      </c>
      <c r="AW51" s="328">
        <f t="shared" si="66"/>
        <v>0.33476646244470887</v>
      </c>
    </row>
    <row r="52" spans="1:49" s="74" customFormat="1" ht="15" customHeight="1">
      <c r="A52" s="97"/>
      <c r="B52" s="86"/>
      <c r="C52" s="86"/>
      <c r="D52" s="95"/>
      <c r="E52" s="86"/>
      <c r="F52" s="86"/>
      <c r="G52" s="94"/>
      <c r="H52" s="69"/>
      <c r="I52" s="69"/>
      <c r="J52" s="69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7"/>
        <v>0.3</v>
      </c>
      <c r="AA52" s="288">
        <f t="shared" si="51"/>
        <v>0.28680879413724186</v>
      </c>
      <c r="AB52" s="288">
        <f t="shared" si="68"/>
        <v>0.68627398815997109</v>
      </c>
      <c r="AC52" s="288">
        <f t="shared" si="70"/>
        <v>1.7065187092340275</v>
      </c>
      <c r="AD52" s="308">
        <f t="shared" si="52"/>
        <v>0.83411079423787449</v>
      </c>
      <c r="AE52" s="308">
        <f t="shared" si="53"/>
        <v>0.99209737509157336</v>
      </c>
      <c r="AF52" s="309">
        <f t="shared" si="54"/>
        <v>0.82620816932944785</v>
      </c>
      <c r="AG52" s="309">
        <f t="shared" si="55"/>
        <v>0.16588920576212551</v>
      </c>
      <c r="AH52" s="309">
        <f t="shared" si="56"/>
        <v>7.9026249084266365E-3</v>
      </c>
      <c r="AI52" s="309">
        <f t="shared" si="57"/>
        <v>0.17379183067055215</v>
      </c>
      <c r="AJ52" s="288">
        <f t="shared" si="58"/>
        <v>-0.7</v>
      </c>
      <c r="AK52" s="288">
        <f t="shared" si="59"/>
        <v>1.3</v>
      </c>
      <c r="AL52" s="288">
        <f t="shared" si="60"/>
        <v>0.3</v>
      </c>
      <c r="AM52" s="306">
        <f t="shared" si="61"/>
        <v>0.3</v>
      </c>
      <c r="AP52" s="307">
        <f t="shared" si="69"/>
        <v>0.46616831775176476</v>
      </c>
      <c r="AQ52" s="288">
        <f t="shared" si="62"/>
        <v>1.1591943882770359</v>
      </c>
      <c r="AR52" s="308">
        <f t="shared" si="63"/>
        <v>0.74513608774282458</v>
      </c>
      <c r="AS52" s="308">
        <f t="shared" si="64"/>
        <v>0.94942962468032288</v>
      </c>
      <c r="AT52" s="309">
        <f t="shared" si="65"/>
        <v>0.69456571242314746</v>
      </c>
      <c r="AU52" s="309">
        <f t="shared" si="66"/>
        <v>0.25486391225717542</v>
      </c>
      <c r="AV52" s="309">
        <f t="shared" si="66"/>
        <v>5.0570375319677119E-2</v>
      </c>
      <c r="AW52" s="328">
        <f t="shared" si="66"/>
        <v>0.30543428757685254</v>
      </c>
    </row>
    <row r="53" spans="1:49" s="74" customFormat="1" ht="1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69"/>
      <c r="P53" s="69"/>
      <c r="R53" s="206"/>
      <c r="T53" s="89"/>
      <c r="U53" s="89"/>
      <c r="X53" s="96"/>
      <c r="Y53" s="310"/>
      <c r="Z53" s="288">
        <f t="shared" si="67"/>
        <v>0.35</v>
      </c>
      <c r="AA53" s="288">
        <f t="shared" si="51"/>
        <v>0.34010659560293138</v>
      </c>
      <c r="AB53" s="288">
        <f t="shared" si="68"/>
        <v>0.81380457829422814</v>
      </c>
      <c r="AC53" s="288">
        <f t="shared" si="70"/>
        <v>1.5789881190997708</v>
      </c>
      <c r="AD53" s="308">
        <f t="shared" si="52"/>
        <v>0.87511187713763339</v>
      </c>
      <c r="AE53" s="308">
        <f t="shared" si="53"/>
        <v>0.98722639785661292</v>
      </c>
      <c r="AF53" s="309">
        <f t="shared" si="54"/>
        <v>0.86233827499424631</v>
      </c>
      <c r="AG53" s="309">
        <f t="shared" si="55"/>
        <v>0.12488812286236661</v>
      </c>
      <c r="AH53" s="309">
        <f t="shared" si="56"/>
        <v>1.2773602143387075E-2</v>
      </c>
      <c r="AI53" s="309">
        <f t="shared" si="57"/>
        <v>0.13766172500575369</v>
      </c>
      <c r="AJ53" s="288">
        <f t="shared" si="58"/>
        <v>-0.65</v>
      </c>
      <c r="AK53" s="288">
        <f t="shared" si="59"/>
        <v>1.35</v>
      </c>
      <c r="AL53" s="288">
        <f t="shared" si="60"/>
        <v>0.35</v>
      </c>
      <c r="AM53" s="306">
        <f t="shared" si="61"/>
        <v>0.35</v>
      </c>
      <c r="AP53" s="307">
        <f t="shared" si="69"/>
        <v>0.55279657656742365</v>
      </c>
      <c r="AQ53" s="288">
        <f t="shared" si="62"/>
        <v>1.0725661294613771</v>
      </c>
      <c r="AR53" s="308">
        <f t="shared" si="63"/>
        <v>0.78282583247108273</v>
      </c>
      <c r="AS53" s="308">
        <f t="shared" si="64"/>
        <v>0.93534612765619918</v>
      </c>
      <c r="AT53" s="309">
        <f t="shared" si="65"/>
        <v>0.71817196012728202</v>
      </c>
      <c r="AU53" s="309">
        <f t="shared" si="66"/>
        <v>0.21717416752891727</v>
      </c>
      <c r="AV53" s="309">
        <f t="shared" si="66"/>
        <v>6.4653872343800822E-2</v>
      </c>
      <c r="AW53" s="328">
        <f t="shared" si="66"/>
        <v>0.28182803987271798</v>
      </c>
    </row>
    <row r="54" spans="1:49" s="74" customFormat="1" ht="15" customHeight="1">
      <c r="A54" s="97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69"/>
      <c r="P54" s="69"/>
      <c r="R54" s="206"/>
      <c r="T54" s="89"/>
      <c r="U54" s="89"/>
      <c r="X54" s="96"/>
      <c r="Y54" s="310"/>
      <c r="Z54" s="288">
        <f t="shared" si="67"/>
        <v>0.39999999999999997</v>
      </c>
      <c r="AA54" s="288">
        <f t="shared" si="51"/>
        <v>0.3934043970686209</v>
      </c>
      <c r="AB54" s="288">
        <f t="shared" si="68"/>
        <v>0.94133516842848519</v>
      </c>
      <c r="AC54" s="288">
        <f t="shared" si="70"/>
        <v>1.4514575289655134</v>
      </c>
      <c r="AD54" s="308">
        <f t="shared" si="52"/>
        <v>0.90844641266390536</v>
      </c>
      <c r="AE54" s="308">
        <f t="shared" si="53"/>
        <v>0.97994774606617918</v>
      </c>
      <c r="AF54" s="309">
        <f t="shared" si="54"/>
        <v>0.88839415873008454</v>
      </c>
      <c r="AG54" s="309">
        <f t="shared" si="55"/>
        <v>9.1553587336094644E-2</v>
      </c>
      <c r="AH54" s="309">
        <f t="shared" si="56"/>
        <v>2.0052253933820818E-2</v>
      </c>
      <c r="AI54" s="309">
        <f t="shared" si="57"/>
        <v>0.11160584126991546</v>
      </c>
      <c r="AJ54" s="288">
        <f t="shared" si="58"/>
        <v>-0.60000000000000009</v>
      </c>
      <c r="AK54" s="288">
        <f t="shared" si="59"/>
        <v>1.4</v>
      </c>
      <c r="AL54" s="288">
        <f t="shared" si="60"/>
        <v>0.39999999999999997</v>
      </c>
      <c r="AM54" s="306">
        <f t="shared" si="61"/>
        <v>0.39999999999999997</v>
      </c>
      <c r="AP54" s="307">
        <f t="shared" si="69"/>
        <v>0.63942483538308248</v>
      </c>
      <c r="AQ54" s="288">
        <f t="shared" si="62"/>
        <v>0.98593787064571814</v>
      </c>
      <c r="AR54" s="308">
        <f t="shared" si="63"/>
        <v>0.8170773918694445</v>
      </c>
      <c r="AS54" s="308">
        <f t="shared" si="64"/>
        <v>0.91839047848719635</v>
      </c>
      <c r="AT54" s="309">
        <f t="shared" si="65"/>
        <v>0.73546787035664085</v>
      </c>
      <c r="AU54" s="309">
        <f t="shared" si="66"/>
        <v>0.1829226081305555</v>
      </c>
      <c r="AV54" s="309">
        <f t="shared" si="66"/>
        <v>8.1609521512803651E-2</v>
      </c>
      <c r="AW54" s="328">
        <f t="shared" si="66"/>
        <v>0.26453212964335915</v>
      </c>
    </row>
    <row r="55" spans="1:49" s="74" customFormat="1" ht="1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69"/>
      <c r="P55" s="69"/>
      <c r="R55" s="206"/>
      <c r="T55" s="89"/>
      <c r="U55" s="89"/>
      <c r="X55" s="96"/>
      <c r="Y55" s="310"/>
      <c r="Z55" s="288">
        <f t="shared" si="67"/>
        <v>0.44999999999999996</v>
      </c>
      <c r="AA55" s="288">
        <f t="shared" si="51"/>
        <v>0.44670219853431042</v>
      </c>
      <c r="AB55" s="288">
        <f t="shared" si="68"/>
        <v>1.0688657585627424</v>
      </c>
      <c r="AC55" s="288">
        <f t="shared" si="70"/>
        <v>1.3239269388312567</v>
      </c>
      <c r="AD55" s="308">
        <f t="shared" si="52"/>
        <v>0.93468271687836069</v>
      </c>
      <c r="AE55" s="308">
        <f t="shared" si="53"/>
        <v>0.96941850602704271</v>
      </c>
      <c r="AF55" s="309">
        <f t="shared" si="54"/>
        <v>0.90410122290540329</v>
      </c>
      <c r="AG55" s="309">
        <f t="shared" si="55"/>
        <v>6.5317283121639313E-2</v>
      </c>
      <c r="AH55" s="309">
        <f t="shared" si="56"/>
        <v>3.0581493972957285E-2</v>
      </c>
      <c r="AI55" s="309">
        <f t="shared" si="57"/>
        <v>9.589877709459671E-2</v>
      </c>
      <c r="AJ55" s="288">
        <f t="shared" si="58"/>
        <v>-0.55000000000000004</v>
      </c>
      <c r="AK55" s="288">
        <f t="shared" si="59"/>
        <v>1.45</v>
      </c>
      <c r="AL55" s="288">
        <f t="shared" si="60"/>
        <v>0.44999999999999996</v>
      </c>
      <c r="AM55" s="306">
        <f t="shared" si="61"/>
        <v>0.44999999999999996</v>
      </c>
      <c r="AP55" s="307">
        <f t="shared" si="69"/>
        <v>0.72605309419874142</v>
      </c>
      <c r="AQ55" s="288">
        <f t="shared" si="62"/>
        <v>0.89930961183005942</v>
      </c>
      <c r="AR55" s="308">
        <f t="shared" si="63"/>
        <v>0.84774116325169258</v>
      </c>
      <c r="AS55" s="308">
        <f t="shared" si="64"/>
        <v>0.89828067153444757</v>
      </c>
      <c r="AT55" s="309">
        <f t="shared" si="65"/>
        <v>0.74602183478614004</v>
      </c>
      <c r="AU55" s="309">
        <f t="shared" si="66"/>
        <v>0.15225883674830742</v>
      </c>
      <c r="AV55" s="309">
        <f t="shared" si="66"/>
        <v>0.10171932846555243</v>
      </c>
      <c r="AW55" s="328">
        <f t="shared" si="66"/>
        <v>0.25397816521385996</v>
      </c>
    </row>
    <row r="56" spans="1:49" s="74" customFormat="1" ht="15" customHeight="1">
      <c r="A56" s="94"/>
      <c r="B56" s="86"/>
      <c r="C56" s="86"/>
      <c r="D56" s="95"/>
      <c r="E56" s="86"/>
      <c r="F56" s="86"/>
      <c r="G56" s="94"/>
      <c r="H56" s="69"/>
      <c r="I56" s="69"/>
      <c r="J56" s="69"/>
      <c r="K56" s="69"/>
      <c r="L56" s="69"/>
      <c r="M56" s="69"/>
      <c r="N56" s="86"/>
      <c r="O56" s="69"/>
      <c r="P56" s="69"/>
      <c r="R56" s="206"/>
      <c r="T56" s="89"/>
      <c r="U56" s="89"/>
      <c r="X56" s="96"/>
      <c r="Y56" s="310"/>
      <c r="Z56" s="288">
        <f t="shared" si="67"/>
        <v>0.49999999999999994</v>
      </c>
      <c r="AA56" s="288">
        <f t="shared" si="51"/>
        <v>0.49999999999999994</v>
      </c>
      <c r="AB56" s="288">
        <f t="shared" si="68"/>
        <v>1.1963963486969993</v>
      </c>
      <c r="AC56" s="288">
        <f t="shared" si="70"/>
        <v>1.1963963486969995</v>
      </c>
      <c r="AD56" s="308">
        <f t="shared" si="52"/>
        <v>0.95467318454175998</v>
      </c>
      <c r="AE56" s="308">
        <f t="shared" si="53"/>
        <v>0.95467318454175998</v>
      </c>
      <c r="AF56" s="309">
        <f t="shared" si="54"/>
        <v>0.90934636908351996</v>
      </c>
      <c r="AG56" s="309">
        <f t="shared" si="55"/>
        <v>4.5326815458240022E-2</v>
      </c>
      <c r="AH56" s="309">
        <f t="shared" si="56"/>
        <v>4.5326815458240022E-2</v>
      </c>
      <c r="AI56" s="309">
        <f t="shared" si="57"/>
        <v>9.0653630916480044E-2</v>
      </c>
      <c r="AJ56" s="288">
        <f t="shared" si="58"/>
        <v>-0.5</v>
      </c>
      <c r="AK56" s="288">
        <f t="shared" si="59"/>
        <v>1.5</v>
      </c>
      <c r="AL56" s="288">
        <f t="shared" si="60"/>
        <v>0.49999999999999994</v>
      </c>
      <c r="AM56" s="306">
        <f t="shared" si="61"/>
        <v>0.49999999999999994</v>
      </c>
      <c r="AP56" s="307">
        <f t="shared" si="69"/>
        <v>0.81268135301440025</v>
      </c>
      <c r="AQ56" s="288">
        <f t="shared" si="62"/>
        <v>0.81268135301440036</v>
      </c>
      <c r="AR56" s="308">
        <f t="shared" si="63"/>
        <v>0.87478478666209702</v>
      </c>
      <c r="AS56" s="308">
        <f t="shared" si="64"/>
        <v>0.87478478666209702</v>
      </c>
      <c r="AT56" s="309">
        <f t="shared" si="65"/>
        <v>0.74956957332419405</v>
      </c>
      <c r="AU56" s="309">
        <f t="shared" si="66"/>
        <v>0.12521521333790298</v>
      </c>
      <c r="AV56" s="309">
        <f t="shared" si="66"/>
        <v>0.12521521333790298</v>
      </c>
      <c r="AW56" s="328">
        <f t="shared" si="66"/>
        <v>0.25043042667580595</v>
      </c>
    </row>
    <row r="57" spans="1:49" s="74" customFormat="1" ht="15" customHeight="1">
      <c r="A57" s="94"/>
      <c r="B57" s="86"/>
      <c r="C57" s="86"/>
      <c r="D57" s="95"/>
      <c r="E57" s="86"/>
      <c r="F57" s="86"/>
      <c r="G57" s="94"/>
      <c r="H57" s="69"/>
      <c r="I57" s="69"/>
      <c r="J57" s="69"/>
      <c r="K57" s="69"/>
      <c r="L57" s="69"/>
      <c r="M57" s="69"/>
      <c r="N57" s="86"/>
      <c r="O57" s="69"/>
      <c r="P57" s="69"/>
      <c r="R57" s="206"/>
      <c r="T57" s="89"/>
      <c r="U57" s="89"/>
      <c r="X57" s="96"/>
      <c r="Y57" s="310"/>
      <c r="Z57" s="288">
        <f t="shared" si="67"/>
        <v>0.54999999999999993</v>
      </c>
      <c r="AA57" s="288">
        <f t="shared" si="51"/>
        <v>0.55329780146568941</v>
      </c>
      <c r="AB57" s="288">
        <f>MAX(MIN(B_1*Tb_eff*($AA57)/(SQRT(2)*$AG$9),10),-10)</f>
        <v>1.3239269388312562</v>
      </c>
      <c r="AC57" s="288">
        <f t="shared" si="70"/>
        <v>1.0688657585627426</v>
      </c>
      <c r="AD57" s="308">
        <f t="shared" si="52"/>
        <v>0.9694185060270426</v>
      </c>
      <c r="AE57" s="308">
        <f t="shared" si="53"/>
        <v>0.93468271687836069</v>
      </c>
      <c r="AF57" s="309">
        <f t="shared" si="54"/>
        <v>0.90410122290540329</v>
      </c>
      <c r="AG57" s="309">
        <f t="shared" si="55"/>
        <v>3.0581493972957396E-2</v>
      </c>
      <c r="AH57" s="309">
        <f t="shared" si="56"/>
        <v>6.5317283121639313E-2</v>
      </c>
      <c r="AI57" s="309">
        <f t="shared" si="57"/>
        <v>9.589877709459671E-2</v>
      </c>
      <c r="AJ57" s="288">
        <f t="shared" si="58"/>
        <v>-0.45000000000000007</v>
      </c>
      <c r="AK57" s="288">
        <f t="shared" si="59"/>
        <v>1.5499999999999998</v>
      </c>
      <c r="AL57" s="288">
        <f t="shared" si="60"/>
        <v>0.54999999999999993</v>
      </c>
      <c r="AM57" s="306">
        <f t="shared" si="61"/>
        <v>0.54999999999999993</v>
      </c>
      <c r="AP57" s="307">
        <f t="shared" si="69"/>
        <v>0.8993096118300592</v>
      </c>
      <c r="AQ57" s="288">
        <f t="shared" si="62"/>
        <v>0.72605309419874176</v>
      </c>
      <c r="AR57" s="308">
        <f t="shared" si="63"/>
        <v>0.89828067153444757</v>
      </c>
      <c r="AS57" s="308">
        <f t="shared" si="64"/>
        <v>0.84774116325169269</v>
      </c>
      <c r="AT57" s="309">
        <f t="shared" si="65"/>
        <v>0.74602183478614026</v>
      </c>
      <c r="AU57" s="309">
        <f t="shared" si="66"/>
        <v>0.10171932846555243</v>
      </c>
      <c r="AV57" s="309">
        <f t="shared" si="66"/>
        <v>0.15225883674830731</v>
      </c>
      <c r="AW57" s="328">
        <f t="shared" si="66"/>
        <v>0.25397816521385974</v>
      </c>
    </row>
    <row r="58" spans="1:49" s="74" customFormat="1" ht="15" customHeight="1">
      <c r="A58" s="94"/>
      <c r="B58" s="86"/>
      <c r="C58" s="86"/>
      <c r="D58" s="95"/>
      <c r="E58" s="86"/>
      <c r="F58" s="86"/>
      <c r="G58" s="94"/>
      <c r="H58" s="69"/>
      <c r="I58" s="69"/>
      <c r="J58" s="69"/>
      <c r="K58" s="69"/>
      <c r="L58" s="69"/>
      <c r="M58" s="69"/>
      <c r="N58" s="86"/>
      <c r="O58" s="69"/>
      <c r="P58" s="69"/>
      <c r="R58" s="206"/>
      <c r="T58" s="89"/>
      <c r="U58" s="89"/>
      <c r="X58" s="96"/>
      <c r="Y58" s="310"/>
      <c r="Z58" s="288">
        <f t="shared" si="67"/>
        <v>0.6</v>
      </c>
      <c r="AA58" s="288">
        <f t="shared" si="51"/>
        <v>0.60659560293137904</v>
      </c>
      <c r="AB58" s="288">
        <f t="shared" si="68"/>
        <v>1.4514575289655134</v>
      </c>
      <c r="AC58" s="288">
        <f t="shared" si="70"/>
        <v>0.9413351684284853</v>
      </c>
      <c r="AD58" s="308">
        <f t="shared" si="52"/>
        <v>0.97994774606617918</v>
      </c>
      <c r="AE58" s="308">
        <f t="shared" si="53"/>
        <v>0.90844641266390525</v>
      </c>
      <c r="AF58" s="309">
        <f t="shared" si="54"/>
        <v>0.88839415873008454</v>
      </c>
      <c r="AG58" s="309">
        <f t="shared" si="55"/>
        <v>2.0052253933820818E-2</v>
      </c>
      <c r="AH58" s="309">
        <f t="shared" si="56"/>
        <v>9.1553587336094755E-2</v>
      </c>
      <c r="AI58" s="309">
        <f t="shared" si="57"/>
        <v>0.11160584126991546</v>
      </c>
      <c r="AJ58" s="288">
        <f t="shared" si="58"/>
        <v>-0.4</v>
      </c>
      <c r="AK58" s="288">
        <f t="shared" si="59"/>
        <v>1.6</v>
      </c>
      <c r="AL58" s="288">
        <f t="shared" si="60"/>
        <v>0.6</v>
      </c>
      <c r="AM58" s="306">
        <f t="shared" si="61"/>
        <v>0.6</v>
      </c>
      <c r="AP58" s="307">
        <f t="shared" si="69"/>
        <v>0.98593787064571814</v>
      </c>
      <c r="AQ58" s="288">
        <f t="shared" si="62"/>
        <v>0.63942483538308259</v>
      </c>
      <c r="AR58" s="308">
        <f t="shared" si="63"/>
        <v>0.91839047848719635</v>
      </c>
      <c r="AS58" s="308">
        <f t="shared" si="64"/>
        <v>0.8170773918694445</v>
      </c>
      <c r="AT58" s="309">
        <f t="shared" si="65"/>
        <v>0.73546787035664085</v>
      </c>
      <c r="AU58" s="309">
        <f t="shared" si="66"/>
        <v>8.1609521512803651E-2</v>
      </c>
      <c r="AV58" s="309">
        <f t="shared" si="66"/>
        <v>0.1829226081305555</v>
      </c>
      <c r="AW58" s="328">
        <f t="shared" si="66"/>
        <v>0.26453212964335915</v>
      </c>
    </row>
    <row r="59" spans="1:49" s="74" customFormat="1" ht="15" customHeight="1">
      <c r="A59" s="94"/>
      <c r="B59" s="86"/>
      <c r="C59" s="86"/>
      <c r="D59" s="95"/>
      <c r="E59" s="86"/>
      <c r="F59" s="86"/>
      <c r="G59" s="94"/>
      <c r="H59" s="69"/>
      <c r="I59" s="69"/>
      <c r="J59" s="69"/>
      <c r="K59" s="69"/>
      <c r="L59" s="69"/>
      <c r="M59" s="69"/>
      <c r="N59" s="86"/>
      <c r="O59" s="69"/>
      <c r="P59" s="69"/>
      <c r="R59" s="206"/>
      <c r="T59" s="89"/>
      <c r="U59" s="89"/>
      <c r="X59" s="96"/>
      <c r="Y59" s="310"/>
      <c r="Z59" s="288">
        <f t="shared" si="67"/>
        <v>0.65</v>
      </c>
      <c r="AA59" s="288">
        <f t="shared" si="51"/>
        <v>0.65989340439706856</v>
      </c>
      <c r="AB59" s="288">
        <f t="shared" si="68"/>
        <v>1.5789881190997708</v>
      </c>
      <c r="AC59" s="288">
        <f t="shared" si="70"/>
        <v>0.81380457829422836</v>
      </c>
      <c r="AD59" s="308">
        <f t="shared" si="52"/>
        <v>0.98722639785661292</v>
      </c>
      <c r="AE59" s="308">
        <f t="shared" si="53"/>
        <v>0.8751118771376335</v>
      </c>
      <c r="AF59" s="309">
        <f t="shared" si="54"/>
        <v>0.86233827499424631</v>
      </c>
      <c r="AG59" s="309">
        <f t="shared" si="55"/>
        <v>1.2773602143387075E-2</v>
      </c>
      <c r="AH59" s="309">
        <f t="shared" si="56"/>
        <v>0.1248881228623665</v>
      </c>
      <c r="AI59" s="309">
        <f t="shared" si="57"/>
        <v>0.13766172500575369</v>
      </c>
      <c r="AJ59" s="288">
        <f t="shared" si="58"/>
        <v>-0.35</v>
      </c>
      <c r="AK59" s="288">
        <f t="shared" si="59"/>
        <v>1.65</v>
      </c>
      <c r="AL59" s="288">
        <f t="shared" si="60"/>
        <v>0.65</v>
      </c>
      <c r="AM59" s="306">
        <f t="shared" si="61"/>
        <v>0.65</v>
      </c>
      <c r="AP59" s="307">
        <f t="shared" si="69"/>
        <v>1.0725661294613771</v>
      </c>
      <c r="AQ59" s="288">
        <f t="shared" si="62"/>
        <v>0.55279657656742376</v>
      </c>
      <c r="AR59" s="308">
        <f t="shared" si="63"/>
        <v>0.93534612765619918</v>
      </c>
      <c r="AS59" s="308">
        <f t="shared" si="64"/>
        <v>0.78282583247108273</v>
      </c>
      <c r="AT59" s="309">
        <f t="shared" si="65"/>
        <v>0.71817196012728202</v>
      </c>
      <c r="AU59" s="309">
        <f t="shared" si="66"/>
        <v>6.4653872343800822E-2</v>
      </c>
      <c r="AV59" s="309">
        <f t="shared" si="66"/>
        <v>0.21717416752891727</v>
      </c>
      <c r="AW59" s="328">
        <f t="shared" si="66"/>
        <v>0.28182803987271798</v>
      </c>
    </row>
    <row r="60" spans="1:49" s="74" customFormat="1" ht="15" customHeight="1">
      <c r="A60" s="94"/>
      <c r="B60" s="86"/>
      <c r="C60" s="86"/>
      <c r="D60" s="95"/>
      <c r="E60" s="86"/>
      <c r="F60" s="86"/>
      <c r="G60" s="94"/>
      <c r="H60" s="69"/>
      <c r="I60" s="69"/>
      <c r="J60" s="69"/>
      <c r="K60" s="69"/>
      <c r="L60" s="69"/>
      <c r="M60" s="69"/>
      <c r="N60" s="86"/>
      <c r="O60" s="69"/>
      <c r="P60" s="69"/>
      <c r="R60" s="206"/>
      <c r="T60" s="89"/>
      <c r="U60" s="89"/>
      <c r="X60" s="96"/>
      <c r="Y60" s="310"/>
      <c r="Z60" s="288">
        <f t="shared" si="67"/>
        <v>0.70000000000000007</v>
      </c>
      <c r="AA60" s="288">
        <f t="shared" si="51"/>
        <v>0.71319120586275819</v>
      </c>
      <c r="AB60" s="288">
        <f t="shared" si="68"/>
        <v>1.7065187092340279</v>
      </c>
      <c r="AC60" s="288">
        <f t="shared" si="70"/>
        <v>0.68627398815997098</v>
      </c>
      <c r="AD60" s="308">
        <f t="shared" si="52"/>
        <v>0.99209737509157336</v>
      </c>
      <c r="AE60" s="308">
        <f t="shared" si="53"/>
        <v>0.83411079423787438</v>
      </c>
      <c r="AF60" s="309">
        <f t="shared" si="54"/>
        <v>0.82620816932944763</v>
      </c>
      <c r="AG60" s="309">
        <f t="shared" si="55"/>
        <v>7.9026249084266365E-3</v>
      </c>
      <c r="AH60" s="309">
        <f t="shared" si="56"/>
        <v>0.16588920576212562</v>
      </c>
      <c r="AI60" s="309">
        <f t="shared" si="57"/>
        <v>0.17379183067055237</v>
      </c>
      <c r="AJ60" s="288">
        <f t="shared" si="58"/>
        <v>-0.29999999999999993</v>
      </c>
      <c r="AK60" s="288">
        <f t="shared" si="59"/>
        <v>1.7000000000000002</v>
      </c>
      <c r="AL60" s="288">
        <f t="shared" si="60"/>
        <v>0.70000000000000007</v>
      </c>
      <c r="AM60" s="306">
        <f t="shared" si="61"/>
        <v>0.70000000000000007</v>
      </c>
      <c r="AP60" s="307">
        <f t="shared" si="69"/>
        <v>1.1591943882770361</v>
      </c>
      <c r="AQ60" s="288">
        <f t="shared" si="62"/>
        <v>0.46616831775176465</v>
      </c>
      <c r="AR60" s="308">
        <f t="shared" si="63"/>
        <v>0.94942962468032288</v>
      </c>
      <c r="AS60" s="308">
        <f t="shared" si="64"/>
        <v>0.74513608774282458</v>
      </c>
      <c r="AT60" s="309">
        <f t="shared" si="65"/>
        <v>0.69456571242314746</v>
      </c>
      <c r="AU60" s="309">
        <f t="shared" si="66"/>
        <v>5.0570375319677119E-2</v>
      </c>
      <c r="AV60" s="309">
        <f t="shared" si="66"/>
        <v>0.25486391225717542</v>
      </c>
      <c r="AW60" s="328">
        <f t="shared" si="66"/>
        <v>0.30543428757685254</v>
      </c>
    </row>
    <row r="61" spans="1:49" s="74" customFormat="1" ht="15" customHeight="1">
      <c r="A61" s="94"/>
      <c r="B61" s="86"/>
      <c r="C61" s="86"/>
      <c r="D61" s="95"/>
      <c r="E61" s="86"/>
      <c r="F61" s="86"/>
      <c r="G61" s="94"/>
      <c r="H61" s="69"/>
      <c r="I61" s="69"/>
      <c r="J61" s="69"/>
      <c r="K61" s="69"/>
      <c r="L61" s="69"/>
      <c r="M61" s="69"/>
      <c r="N61" s="86"/>
      <c r="O61" s="69"/>
      <c r="P61" s="69"/>
      <c r="R61" s="206"/>
      <c r="T61" s="89"/>
      <c r="U61" s="89"/>
      <c r="X61" s="96"/>
      <c r="Y61" s="310"/>
      <c r="Z61" s="288">
        <f t="shared" si="67"/>
        <v>0.75000000000000011</v>
      </c>
      <c r="AA61" s="288">
        <f t="shared" si="51"/>
        <v>0.76648900732844782</v>
      </c>
      <c r="AB61" s="288">
        <f t="shared" si="68"/>
        <v>1.8340492993682853</v>
      </c>
      <c r="AC61" s="288">
        <f t="shared" si="70"/>
        <v>0.5587433980257136</v>
      </c>
      <c r="AD61" s="308">
        <f t="shared" si="52"/>
        <v>0.99525305115854923</v>
      </c>
      <c r="AE61" s="308">
        <f t="shared" si="53"/>
        <v>0.78528939998766778</v>
      </c>
      <c r="AF61" s="309">
        <f t="shared" si="54"/>
        <v>0.7805424511462169</v>
      </c>
      <c r="AG61" s="309">
        <f t="shared" si="55"/>
        <v>4.746948841450771E-3</v>
      </c>
      <c r="AH61" s="309">
        <f t="shared" si="56"/>
        <v>0.21471060001233222</v>
      </c>
      <c r="AI61" s="309">
        <f t="shared" si="57"/>
        <v>0.2194575488537831</v>
      </c>
      <c r="AJ61" s="288">
        <f t="shared" si="58"/>
        <v>-0.24999999999999989</v>
      </c>
      <c r="AK61" s="288">
        <f t="shared" si="59"/>
        <v>1.75</v>
      </c>
      <c r="AL61" s="288">
        <f t="shared" si="60"/>
        <v>0.75000000000000011</v>
      </c>
      <c r="AM61" s="306">
        <f t="shared" si="61"/>
        <v>0.75000000000000011</v>
      </c>
      <c r="AP61" s="307">
        <f t="shared" si="69"/>
        <v>1.2458226470926954</v>
      </c>
      <c r="AQ61" s="288">
        <f t="shared" si="62"/>
        <v>0.37954005893610548</v>
      </c>
      <c r="AR61" s="308">
        <f t="shared" si="63"/>
        <v>0.9609534536820874</v>
      </c>
      <c r="AS61" s="308">
        <f t="shared" si="64"/>
        <v>0.7042800838732034</v>
      </c>
      <c r="AT61" s="309">
        <f t="shared" si="65"/>
        <v>0.66523353755529069</v>
      </c>
      <c r="AU61" s="309">
        <f t="shared" si="66"/>
        <v>3.90465463179126E-2</v>
      </c>
      <c r="AV61" s="309">
        <f t="shared" si="66"/>
        <v>0.2957199161267966</v>
      </c>
      <c r="AW61" s="328">
        <f t="shared" si="66"/>
        <v>0.33476646244470931</v>
      </c>
    </row>
    <row r="62" spans="1:49" s="74" customFormat="1" ht="15" customHeight="1">
      <c r="A62" s="94"/>
      <c r="B62" s="86"/>
      <c r="C62" s="86"/>
      <c r="D62" s="95"/>
      <c r="E62" s="86"/>
      <c r="F62" s="86"/>
      <c r="G62" s="94"/>
      <c r="H62" s="69"/>
      <c r="I62" s="69"/>
      <c r="J62" s="69"/>
      <c r="K62" s="69"/>
      <c r="L62" s="69"/>
      <c r="M62" s="69"/>
      <c r="N62" s="86"/>
      <c r="O62" s="69"/>
      <c r="P62" s="69"/>
      <c r="R62" s="206"/>
      <c r="T62" s="89"/>
      <c r="U62" s="89"/>
      <c r="X62" s="96"/>
      <c r="Y62" s="310"/>
      <c r="Z62" s="288">
        <f t="shared" si="67"/>
        <v>0.80000000000000016</v>
      </c>
      <c r="AA62" s="288">
        <f t="shared" si="51"/>
        <v>0.81978680879413734</v>
      </c>
      <c r="AB62" s="288">
        <f t="shared" si="68"/>
        <v>1.9615798895025423</v>
      </c>
      <c r="AC62" s="288">
        <f t="shared" si="70"/>
        <v>0.43121280789145655</v>
      </c>
      <c r="AD62" s="308">
        <f t="shared" si="52"/>
        <v>0.99723220624680575</v>
      </c>
      <c r="AE62" s="308">
        <f t="shared" si="53"/>
        <v>0.72901179333285837</v>
      </c>
      <c r="AF62" s="309">
        <f t="shared" si="54"/>
        <v>0.72624399957966412</v>
      </c>
      <c r="AG62" s="309">
        <f t="shared" si="55"/>
        <v>2.7677937531942476E-3</v>
      </c>
      <c r="AH62" s="309">
        <f t="shared" si="56"/>
        <v>0.27098820666714163</v>
      </c>
      <c r="AI62" s="309">
        <f t="shared" si="57"/>
        <v>0.27375600042033588</v>
      </c>
      <c r="AJ62" s="288">
        <f t="shared" si="58"/>
        <v>-0.19999999999999984</v>
      </c>
      <c r="AK62" s="288">
        <f t="shared" si="59"/>
        <v>1.8000000000000003</v>
      </c>
      <c r="AL62" s="288">
        <f t="shared" si="60"/>
        <v>0.80000000000000016</v>
      </c>
      <c r="AM62" s="306">
        <f t="shared" si="61"/>
        <v>0.80000000000000016</v>
      </c>
      <c r="AP62" s="307">
        <f t="shared" si="69"/>
        <v>1.3324509059083542</v>
      </c>
      <c r="AQ62" s="288">
        <f t="shared" si="62"/>
        <v>0.2929118001204466</v>
      </c>
      <c r="AR62" s="308">
        <f t="shared" si="63"/>
        <v>0.97024253233698965</v>
      </c>
      <c r="AS62" s="308">
        <f t="shared" si="64"/>
        <v>0.66065076635699937</v>
      </c>
      <c r="AT62" s="309">
        <f t="shared" si="65"/>
        <v>0.63089329869398902</v>
      </c>
      <c r="AU62" s="309">
        <f t="shared" si="66"/>
        <v>2.9757467663010351E-2</v>
      </c>
      <c r="AV62" s="309">
        <f t="shared" si="66"/>
        <v>0.33934923364300063</v>
      </c>
      <c r="AW62" s="328">
        <f t="shared" si="66"/>
        <v>0.36910670130601098</v>
      </c>
    </row>
    <row r="63" spans="1:49" s="74" customFormat="1" ht="15" customHeight="1">
      <c r="A63" s="94"/>
      <c r="B63" s="86"/>
      <c r="C63" s="86"/>
      <c r="D63" s="95"/>
      <c r="E63" s="86"/>
      <c r="F63" s="86"/>
      <c r="G63" s="94"/>
      <c r="H63" s="69"/>
      <c r="I63" s="69"/>
      <c r="J63" s="69"/>
      <c r="K63" s="69"/>
      <c r="L63" s="69"/>
      <c r="M63" s="69"/>
      <c r="N63" s="86"/>
      <c r="O63" s="69"/>
      <c r="P63" s="69"/>
      <c r="R63" s="206"/>
      <c r="T63" s="89"/>
      <c r="U63" s="89"/>
      <c r="X63" s="96"/>
      <c r="Y63" s="310"/>
      <c r="Z63" s="288">
        <f t="shared" si="67"/>
        <v>0.8500000000000002</v>
      </c>
      <c r="AA63" s="288">
        <f t="shared" si="51"/>
        <v>0.87308461025982687</v>
      </c>
      <c r="AB63" s="288">
        <f t="shared" si="68"/>
        <v>2.0891104796367994</v>
      </c>
      <c r="AC63" s="288">
        <f t="shared" si="70"/>
        <v>0.30368221775719956</v>
      </c>
      <c r="AD63" s="308">
        <f t="shared" si="52"/>
        <v>0.99843385717458921</v>
      </c>
      <c r="AE63" s="308">
        <f t="shared" si="53"/>
        <v>0.66620993887851987</v>
      </c>
      <c r="AF63" s="309">
        <f t="shared" si="54"/>
        <v>0.66464379605310908</v>
      </c>
      <c r="AG63" s="309">
        <f t="shared" si="55"/>
        <v>1.5661428254107879E-3</v>
      </c>
      <c r="AH63" s="309">
        <f t="shared" si="56"/>
        <v>0.33379006112148013</v>
      </c>
      <c r="AI63" s="309">
        <f t="shared" si="57"/>
        <v>0.33535620394689092</v>
      </c>
      <c r="AJ63" s="288">
        <f t="shared" si="58"/>
        <v>-0.1499999999999998</v>
      </c>
      <c r="AK63" s="288">
        <f t="shared" si="59"/>
        <v>1.85</v>
      </c>
      <c r="AL63" s="288">
        <f t="shared" si="60"/>
        <v>0.8500000000000002</v>
      </c>
      <c r="AM63" s="306">
        <f t="shared" si="61"/>
        <v>0.8500000000000002</v>
      </c>
      <c r="AP63" s="307">
        <f t="shared" si="69"/>
        <v>1.4190791647240131</v>
      </c>
      <c r="AQ63" s="288">
        <f t="shared" si="62"/>
        <v>0.20628354130478771</v>
      </c>
      <c r="AR63" s="308">
        <f t="shared" si="63"/>
        <v>0.97761882926802957</v>
      </c>
      <c r="AS63" s="308">
        <f t="shared" si="64"/>
        <v>0.61475307577064775</v>
      </c>
      <c r="AT63" s="309">
        <f t="shared" si="65"/>
        <v>0.59237190503867732</v>
      </c>
      <c r="AU63" s="309">
        <f t="shared" si="66"/>
        <v>2.2381170731970434E-2</v>
      </c>
      <c r="AV63" s="309">
        <f t="shared" si="66"/>
        <v>0.38524692422935225</v>
      </c>
      <c r="AW63" s="328">
        <f t="shared" si="66"/>
        <v>0.40762809496132268</v>
      </c>
    </row>
    <row r="64" spans="1:49" s="74" customFormat="1" ht="15" customHeight="1">
      <c r="A64" s="94"/>
      <c r="B64" s="86"/>
      <c r="C64" s="86"/>
      <c r="D64" s="95"/>
      <c r="E64" s="86"/>
      <c r="F64" s="86"/>
      <c r="G64" s="94"/>
      <c r="H64" s="69"/>
      <c r="I64" s="69"/>
      <c r="J64" s="69"/>
      <c r="K64" s="69"/>
      <c r="L64" s="69"/>
      <c r="M64" s="69"/>
      <c r="N64" s="86"/>
      <c r="O64" s="69"/>
      <c r="P64" s="69"/>
      <c r="R64" s="206"/>
      <c r="T64" s="89"/>
      <c r="U64" s="89"/>
      <c r="X64" s="96"/>
      <c r="Y64" s="310"/>
      <c r="Z64" s="288">
        <f t="shared" si="67"/>
        <v>0.90000000000000024</v>
      </c>
      <c r="AA64" s="288">
        <f t="shared" si="51"/>
        <v>0.9263824117255165</v>
      </c>
      <c r="AB64" s="288">
        <f t="shared" si="68"/>
        <v>2.2166410697710566</v>
      </c>
      <c r="AC64" s="288">
        <f t="shared" si="70"/>
        <v>0.1761516276229422</v>
      </c>
      <c r="AD64" s="308">
        <f t="shared" si="52"/>
        <v>0.99914015470804618</v>
      </c>
      <c r="AE64" s="308">
        <f t="shared" si="53"/>
        <v>0.59836448137555542</v>
      </c>
      <c r="AF64" s="309">
        <f t="shared" si="54"/>
        <v>0.5975046360836016</v>
      </c>
      <c r="AG64" s="309">
        <f t="shared" si="55"/>
        <v>8.598452919538202E-4</v>
      </c>
      <c r="AH64" s="309">
        <f t="shared" si="56"/>
        <v>0.40163551862444458</v>
      </c>
      <c r="AI64" s="309">
        <f t="shared" si="57"/>
        <v>0.4024953639163984</v>
      </c>
      <c r="AJ64" s="288">
        <f t="shared" si="58"/>
        <v>-9.9999999999999756E-2</v>
      </c>
      <c r="AK64" s="288">
        <f t="shared" si="59"/>
        <v>1.9000000000000004</v>
      </c>
      <c r="AL64" s="288">
        <f t="shared" si="60"/>
        <v>0.90000000000000024</v>
      </c>
      <c r="AM64" s="306">
        <f t="shared" si="61"/>
        <v>0.90000000000000024</v>
      </c>
      <c r="AP64" s="307">
        <f t="shared" si="69"/>
        <v>1.5057074235396721</v>
      </c>
      <c r="AQ64" s="288">
        <f t="shared" si="62"/>
        <v>0.11965528248912863</v>
      </c>
      <c r="AR64" s="308">
        <f t="shared" si="63"/>
        <v>0.98338907106327322</v>
      </c>
      <c r="AS64" s="308">
        <f t="shared" si="64"/>
        <v>0.56718746243744378</v>
      </c>
      <c r="AT64" s="309">
        <f t="shared" si="65"/>
        <v>0.55057653350071689</v>
      </c>
      <c r="AU64" s="309">
        <f t="shared" si="66"/>
        <v>1.6610928936726777E-2</v>
      </c>
      <c r="AV64" s="309">
        <f t="shared" si="66"/>
        <v>0.43281253756255622</v>
      </c>
      <c r="AW64" s="328">
        <f t="shared" si="66"/>
        <v>0.44942346649928311</v>
      </c>
    </row>
    <row r="65" spans="1:49" s="74" customFormat="1" ht="15" customHeight="1">
      <c r="A65" s="94"/>
      <c r="B65" s="86"/>
      <c r="C65" s="86"/>
      <c r="D65" s="95"/>
      <c r="E65" s="86"/>
      <c r="F65" s="86"/>
      <c r="G65" s="94"/>
      <c r="H65" s="69"/>
      <c r="I65" s="69"/>
      <c r="J65" s="69"/>
      <c r="K65" s="69"/>
      <c r="L65" s="69"/>
      <c r="M65" s="69"/>
      <c r="N65" s="86"/>
      <c r="O65" s="69"/>
      <c r="P65" s="69"/>
      <c r="R65" s="206"/>
      <c r="T65" s="89"/>
      <c r="U65" s="89"/>
      <c r="X65" s="96"/>
      <c r="Y65" s="310"/>
      <c r="Z65" s="288">
        <f t="shared" si="67"/>
        <v>0.95000000000000029</v>
      </c>
      <c r="AA65" s="288">
        <f t="shared" si="51"/>
        <v>0.97968021319120613</v>
      </c>
      <c r="AB65" s="288">
        <f>MAX(MIN(B_1*Tb_eff*($AA65)/(SQRT(2)*$AG$9),10),-10)</f>
        <v>2.3441716599053142</v>
      </c>
      <c r="AC65" s="288">
        <f t="shared" si="70"/>
        <v>4.8621037488684883E-2</v>
      </c>
      <c r="AD65" s="308">
        <f t="shared" si="52"/>
        <v>0.99954204550815418</v>
      </c>
      <c r="AE65" s="308">
        <f t="shared" si="53"/>
        <v>0.52740988215526741</v>
      </c>
      <c r="AF65" s="309">
        <f t="shared" si="54"/>
        <v>0.52695192766342158</v>
      </c>
      <c r="AG65" s="309">
        <f t="shared" si="55"/>
        <v>4.5795449184582449E-4</v>
      </c>
      <c r="AH65" s="309">
        <f t="shared" si="56"/>
        <v>0.47259011784473259</v>
      </c>
      <c r="AI65" s="309">
        <f t="shared" si="57"/>
        <v>0.47304807233657842</v>
      </c>
      <c r="AJ65" s="288">
        <f t="shared" si="58"/>
        <v>-4.9999999999999711E-2</v>
      </c>
      <c r="AK65" s="288">
        <f t="shared" si="59"/>
        <v>1.9500000000000002</v>
      </c>
      <c r="AL65" s="288">
        <f t="shared" si="60"/>
        <v>0.95000000000000029</v>
      </c>
      <c r="AM65" s="306">
        <f t="shared" si="61"/>
        <v>0.95000000000000029</v>
      </c>
      <c r="AP65" s="307">
        <f t="shared" si="69"/>
        <v>1.5923356823553314</v>
      </c>
      <c r="AQ65" s="288">
        <f t="shared" si="62"/>
        <v>3.302702367346954E-2</v>
      </c>
      <c r="AR65" s="308">
        <f t="shared" si="63"/>
        <v>0.98783578796747096</v>
      </c>
      <c r="AS65" s="308">
        <f t="shared" si="64"/>
        <v>0.51862672990337266</v>
      </c>
      <c r="AT65" s="309">
        <f t="shared" si="65"/>
        <v>0.50646251787084351</v>
      </c>
      <c r="AU65" s="309">
        <f t="shared" si="66"/>
        <v>1.2164212032529043E-2</v>
      </c>
      <c r="AV65" s="309">
        <f t="shared" si="66"/>
        <v>0.48137327009662734</v>
      </c>
      <c r="AW65" s="328">
        <f t="shared" si="66"/>
        <v>0.49353748212915649</v>
      </c>
    </row>
    <row r="66" spans="1:49" s="74" customFormat="1" ht="15" customHeight="1">
      <c r="A66" s="94"/>
      <c r="B66" s="86"/>
      <c r="C66" s="86"/>
      <c r="D66" s="95"/>
      <c r="E66" s="86"/>
      <c r="F66" s="86"/>
      <c r="G66" s="94"/>
      <c r="H66" s="69"/>
      <c r="I66" s="69"/>
      <c r="J66" s="69"/>
      <c r="K66" s="69"/>
      <c r="L66" s="69"/>
      <c r="M66" s="69"/>
      <c r="N66" s="86"/>
      <c r="O66" s="69"/>
      <c r="P66" s="69"/>
      <c r="R66" s="206"/>
      <c r="T66" s="89"/>
      <c r="U66" s="89"/>
      <c r="X66" s="96"/>
      <c r="Y66" s="310"/>
      <c r="Z66" s="288">
        <f t="shared" si="67"/>
        <v>1.0000000000000002</v>
      </c>
      <c r="AA66" s="288">
        <f t="shared" si="51"/>
        <v>1.0329780146568956</v>
      </c>
      <c r="AB66" s="288">
        <f t="shared" si="68"/>
        <v>2.4717022500395709</v>
      </c>
      <c r="AC66" s="288">
        <f t="shared" si="70"/>
        <v>-7.8909552645572173E-2</v>
      </c>
      <c r="AD66" s="308">
        <f t="shared" si="52"/>
        <v>0.9997634259302588</v>
      </c>
      <c r="AE66" s="308" t="e">
        <f t="shared" si="53"/>
        <v>#NUM!</v>
      </c>
      <c r="AF66" s="309" t="e">
        <f t="shared" si="54"/>
        <v>#NUM!</v>
      </c>
      <c r="AG66" s="309">
        <f t="shared" si="55"/>
        <v>2.3657406974120221E-4</v>
      </c>
      <c r="AH66" s="309" t="e">
        <f t="shared" si="56"/>
        <v>#NUM!</v>
      </c>
      <c r="AI66" s="309" t="e">
        <f t="shared" si="57"/>
        <v>#NUM!</v>
      </c>
      <c r="AJ66" s="288">
        <f t="shared" si="58"/>
        <v>0</v>
      </c>
      <c r="AK66" s="288">
        <f t="shared" si="59"/>
        <v>2</v>
      </c>
      <c r="AL66" s="288">
        <f t="shared" si="60"/>
        <v>1.0000000000000002</v>
      </c>
      <c r="AM66" s="306">
        <f t="shared" si="61"/>
        <v>1.0000000000000002</v>
      </c>
      <c r="AP66" s="307">
        <f t="shared" si="69"/>
        <v>1.67896394117099</v>
      </c>
      <c r="AQ66" s="288">
        <f t="shared" si="62"/>
        <v>-5.3601235142189368E-2</v>
      </c>
      <c r="AR66" s="308">
        <f t="shared" si="63"/>
        <v>0.99121157418174166</v>
      </c>
      <c r="AS66" s="308" t="e">
        <f t="shared" si="64"/>
        <v>#NUM!</v>
      </c>
      <c r="AT66" s="309" t="e">
        <f t="shared" si="65"/>
        <v>#NUM!</v>
      </c>
      <c r="AU66" s="309">
        <f t="shared" si="66"/>
        <v>8.7884258182583386E-3</v>
      </c>
      <c r="AV66" s="309" t="e">
        <f t="shared" si="66"/>
        <v>#NUM!</v>
      </c>
      <c r="AW66" s="328" t="e">
        <f t="shared" si="66"/>
        <v>#NUM!</v>
      </c>
    </row>
    <row r="67" spans="1:49" s="74" customFormat="1">
      <c r="R67" s="206"/>
      <c r="T67" s="89"/>
      <c r="U67" s="89"/>
      <c r="X67" s="96"/>
      <c r="Y67" s="310"/>
      <c r="Z67" s="288">
        <f t="shared" si="67"/>
        <v>1.0500000000000003</v>
      </c>
      <c r="AA67" s="288">
        <f t="shared" si="51"/>
        <v>1.0862758161225852</v>
      </c>
      <c r="AB67" s="288">
        <f t="shared" si="68"/>
        <v>2.5992328401738281</v>
      </c>
      <c r="AC67" s="288">
        <f t="shared" si="70"/>
        <v>-0.20644014277982922</v>
      </c>
      <c r="AD67" s="308">
        <f t="shared" si="52"/>
        <v>0.99988148004343136</v>
      </c>
      <c r="AE67" s="308" t="e">
        <f t="shared" si="53"/>
        <v>#NUM!</v>
      </c>
      <c r="AF67" s="309" t="e">
        <f t="shared" si="54"/>
        <v>#NUM!</v>
      </c>
      <c r="AG67" s="309">
        <f t="shared" si="55"/>
        <v>1.1851995656864123E-4</v>
      </c>
      <c r="AH67" s="309" t="e">
        <f t="shared" si="56"/>
        <v>#NUM!</v>
      </c>
      <c r="AI67" s="309" t="e">
        <f t="shared" si="57"/>
        <v>#NUM!</v>
      </c>
      <c r="AJ67" s="288">
        <f t="shared" si="58"/>
        <v>5.0000000000000266E-2</v>
      </c>
      <c r="AK67" s="288">
        <f t="shared" si="59"/>
        <v>2.0500000000000003</v>
      </c>
      <c r="AL67" s="288">
        <f t="shared" si="60"/>
        <v>1.0500000000000003</v>
      </c>
      <c r="AM67" s="306">
        <f t="shared" si="61"/>
        <v>1.0500000000000003</v>
      </c>
      <c r="AP67" s="307">
        <f t="shared" si="69"/>
        <v>1.7655921999866491</v>
      </c>
      <c r="AQ67" s="288">
        <f t="shared" si="62"/>
        <v>-0.14022949395784828</v>
      </c>
      <c r="AR67" s="308">
        <f t="shared" si="63"/>
        <v>0.99373621692476388</v>
      </c>
      <c r="AS67" s="308" t="e">
        <f t="shared" si="64"/>
        <v>#NUM!</v>
      </c>
      <c r="AT67" s="309" t="e">
        <f t="shared" si="65"/>
        <v>#NUM!</v>
      </c>
      <c r="AU67" s="309">
        <f t="shared" si="66"/>
        <v>6.2637830752361179E-3</v>
      </c>
      <c r="AV67" s="309" t="e">
        <f t="shared" si="66"/>
        <v>#NUM!</v>
      </c>
      <c r="AW67" s="328" t="e">
        <f t="shared" si="66"/>
        <v>#NUM!</v>
      </c>
    </row>
    <row r="68" spans="1:49" s="74" customFormat="1">
      <c r="R68" s="206"/>
      <c r="T68" s="89"/>
      <c r="U68" s="89"/>
      <c r="X68" s="96"/>
      <c r="Y68" s="310"/>
      <c r="Z68" s="288">
        <f t="shared" si="67"/>
        <v>1.1000000000000003</v>
      </c>
      <c r="AA68" s="288">
        <f t="shared" si="51"/>
        <v>1.1395736175882747</v>
      </c>
      <c r="AB68" s="288">
        <f t="shared" si="68"/>
        <v>2.7267634303080848</v>
      </c>
      <c r="AC68" s="288">
        <f t="shared" si="70"/>
        <v>-0.3339707329140863</v>
      </c>
      <c r="AD68" s="308">
        <f t="shared" si="52"/>
        <v>0.99994242444000903</v>
      </c>
      <c r="AE68" s="308" t="e">
        <f t="shared" si="53"/>
        <v>#NUM!</v>
      </c>
      <c r="AF68" s="309" t="e">
        <f t="shared" si="54"/>
        <v>#NUM!</v>
      </c>
      <c r="AG68" s="309">
        <f t="shared" si="55"/>
        <v>5.7575559990974412E-5</v>
      </c>
      <c r="AH68" s="309" t="e">
        <f t="shared" si="56"/>
        <v>#NUM!</v>
      </c>
      <c r="AI68" s="309" t="e">
        <f t="shared" si="57"/>
        <v>#NUM!</v>
      </c>
      <c r="AJ68" s="288">
        <f t="shared" si="58"/>
        <v>0.10000000000000031</v>
      </c>
      <c r="AK68" s="288">
        <f t="shared" si="59"/>
        <v>2.1000000000000005</v>
      </c>
      <c r="AL68" s="288">
        <f t="shared" si="60"/>
        <v>1.1000000000000003</v>
      </c>
      <c r="AM68" s="306">
        <f t="shared" si="61"/>
        <v>1.1000000000000003</v>
      </c>
      <c r="AP68" s="307">
        <f t="shared" si="69"/>
        <v>1.8522204588023079</v>
      </c>
      <c r="AQ68" s="288">
        <f t="shared" si="62"/>
        <v>-0.2268577527735072</v>
      </c>
      <c r="AR68" s="308">
        <f t="shared" si="63"/>
        <v>0.9955962257823896</v>
      </c>
      <c r="AS68" s="308" t="e">
        <f t="shared" si="64"/>
        <v>#NUM!</v>
      </c>
      <c r="AT68" s="309" t="e">
        <f t="shared" si="65"/>
        <v>#NUM!</v>
      </c>
      <c r="AU68" s="309">
        <f t="shared" si="66"/>
        <v>4.4037742176104011E-3</v>
      </c>
      <c r="AV68" s="309" t="e">
        <f t="shared" si="66"/>
        <v>#NUM!</v>
      </c>
      <c r="AW68" s="328" t="e">
        <f t="shared" si="66"/>
        <v>#NUM!</v>
      </c>
    </row>
    <row r="69" spans="1:49" s="74" customFormat="1">
      <c r="R69" s="206"/>
      <c r="T69" s="89"/>
      <c r="U69" s="89"/>
      <c r="X69" s="96"/>
      <c r="Y69" s="310"/>
      <c r="Z69" s="288">
        <f t="shared" si="67"/>
        <v>1.1500000000000004</v>
      </c>
      <c r="AA69" s="288">
        <f t="shared" si="51"/>
        <v>1.1928714190539642</v>
      </c>
      <c r="AB69" s="288">
        <f t="shared" si="68"/>
        <v>2.8542940204423424</v>
      </c>
      <c r="AC69" s="288">
        <f t="shared" si="70"/>
        <v>-0.46150132304834335</v>
      </c>
      <c r="AD69" s="308">
        <f t="shared" si="52"/>
        <v>0.99997288213314928</v>
      </c>
      <c r="AE69" s="308" t="e">
        <f t="shared" si="53"/>
        <v>#NUM!</v>
      </c>
      <c r="AF69" s="309" t="e">
        <f t="shared" si="54"/>
        <v>#NUM!</v>
      </c>
      <c r="AG69" s="309">
        <f t="shared" si="55"/>
        <v>2.711786685072326E-5</v>
      </c>
      <c r="AH69" s="309" t="e">
        <f t="shared" si="56"/>
        <v>#NUM!</v>
      </c>
      <c r="AI69" s="309" t="e">
        <f t="shared" si="57"/>
        <v>#NUM!</v>
      </c>
      <c r="AJ69" s="288">
        <f t="shared" si="58"/>
        <v>0.15000000000000036</v>
      </c>
      <c r="AK69" s="288">
        <f t="shared" si="59"/>
        <v>2.1500000000000004</v>
      </c>
      <c r="AL69" s="288">
        <f t="shared" si="60"/>
        <v>1.1500000000000004</v>
      </c>
      <c r="AM69" s="306">
        <f t="shared" si="61"/>
        <v>1.1500000000000004</v>
      </c>
      <c r="AP69" s="329">
        <f t="shared" si="69"/>
        <v>1.938848717617967</v>
      </c>
      <c r="AQ69" s="312">
        <f t="shared" si="62"/>
        <v>-0.31348601158916606</v>
      </c>
      <c r="AR69" s="313">
        <f t="shared" si="63"/>
        <v>0.9969461820626524</v>
      </c>
      <c r="AS69" s="313" t="e">
        <f t="shared" si="64"/>
        <v>#NUM!</v>
      </c>
      <c r="AT69" s="314" t="e">
        <f t="shared" si="65"/>
        <v>#NUM!</v>
      </c>
      <c r="AU69" s="314">
        <f t="shared" si="66"/>
        <v>3.0538179373476027E-3</v>
      </c>
      <c r="AV69" s="314" t="e">
        <f t="shared" si="66"/>
        <v>#NUM!</v>
      </c>
      <c r="AW69" s="330" t="e">
        <f t="shared" si="66"/>
        <v>#NUM!</v>
      </c>
    </row>
    <row r="70" spans="1:49" s="74" customFormat="1">
      <c r="R70" s="206"/>
      <c r="T70" s="89"/>
      <c r="U70" s="89"/>
      <c r="X70" s="96"/>
      <c r="Y70" s="310"/>
      <c r="Z70" s="288">
        <f t="shared" si="67"/>
        <v>1.2000000000000004</v>
      </c>
      <c r="AA70" s="288">
        <f t="shared" si="51"/>
        <v>1.2461692205196537</v>
      </c>
      <c r="AB70" s="288">
        <f t="shared" si="68"/>
        <v>2.9818246105765995</v>
      </c>
      <c r="AC70" s="288">
        <f t="shared" si="70"/>
        <v>-0.5890319131826004</v>
      </c>
      <c r="AD70" s="308">
        <f t="shared" si="52"/>
        <v>0.99998761783298873</v>
      </c>
      <c r="AE70" s="308" t="e">
        <f t="shared" si="53"/>
        <v>#NUM!</v>
      </c>
      <c r="AF70" s="309" t="e">
        <f t="shared" si="54"/>
        <v>#NUM!</v>
      </c>
      <c r="AG70" s="309">
        <f t="shared" si="55"/>
        <v>1.238216701127115E-5</v>
      </c>
      <c r="AH70" s="309" t="e">
        <f t="shared" si="56"/>
        <v>#NUM!</v>
      </c>
      <c r="AI70" s="309" t="e">
        <f t="shared" si="57"/>
        <v>#NUM!</v>
      </c>
      <c r="AJ70" s="288">
        <f t="shared" si="58"/>
        <v>0.2000000000000004</v>
      </c>
      <c r="AK70" s="288">
        <f t="shared" si="59"/>
        <v>2.2000000000000002</v>
      </c>
      <c r="AL70" s="288">
        <f t="shared" si="60"/>
        <v>1.2000000000000004</v>
      </c>
      <c r="AM70" s="306">
        <f t="shared" si="61"/>
        <v>1.2000000000000004</v>
      </c>
    </row>
    <row r="71" spans="1:49" s="74" customFormat="1">
      <c r="R71" s="206"/>
      <c r="T71" s="89"/>
      <c r="U71" s="89"/>
      <c r="X71" s="96"/>
      <c r="Y71" s="311"/>
      <c r="Z71" s="312">
        <f t="shared" si="67"/>
        <v>1.2500000000000004</v>
      </c>
      <c r="AA71" s="312">
        <f t="shared" si="51"/>
        <v>1.2994670219853435</v>
      </c>
      <c r="AB71" s="312">
        <f t="shared" si="68"/>
        <v>3.1093552007108567</v>
      </c>
      <c r="AC71" s="312">
        <f t="shared" si="70"/>
        <v>-0.716562503316858</v>
      </c>
      <c r="AD71" s="313">
        <f t="shared" si="52"/>
        <v>0.99999451951539209</v>
      </c>
      <c r="AE71" s="313" t="e">
        <f t="shared" si="53"/>
        <v>#NUM!</v>
      </c>
      <c r="AF71" s="314" t="e">
        <f t="shared" si="54"/>
        <v>#NUM!</v>
      </c>
      <c r="AG71" s="314">
        <f t="shared" si="55"/>
        <v>5.4804846079115066E-6</v>
      </c>
      <c r="AH71" s="314" t="e">
        <f t="shared" si="56"/>
        <v>#NUM!</v>
      </c>
      <c r="AI71" s="314" t="e">
        <f t="shared" si="57"/>
        <v>#NUM!</v>
      </c>
      <c r="AJ71" s="312">
        <f t="shared" si="58"/>
        <v>0.25000000000000044</v>
      </c>
      <c r="AK71" s="312">
        <f t="shared" si="59"/>
        <v>2.2500000000000004</v>
      </c>
      <c r="AL71" s="312">
        <f t="shared" si="60"/>
        <v>1.2500000000000004</v>
      </c>
      <c r="AM71" s="315">
        <f t="shared" si="61"/>
        <v>1.2500000000000004</v>
      </c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hyperlinks>
    <hyperlink ref="V11" location="Notes!A193" display="Notes!A193"/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Agilent Technologies&amp;R </oddHeader>
    <oddFooter>&amp;L&amp;F tab &amp;A page &amp;P of &amp;N&amp;RPrinted &amp;T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53</vt:i4>
      </vt:variant>
    </vt:vector>
  </HeadingPairs>
  <TitlesOfParts>
    <vt:vector size="59" baseType="lpstr">
      <vt:lpstr>Notes</vt:lpstr>
      <vt:lpstr>BaseOM4</vt:lpstr>
      <vt:lpstr>BaseOM4(c)</vt:lpstr>
      <vt:lpstr>BaseOM3</vt:lpstr>
      <vt:lpstr>10GbE Notes</vt:lpstr>
      <vt:lpstr>850S2000</vt:lpstr>
      <vt:lpstr>'850S2000'!B_1</vt:lpstr>
      <vt:lpstr>BaseOM3!B_1</vt:lpstr>
      <vt:lpstr>BaseOM4!B_1</vt:lpstr>
      <vt:lpstr>'BaseOM4(c)'!B_1</vt:lpstr>
      <vt:lpstr>'850S2000'!C_1</vt:lpstr>
      <vt:lpstr>BaseOM3!C_1</vt:lpstr>
      <vt:lpstr>BaseOM4!C_1</vt:lpstr>
      <vt:lpstr>'BaseOM4(c)'!C_1</vt:lpstr>
      <vt:lpstr>'850S2000'!ER</vt:lpstr>
      <vt:lpstr>BaseOM3!ER</vt:lpstr>
      <vt:lpstr>BaseOM4!ER</vt:lpstr>
      <vt:lpstr>'BaseOM4(c)'!ER</vt:lpstr>
      <vt:lpstr>'850S2000'!kRIN</vt:lpstr>
      <vt:lpstr>BaseOM3!kRIN</vt:lpstr>
      <vt:lpstr>BaseOM4!kRIN</vt:lpstr>
      <vt:lpstr>'BaseOM4(c)'!kRIN</vt:lpstr>
      <vt:lpstr>'850S2000'!Pmn</vt:lpstr>
      <vt:lpstr>BaseOM3!Pmn</vt:lpstr>
      <vt:lpstr>BaseOM4!Pmn</vt:lpstr>
      <vt:lpstr>'BaseOM4(c)'!Pmn</vt:lpstr>
      <vt:lpstr>'850S2000'!Print_Area</vt:lpstr>
      <vt:lpstr>BaseOM3!Print_Area</vt:lpstr>
      <vt:lpstr>BaseOM4!Print_Area</vt:lpstr>
      <vt:lpstr>'BaseOM4(c)'!Print_Area</vt:lpstr>
      <vt:lpstr>Notes!Print_Area</vt:lpstr>
      <vt:lpstr>'850S2000'!PRINT_AREA_MI</vt:lpstr>
      <vt:lpstr>BaseOM3!PRINT_AREA_MI</vt:lpstr>
      <vt:lpstr>BaseOM4!PRINT_AREA_MI</vt:lpstr>
      <vt:lpstr>'BaseOM4(c)'!PRINT_AREA_MI</vt:lpstr>
      <vt:lpstr>'850S2000'!Q</vt:lpstr>
      <vt:lpstr>BaseOM3!Q</vt:lpstr>
      <vt:lpstr>BaseOM4!Q</vt:lpstr>
      <vt:lpstr>'BaseOM4(c)'!Q</vt:lpstr>
      <vt:lpstr>'850S2000'!SD_blw</vt:lpstr>
      <vt:lpstr>BaseOM3!SD_blw</vt:lpstr>
      <vt:lpstr>BaseOM4!SD_blw</vt:lpstr>
      <vt:lpstr>'BaseOM4(c)'!SD_blw</vt:lpstr>
      <vt:lpstr>'850S2000'!Tb_eff</vt:lpstr>
      <vt:lpstr>BaseOM3!Tb_eff</vt:lpstr>
      <vt:lpstr>BaseOM4!Tb_eff</vt:lpstr>
      <vt:lpstr>'BaseOM4(c)'!Tb_eff</vt:lpstr>
      <vt:lpstr>'850S2000'!Uc</vt:lpstr>
      <vt:lpstr>BaseOM3!Uc</vt:lpstr>
      <vt:lpstr>BaseOM4!Uc</vt:lpstr>
      <vt:lpstr>'BaseOM4(c)'!Uc</vt:lpstr>
      <vt:lpstr>'850S2000'!Uo</vt:lpstr>
      <vt:lpstr>BaseOM3!Uo</vt:lpstr>
      <vt:lpstr>BaseOM4!Uo</vt:lpstr>
      <vt:lpstr>'BaseOM4(c)'!Uo</vt:lpstr>
      <vt:lpstr>'850S2000'!Vmn</vt:lpstr>
      <vt:lpstr>BaseOM3!Vmn</vt:lpstr>
      <vt:lpstr>BaseOM4!Vmn</vt:lpstr>
      <vt:lpstr>'BaseOM4(c)'!Vmn</vt:lpstr>
    </vt:vector>
  </TitlesOfParts>
  <Company>Avago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ExampleMMF Link Model 120918</dc:title>
  <dc:subject>IEEE P802.3bm 40 Gb/s and 100 Gb/s Optical Ethernet Task Force</dc:subject>
  <dc:creator>John Petrilla</dc:creator>
  <dc:description>Extension to 10GEPBud3_1_16a by John Petrilla, Avago Technologies</dc:description>
  <cp:lastModifiedBy>p6608pet</cp:lastModifiedBy>
  <cp:lastPrinted>2013-05-03T19:59:38Z</cp:lastPrinted>
  <dcterms:created xsi:type="dcterms:W3CDTF">2001-06-19T09:45:59Z</dcterms:created>
  <dcterms:modified xsi:type="dcterms:W3CDTF">2013-05-03T21:36:01Z</dcterms:modified>
</cp:coreProperties>
</file>