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3" activeTab="1"/>
  </bookViews>
  <sheets>
    <sheet name="Carriers" sheetId="1" r:id="rId1"/>
    <sheet name="Operators" sheetId="2" r:id="rId2"/>
    <sheet name="US_Cellular" sheetId="3" r:id="rId3"/>
    <sheet name="Top World markets" sheetId="4" r:id="rId4"/>
    <sheet name="POPS" sheetId="5" r:id="rId5"/>
    <sheet name="Bands" sheetId="6" r:id="rId6"/>
  </sheets>
  <definedNames>
    <definedName name="Cellular">"$US_Cellular.$#REF!$#REF!"</definedName>
  </definedNames>
  <calcPr fullCalcOnLoad="1"/>
</workbook>
</file>

<file path=xl/sharedStrings.xml><?xml version="1.0" encoding="utf-8"?>
<sst xmlns="http://schemas.openxmlformats.org/spreadsheetml/2006/main" count="1204" uniqueCount="789">
  <si>
    <t>Country</t>
  </si>
  <si>
    <t>Penetration</t>
  </si>
  <si>
    <t>subs(M)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</si>
  <si>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</si>
  <si>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</si>
  <si>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</si>
  <si>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</si>
  <si>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</si>
  <si>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</si>
  <si>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</si>
  <si>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</si>
  <si>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</si>
  <si>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</si>
  <si>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Argentina</t>
  </si>
  <si>
    <t>Australia</t>
  </si>
  <si>
    <t>Bangladesh</t>
  </si>
  <si>
    <t>Brazil</t>
  </si>
  <si>
    <t>Canada</t>
  </si>
  <si>
    <t>China-Mainland</t>
  </si>
  <si>
    <t>Columbia</t>
  </si>
  <si>
    <t>Egypt</t>
  </si>
  <si>
    <t>France</t>
  </si>
  <si>
    <t>Germany</t>
  </si>
  <si>
    <t>India</t>
  </si>
  <si>
    <t>Indonesia</t>
  </si>
  <si>
    <t>Italy</t>
  </si>
  <si>
    <t>Japan</t>
  </si>
  <si>
    <t>Korea, South</t>
  </si>
  <si>
    <t>Malaysia</t>
  </si>
  <si>
    <t>Mexico</t>
  </si>
  <si>
    <t>Nigeria</t>
  </si>
  <si>
    <t>Pakistan</t>
  </si>
  <si>
    <t>Philippines</t>
  </si>
  <si>
    <t>Poland</t>
  </si>
  <si>
    <t>Russia</t>
  </si>
  <si>
    <t>Saudi Arabia</t>
  </si>
  <si>
    <t>South Africa</t>
  </si>
  <si>
    <t>Spain</t>
  </si>
  <si>
    <t>Thailand</t>
  </si>
  <si>
    <t>Turkey</t>
  </si>
  <si>
    <t>United Kingdom</t>
  </si>
  <si>
    <t>United States</t>
  </si>
  <si>
    <t>Vietnam</t>
  </si>
  <si>
    <t>Top 30</t>
  </si>
  <si>
    <t>World</t>
  </si>
  <si>
    <t>these are 'volunteer' numbers, believed to be accurate when entered</t>
  </si>
  <si>
    <t>All material herein is believed to be correct but its accuracy is not guaranteed.</t>
  </si>
  <si>
    <t>Top Twelve Subscriptions</t>
  </si>
  <si>
    <t>Subs</t>
  </si>
  <si>
    <t>Q Revenue US$M</t>
  </si>
  <si>
    <t>Consumers use on average 1.85 SIM cards each</t>
  </si>
  <si>
    <t>Global penetration calculated on a connections basis passed 100% in late 2014</t>
  </si>
  <si>
    <t>, while unique subscriber penetration is just 45% in 2012, reflecting a substantial growth opportunity</t>
  </si>
  <si>
    <t>February 2016 GSMA announced one SIM per human</t>
  </si>
  <si>
    <t>Cellular revenue</t>
  </si>
  <si>
    <t>Top Ten Revenues</t>
  </si>
  <si>
    <t>Mobile % of GDP</t>
  </si>
  <si>
    <t xml:space="preserve"> </t>
  </si>
  <si>
    <t>Revenue Q US $M</t>
  </si>
  <si>
    <t>ARPU US $</t>
  </si>
  <si>
    <t>Subs4Q14</t>
  </si>
  <si>
    <t>Revenue</t>
  </si>
  <si>
    <t>Data % of ARPU</t>
  </si>
  <si>
    <t>ARPU 4Q14</t>
  </si>
  <si>
    <t>Monthly churn</t>
  </si>
  <si>
    <t>Subs1Q15</t>
  </si>
  <si>
    <t>ARPU 1Q15</t>
  </si>
  <si>
    <t>Subs2Q15</t>
  </si>
  <si>
    <t>ARPU 2Q15</t>
  </si>
  <si>
    <t>Subs3Q15</t>
  </si>
  <si>
    <t>ARPU 3Q15</t>
  </si>
  <si>
    <t>Subs4Q15</t>
  </si>
  <si>
    <t>ARPU 4Q15</t>
  </si>
  <si>
    <t>Subs1Q16</t>
  </si>
  <si>
    <t>ARPU 1Q16</t>
  </si>
  <si>
    <t>Algeria</t>
  </si>
  <si>
    <t>http://www.arpt.dz/</t>
  </si>
  <si>
    <t>Djezzy(VIP-&gt;Algerian Gov't FNI51%)</t>
  </si>
  <si>
    <t>http://www.vimpelcom.com/ir/index.wbp</t>
  </si>
  <si>
    <t>Nedjma Ooredoo(Qtel has 92.1% of Wataniya46.3%)</t>
  </si>
  <si>
    <t>http://10.wataniya.com/aboutus/investorrelations/default_en_gb.aspx</t>
  </si>
  <si>
    <t>Algerie Telecom Mobilis</t>
  </si>
  <si>
    <t>http://www.mobilis.dz/</t>
  </si>
  <si>
    <t>Telefonica Unifon(TEF97.93%)</t>
  </si>
  <si>
    <t>TEM*</t>
  </si>
  <si>
    <t>CTI Movil(AMX)</t>
  </si>
  <si>
    <t>http://www.cti.com.ar/</t>
  </si>
  <si>
    <t>Telecom Personal(TIM21.1%/TelecomArgentinatoFinTech)</t>
  </si>
  <si>
    <t>http://www.telecom.com.ar/investors/index.html</t>
  </si>
  <si>
    <t>Telstra</t>
  </si>
  <si>
    <t>TLS</t>
  </si>
  <si>
    <t>Optus(SingTel)</t>
  </si>
  <si>
    <t>Vodafone Pty to Hutch</t>
  </si>
  <si>
    <t>VOD</t>
  </si>
  <si>
    <t>VHA Hutchison 3 (Hutch 57.8%)</t>
  </si>
  <si>
    <t>HTA.AX</t>
  </si>
  <si>
    <t>Austria</t>
  </si>
  <si>
    <t>Mobilkom(AMX23%)</t>
  </si>
  <si>
    <t>http://www.telekomaustria.com/ir/investor-relations-en.php</t>
  </si>
  <si>
    <t>T-Mobile(DT)</t>
  </si>
  <si>
    <t>Orange to 3(Hutch)</t>
  </si>
  <si>
    <t xml:space="preserve">http://www.mideuropa.com/OrangeAustria.aspx </t>
  </si>
  <si>
    <t>http://www.btrc.gov.bd/index.php?option=com_content&amp;view=category&amp;layout=blog&amp;id=49&amp;Itemid=502</t>
  </si>
  <si>
    <t>GrameenPhone(Telenor 55.8%)</t>
  </si>
  <si>
    <t>Banglalink(VIP)</t>
  </si>
  <si>
    <t>AirTel(Bharti AirTel Celtel 80%)</t>
  </si>
  <si>
    <t>TMI Bangladesh Robi(TMI70%DoCoMo30%)</t>
  </si>
  <si>
    <t xml:space="preserve">http://www.axiata.com/investor/financial-reports </t>
  </si>
  <si>
    <t>Belgium</t>
  </si>
  <si>
    <t>Belgacom Proximus(Swisscom 22.4%/MTN20%)</t>
  </si>
  <si>
    <t>http://www.belgacom.com/be-en/subhome/SH_Investors.page</t>
  </si>
  <si>
    <t>KPN BASE (to Telnet)</t>
  </si>
  <si>
    <t>http://www.kpn-corporate.com</t>
  </si>
  <si>
    <t>Orange(FT50.79%)</t>
  </si>
  <si>
    <t>FT</t>
  </si>
  <si>
    <t>http://www.teleco.com.br/mshare.asp</t>
  </si>
  <si>
    <t>Brazilcel Vivo(TEM)</t>
  </si>
  <si>
    <t>America Movile Claro GSM(AMX98.9%)</t>
  </si>
  <si>
    <t>AMX</t>
  </si>
  <si>
    <t>Telcom Italia Mobile GSM (TI69.8%)</t>
  </si>
  <si>
    <t xml:space="preserve">http://www.telecomitalia.com/tit/en/investors.html </t>
  </si>
  <si>
    <t>Telemar Norte Leste Oi(PT39.7%) GSM</t>
  </si>
  <si>
    <t>http://www.mzweb.com.br/oi/web/conteudo_en.asp?tipo=28288&amp;idioma=1&amp;conta=44&amp;img=28246&amp;ano=2011</t>
  </si>
  <si>
    <t>Gov't statistics</t>
  </si>
  <si>
    <t>http://www.anatel.gov.br/Portal/exibirPortalInternet.do</t>
  </si>
  <si>
    <t>Bulgaria</t>
  </si>
  <si>
    <t>Globul(DT64.14%,Telenor)</t>
  </si>
  <si>
    <t>http://www.ote.gr</t>
  </si>
  <si>
    <t>Mobitel(Mobilkom Austria Group)</t>
  </si>
  <si>
    <t>BCE Mobile(ATT20%)</t>
  </si>
  <si>
    <t>BCE</t>
  </si>
  <si>
    <t>Rogers</t>
  </si>
  <si>
    <t>RCI</t>
  </si>
  <si>
    <t>Rogers Cable</t>
  </si>
  <si>
    <t>5.185RGUs</t>
  </si>
  <si>
    <t>5.117RGUs</t>
  </si>
  <si>
    <t>5.078RGUs</t>
  </si>
  <si>
    <t>5.057RGUs</t>
  </si>
  <si>
    <t>5.034RGUs</t>
  </si>
  <si>
    <t>5.014RGUs</t>
  </si>
  <si>
    <t>Telus Mobility Clearnet</t>
  </si>
  <si>
    <t>TU</t>
  </si>
  <si>
    <t>Chile</t>
  </si>
  <si>
    <t>http://www.subtel.gob.cl/prontus_subtel/site/artic/20070212/pags/20070212182348.html</t>
  </si>
  <si>
    <t>Telefonica Movistar</t>
  </si>
  <si>
    <t>Entel PCS</t>
  </si>
  <si>
    <t>http://www.entel.cl</t>
  </si>
  <si>
    <t>Smartcom Claro(AMX)</t>
  </si>
  <si>
    <t>China-Hong Kong</t>
  </si>
  <si>
    <t>http://www.ofca.gov.hk/en/whats_new/index.html</t>
  </si>
  <si>
    <t>Hutchison Telecom*(DoCoMo24.1%NEC5%)</t>
  </si>
  <si>
    <t xml:space="preserve">www.ckh.com.hk </t>
  </si>
  <si>
    <t>SmarTone</t>
  </si>
  <si>
    <t>http://www.smartoneholdings.com/jsp/smc_investor/results/english/index.jsp</t>
  </si>
  <si>
    <t>HongKongTele/PCCW</t>
  </si>
  <si>
    <t>http://www.hkt.com/?language=en_US</t>
  </si>
  <si>
    <t>CSLNW(Telstra76.4%) to HKT</t>
  </si>
  <si>
    <t>http://www.hkcsl.com</t>
  </si>
  <si>
    <t>http://www.miit.gov.cn</t>
  </si>
  <si>
    <t>China Mobile(VOD3.27%)</t>
  </si>
  <si>
    <t>http://www.chinamobileltd.com/en/global/home.php</t>
  </si>
  <si>
    <t>China Unicom(CHU, TEF10.02%)* GSM</t>
  </si>
  <si>
    <t>http://www.chinaunicom.com.hk/en/home/default.html</t>
  </si>
  <si>
    <t>China Telecom CDMA*</t>
  </si>
  <si>
    <t>http://www.chinatelecom-h.com/eng/ir/kpi.htm</t>
  </si>
  <si>
    <t>China-Taiwan</t>
  </si>
  <si>
    <t>Taiwan Mobile(VZ13.5%)</t>
  </si>
  <si>
    <t xml:space="preserve">http://www.tcc.net.tw/ </t>
  </si>
  <si>
    <t>FarEasTone(SingTel4%DoCoMo4.7%)</t>
  </si>
  <si>
    <t>http://www.fetnet.net/</t>
  </si>
  <si>
    <t>Chunghwa Telecom*</t>
  </si>
  <si>
    <t>http://www.cht.com.tw/CHTFinalE/Web/Business.php?Page=StackReport&amp;CatID=564</t>
  </si>
  <si>
    <t>http://www.ncc.gov.tw/English/news.aspx?site_content_sn=221</t>
  </si>
  <si>
    <t>Colombia</t>
  </si>
  <si>
    <t>http://www.supervalores.gov.co</t>
  </si>
  <si>
    <t>Comcel(AVX99.2%)</t>
  </si>
  <si>
    <t>Telefonica Moviles(TEM)</t>
  </si>
  <si>
    <t>Millicom Tigo</t>
  </si>
  <si>
    <t>Czech Rep.</t>
  </si>
  <si>
    <t>T-Mobile</t>
  </si>
  <si>
    <t>http://t-mobile.cz/cms/default.asp?menu=966</t>
  </si>
  <si>
    <t>Vodafone Czech Rep(VOD)</t>
  </si>
  <si>
    <t>TIWI.UN</t>
  </si>
  <si>
    <t>Denmark</t>
  </si>
  <si>
    <t>Sonofon(Telenor)</t>
  </si>
  <si>
    <t>TeliaSonera Denmark(Ratos)</t>
  </si>
  <si>
    <t>3 Denmark</t>
  </si>
  <si>
    <t>Ecuador</t>
  </si>
  <si>
    <t>TEF Movistar (Otecel)</t>
  </si>
  <si>
    <t>Claro (Conecel AMX)</t>
  </si>
  <si>
    <t>http://www.mcit.gov.eg/Indicators/Indicators.aspx</t>
  </si>
  <si>
    <t>ECMS Mobinil(Orange)</t>
  </si>
  <si>
    <t>https://www.mobinil.com/en/about/investors/investors</t>
  </si>
  <si>
    <t>Etisalat Mobily(Etisalat66%)</t>
  </si>
  <si>
    <t>http://www.etisalat.com/en/ir/index.jsp</t>
  </si>
  <si>
    <t>Vodafone Egypt GSM(VOD60.1%Telecom Egypt25%)</t>
  </si>
  <si>
    <t>Finland</t>
  </si>
  <si>
    <t>Sonera-&gt;TeliaSonera</t>
  </si>
  <si>
    <t>http://www.teliasonera.com</t>
  </si>
  <si>
    <t>Radiolinja Elisa</t>
  </si>
  <si>
    <t>http://www.elisa.com</t>
  </si>
  <si>
    <t>http://www.arcep.fr/</t>
  </si>
  <si>
    <t>Orange(FT85%)</t>
  </si>
  <si>
    <t>http://www.francetelecom.com</t>
  </si>
  <si>
    <t>Numericable-SFR</t>
  </si>
  <si>
    <t>http://altice.net/ir-group/results-and-presentations/</t>
  </si>
  <si>
    <t>Iliad Free</t>
  </si>
  <si>
    <t>http://www.iliad.fr/en/</t>
  </si>
  <si>
    <t>Bouygues Tele(Bouygues 89.5%)</t>
  </si>
  <si>
    <t>http://www.bouygues.com/fr/espace-presse/communiques-groupe/communiques-groupe/</t>
  </si>
  <si>
    <t>D2 Vodafone</t>
  </si>
  <si>
    <t>D1 DeTe Mobile</t>
  </si>
  <si>
    <t>DT*</t>
  </si>
  <si>
    <t>O2 (TEF)</t>
  </si>
  <si>
    <t>Greece</t>
  </si>
  <si>
    <t>CosmOTE (DT50%)</t>
  </si>
  <si>
    <t>http://www.ote.gr/oteweb/english/news/lastnews.asp</t>
  </si>
  <si>
    <t>Vodafone-Panafon (VOD99.323%)</t>
  </si>
  <si>
    <t>Hungary</t>
  </si>
  <si>
    <t>http://www.hif.hu/english/</t>
  </si>
  <si>
    <t>T-Mobile Westel(DT59.2%)</t>
  </si>
  <si>
    <t>Pannon(Telenor 100%)</t>
  </si>
  <si>
    <t>Vodafone(100%)</t>
  </si>
  <si>
    <t>http://www.ahrt.hu/</t>
  </si>
  <si>
    <t>http://www.trai.gov.in/Content/PerformanceIndicatorsReports/1_1_PerformanceIndicatorsReports.aspx</t>
  </si>
  <si>
    <t>Bharti AirTel (Telia26%/SingTel32.49%/VOD10%)</t>
  </si>
  <si>
    <t>http://www.airtel.in/wps/wcm/connect/about+bharti+airtel/Bharti+Airtel/Investor+Relations/</t>
  </si>
  <si>
    <t>Vodafone Essar</t>
  </si>
  <si>
    <t>www.htil.com</t>
  </si>
  <si>
    <t>Idea (Birla45.85%TMI14.1%Axiata19.9%)</t>
  </si>
  <si>
    <t>http://www.ideacellular.com/</t>
  </si>
  <si>
    <t>Reliance Telecom+Comm(VZ10%)</t>
  </si>
  <si>
    <t xml:space="preserve">http://www.rcom.co.in/Rcom/aboutus/ir/ir_financials.html </t>
  </si>
  <si>
    <t>BSNL CellOne</t>
  </si>
  <si>
    <t>http://www.bsnl.co.in/corporate.htm</t>
  </si>
  <si>
    <t>Tata Teleservices (DoCoMo26.5%Sistema26.5%)</t>
  </si>
  <si>
    <t>Maxis (76%Aircel,ApolloHospital24%)</t>
  </si>
  <si>
    <t>http://www.maxis.com.my/personal/about_us/investor/index.asp?iStruct=0:2</t>
  </si>
  <si>
    <t>Telewings (Telenor67.25%)</t>
  </si>
  <si>
    <t>http://www.telenor.com/investors/</t>
  </si>
  <si>
    <t>CDMA</t>
  </si>
  <si>
    <t>http://www.auspi.in/</t>
  </si>
  <si>
    <t>Indian cellular subscriptions at http://www.coai.com</t>
  </si>
  <si>
    <t>Telkomsel (PT Telkom Indo65%SingTel35%)</t>
  </si>
  <si>
    <t>http://www.telkom.co.id/hubungan-investor/laporan-laporan/info-memo/</t>
  </si>
  <si>
    <t>Satelindo (PT Indo Sat/OoredooQTel65%)</t>
  </si>
  <si>
    <t>http://indosat.com/id/investor-relation</t>
  </si>
  <si>
    <t>XL Axiata (PT Axis STC 83.825% Etisalat15.97%)</t>
  </si>
  <si>
    <t>PT HutchCP Tele (Hutch 60%)</t>
  </si>
  <si>
    <t>http://www.mobile-8.com</t>
  </si>
  <si>
    <t>Iran</t>
  </si>
  <si>
    <t>http://en.wikipedia.org/wiki/List_of_mobile_network_operators_of_the_Middle_East_and_Africa#Iran</t>
  </si>
  <si>
    <t>Mobile Comm co of Iran Hamrah-e-Avval</t>
  </si>
  <si>
    <t>http://www.mci.ir/web/en/home</t>
  </si>
  <si>
    <t>MTN Irancell</t>
  </si>
  <si>
    <t>Iraq</t>
  </si>
  <si>
    <t>Zain AirTel Iraq Altheer (76%)</t>
  </si>
  <si>
    <t xml:space="preserve">http://www.zain.com/investor-relations/financial-reports/ </t>
  </si>
  <si>
    <t>Asiacell (OoredooQTel64.1%)</t>
  </si>
  <si>
    <t>http://www.ooredoo.com/en/section/investor-relations</t>
  </si>
  <si>
    <t>Korek (FT20%)</t>
  </si>
  <si>
    <t>Israel</t>
  </si>
  <si>
    <t>CellCom Israel</t>
  </si>
  <si>
    <t>http://investors.ircellcom.co.il/releases.cfm</t>
  </si>
  <si>
    <t>Pele-Phone(Bezeq100%)</t>
  </si>
  <si>
    <t>http://www.bezeq.co.il/</t>
  </si>
  <si>
    <t>Partner/Orange(Hutchison52.2%)</t>
  </si>
  <si>
    <t>http://orange.co.il/ir-en</t>
  </si>
  <si>
    <t>Telecom Italia Mobile(Pirelli/Vivendi19.88%)</t>
  </si>
  <si>
    <t>http://www.telecomitalia.com/tit/en/investors.html</t>
  </si>
  <si>
    <t>Omnitel Vodafone(VOD76.8%/VZ23.1%)*</t>
  </si>
  <si>
    <t>Wind (VIP to JV)</t>
  </si>
  <si>
    <t>http://www.windgroup.it/</t>
  </si>
  <si>
    <t>Hutchison 3(90% to JV)</t>
  </si>
  <si>
    <t xml:space="preserve">http://www.tca.or.jp/english/database/ </t>
  </si>
  <si>
    <t>NTT DoCoMo</t>
  </si>
  <si>
    <t>http://www.nttdocomo.co.jp/english/corporate/ir/index.html</t>
  </si>
  <si>
    <t>Softbank Mobile</t>
  </si>
  <si>
    <t>http://www.softbank.co.jp/en/irinfo/index.html</t>
  </si>
  <si>
    <t>KDDI au CDMA</t>
  </si>
  <si>
    <t>http://www.kddi.com/english/corporate/ir/</t>
  </si>
  <si>
    <t>Kenya</t>
  </si>
  <si>
    <t>http://cck.go.ke/resc/statcs.html</t>
  </si>
  <si>
    <t>Safaricom(VOD40%)</t>
  </si>
  <si>
    <t xml:space="preserve">http://www.safaricom.co.ke/investor-relations </t>
  </si>
  <si>
    <t>AirTel(Bharti AirTel Celtel 80%includes Essar Tele from 4Q14)</t>
  </si>
  <si>
    <t>TelKom Kenya-&gt;Orange</t>
  </si>
  <si>
    <t>SK Tele</t>
  </si>
  <si>
    <t>http://www.sktelecom.com/</t>
  </si>
  <si>
    <t>KT Freetel(KT 36%SKT9.55%DoCoMo5.5%)* DCS</t>
  </si>
  <si>
    <t>http://www.kt.com/eng/main.jsp</t>
  </si>
  <si>
    <t>LG Telecom(BT)</t>
  </si>
  <si>
    <t>http://www.uplus.co.kr/cmg/engl/inre/peir/RetrievePeIrOverview.hpi?mid=2636</t>
  </si>
  <si>
    <t>Maxis(private,SaudiTele44%)</t>
  </si>
  <si>
    <t xml:space="preserve">http://www.maxis.com.my/en/about-maxis/investors/overview.html </t>
  </si>
  <si>
    <t>Celcom(DT8%TelMal15.6%)</t>
  </si>
  <si>
    <t>DiGi.Com (Telenor 49%Telecom Malaysia31.25%)</t>
  </si>
  <si>
    <t>TelCel(America Movile/AT&amp;T9%)</t>
  </si>
  <si>
    <t>Telefonica Movistar(TEM92%)</t>
  </si>
  <si>
    <t>AT&amp;T Mexico(was Nextel+Iusacell)</t>
  </si>
  <si>
    <t>Morocco</t>
  </si>
  <si>
    <t>http://www.anrt.ma/fr/</t>
  </si>
  <si>
    <t>Medi Telecom(FT 100%)</t>
  </si>
  <si>
    <t>Maroc El-Maghrib(53%Etisalat)</t>
  </si>
  <si>
    <t>Netherlands</t>
  </si>
  <si>
    <t>KPN (AMX27.7%DoCoMo2.16%)</t>
  </si>
  <si>
    <t>http://corporate.kpn.com/investor-relations.htm</t>
  </si>
  <si>
    <t>Vodafone Libertel(VOD)</t>
  </si>
  <si>
    <t>T-Mobile/Ben(DT)</t>
  </si>
  <si>
    <t>http://www.ncc.gov.ng/index.php?option=com_content&amp;view=article&amp;id=125&amp;Itemid=73</t>
  </si>
  <si>
    <t>MTN Nigeria(MTN82%)</t>
  </si>
  <si>
    <t>Airtel(Bharti Celtel65%)</t>
  </si>
  <si>
    <t>Etisalat Mobily</t>
  </si>
  <si>
    <t>Norway</t>
  </si>
  <si>
    <t>Telenor</t>
  </si>
  <si>
    <t>http://www.telenor.com/ir/</t>
  </si>
  <si>
    <t>TeliaSonera</t>
  </si>
  <si>
    <t>http://www.pta.gov.pk/index.php?option=com_content&amp;task=view&amp;id=269&amp;Itemid=143</t>
  </si>
  <si>
    <t>Mobilink (VIP)</t>
  </si>
  <si>
    <t>CMPak Zong (CHL88.86%)</t>
  </si>
  <si>
    <t>Telenor Pakistan</t>
  </si>
  <si>
    <t>PTCL uFone (Etisalat27%)</t>
  </si>
  <si>
    <t>Al-Warid Telecom (Dhabi Group)</t>
  </si>
  <si>
    <t>Peru</t>
  </si>
  <si>
    <t>Telefonica del Peru(TEM98.4%)</t>
  </si>
  <si>
    <t>Bitel</t>
  </si>
  <si>
    <t>Entel</t>
  </si>
  <si>
    <t>Smart(PLDTDoCoMo14.3%)</t>
  </si>
  <si>
    <t>http://www.pldt.com.ph/</t>
  </si>
  <si>
    <t>GlobeTelecom(SingTel47.2%/DT)</t>
  </si>
  <si>
    <t>http://www.globe.com.ph/investor-relations</t>
  </si>
  <si>
    <t>http://www.en.uke.gov.pl/</t>
  </si>
  <si>
    <t>Centertel(FT56.4%)</t>
  </si>
  <si>
    <t>Polkomtel</t>
  </si>
  <si>
    <t xml:space="preserve">http://www.polkomtel.com.pl/english/dzialalnosc_biznesowa/ </t>
  </si>
  <si>
    <t>Polska TC(DT)</t>
  </si>
  <si>
    <t>Portugal</t>
  </si>
  <si>
    <t>http://www.anacom.pt/</t>
  </si>
  <si>
    <t>TMN(Portugal Telecom, TEF9.96%)</t>
  </si>
  <si>
    <t>Vodafone Telecel(VOD)</t>
  </si>
  <si>
    <t>Romania</t>
  </si>
  <si>
    <t>Orange(FT96.8%)</t>
  </si>
  <si>
    <t>MobiFon(VOD)</t>
  </si>
  <si>
    <t>http://www.connex.ro</t>
  </si>
  <si>
    <t>CosmoRom(DT86.2%)</t>
  </si>
  <si>
    <t>http://www.acm-consulting.com/cellulardata.php</t>
  </si>
  <si>
    <t>Mobile TeleSys(Sistema50.4%)</t>
  </si>
  <si>
    <t xml:space="preserve">http://www.mtsgsm.com/resources/reports </t>
  </si>
  <si>
    <t>Vimpelcom VIP(L1Tech48%Alfa25%)</t>
  </si>
  <si>
    <t>http://www.vimpelcom.com/Investor-relations/</t>
  </si>
  <si>
    <t>NW MegaFon(TeliaSonera35.6%AFTelecom50+%)</t>
  </si>
  <si>
    <t>http://ir.megafon.com/</t>
  </si>
  <si>
    <t>T2 RTK (VTB Group55%Rostelcom45%)</t>
  </si>
  <si>
    <t>Etisalat Mobily (ETEL.AD26%)</t>
  </si>
  <si>
    <t>http://www.mobily.com.sa/portalu/wps/portal/about/investor-relations</t>
  </si>
  <si>
    <t>Saudi Telecom Al-Jawal</t>
  </si>
  <si>
    <t>http://www.stc.com.sa/</t>
  </si>
  <si>
    <t>Zain(Zain 37%)</t>
  </si>
  <si>
    <t>Singapore</t>
  </si>
  <si>
    <t>SingTel Mobile</t>
  </si>
  <si>
    <t>http://info.singtel.com/about-us/investor-relations</t>
  </si>
  <si>
    <t>MobileOne(TMI29.66%C&amp;W15.3%/PCCW14.7%)</t>
  </si>
  <si>
    <t>http://www.m1.com.sg/</t>
  </si>
  <si>
    <t xml:space="preserve">https://www.icasa.org.za </t>
  </si>
  <si>
    <t>Vodacom(VOD65%)</t>
  </si>
  <si>
    <t>http://www.telkom.co.za/ir</t>
  </si>
  <si>
    <t>MTN</t>
  </si>
  <si>
    <t>http://www.mtn.com/Investors</t>
  </si>
  <si>
    <t>www.cmt.es</t>
  </si>
  <si>
    <t>Telefonica Moviles</t>
  </si>
  <si>
    <t>http://www.telefonica.com/en/shareholders-investors/jsp/home/home.jsp</t>
  </si>
  <si>
    <t>Vodafone Spain(VOD)</t>
  </si>
  <si>
    <t>Orange Spain(FT)</t>
  </si>
  <si>
    <t>Sudan and South Sudan</t>
  </si>
  <si>
    <t>Zain</t>
  </si>
  <si>
    <t>MTN Sudan</t>
  </si>
  <si>
    <t>Sweden</t>
  </si>
  <si>
    <t>Tele2</t>
  </si>
  <si>
    <t>3 Hi3G</t>
  </si>
  <si>
    <t>http://www.tre.se/</t>
  </si>
  <si>
    <t>Telenor Sweden</t>
  </si>
  <si>
    <t>Switzerland</t>
  </si>
  <si>
    <t>Swisscom Natal</t>
  </si>
  <si>
    <t>http://www.swisscom.com/ir/content/index_EN.html</t>
  </si>
  <si>
    <t>Orange (NJJ/Niel)</t>
  </si>
  <si>
    <t>Adv Info Serv(SingTel 23.32%)</t>
  </si>
  <si>
    <t>DTAC Total Access Comm(Telenor65.5%)</t>
  </si>
  <si>
    <t>True Communication</t>
  </si>
  <si>
    <t>http://www2.truecorp.co.th/en/home_flash.aspx</t>
  </si>
  <si>
    <t>Tunisia</t>
  </si>
  <si>
    <t>Orange</t>
  </si>
  <si>
    <t>Tunisiana(Ooredoo Qtel has 92.1% of Wataniya39.37%)</t>
  </si>
  <si>
    <t>Turkcell TKC(TeliaSonera37.1%Cukurova21.3%Alfa4.9%)</t>
  </si>
  <si>
    <t>http://www.turkcell.com.tr/en/aboutus/investor-relations</t>
  </si>
  <si>
    <t>Telsim(VOD)</t>
  </si>
  <si>
    <t>http://www.telsim.com.tr/</t>
  </si>
  <si>
    <t>Avea IHAS(Turk Telecom81.37%)</t>
  </si>
  <si>
    <t>http://www.turktelekom.com.tr/tt/portal/InvestorRelations</t>
  </si>
  <si>
    <t>Ukraine</t>
  </si>
  <si>
    <t>Kyivstar(Vimpelcom)</t>
  </si>
  <si>
    <t>MTS</t>
  </si>
  <si>
    <t>http://www.umc.com.ua/</t>
  </si>
  <si>
    <t>lifecell(Turkcell)</t>
  </si>
  <si>
    <t>Vodafone</t>
  </si>
  <si>
    <t>VOD*</t>
  </si>
  <si>
    <t>Everything Everywhere(BT)</t>
  </si>
  <si>
    <t>ORA.PA*</t>
  </si>
  <si>
    <t>O2</t>
  </si>
  <si>
    <t>OOM*</t>
  </si>
  <si>
    <t>3 Hutchison</t>
  </si>
  <si>
    <t>http://www.ctia.org</t>
  </si>
  <si>
    <t>SBC*</t>
  </si>
  <si>
    <t>Comcast cable subs</t>
  </si>
  <si>
    <t>CMCSA</t>
  </si>
  <si>
    <t>Time Warner Cable subs</t>
  </si>
  <si>
    <t xml:space="preserve">http://ir.timewarnercable.com/investor-relations/default.aspx </t>
  </si>
  <si>
    <t>Cablevision cable subs</t>
  </si>
  <si>
    <t xml:space="preserve">http://altice.net/ir-group/results-and-presentations/ </t>
  </si>
  <si>
    <t>Venezuela</t>
  </si>
  <si>
    <t xml:space="preserve">http://www.conatel.gob.ve/ </t>
  </si>
  <si>
    <t>Movilnet(CANTV/TEF7%)</t>
  </si>
  <si>
    <t>http://www.cantv.com.ve/</t>
  </si>
  <si>
    <t>VNT</t>
  </si>
  <si>
    <t>Digitel(Telvenco)</t>
  </si>
  <si>
    <t>http://www.digitel.com.ve/</t>
  </si>
  <si>
    <t>http://english.vietnamnet.vn/fms/science-it/</t>
  </si>
  <si>
    <t xml:space="preserve">Viettel(Military-run) </t>
  </si>
  <si>
    <t>http://www.viettel.com.vn/</t>
  </si>
  <si>
    <t>MobiFone(MIC)</t>
  </si>
  <si>
    <t>http://www.mobifone.com.vn/web/vn/home/mobifone_history.jsp</t>
  </si>
  <si>
    <t>Hutchison Asia Telecom</t>
  </si>
  <si>
    <t>VNPT-VinaPhone (civil servants)</t>
  </si>
  <si>
    <t>http://www.vinaphone.com.vn/locale.do?language=en</t>
  </si>
  <si>
    <t>AG/D</t>
  </si>
  <si>
    <t>60 countries</t>
  </si>
  <si>
    <t>← strengthening USD (pos % world GDP) lowers total revenue</t>
  </si>
  <si>
    <t>http://search.worldbank.org/data?qterm=Mobile%20cellular%20subscriptions&amp;language=EN</t>
  </si>
  <si>
    <t>World Subscribers</t>
  </si>
  <si>
    <t>1Q05</t>
  </si>
  <si>
    <t>1Q06</t>
  </si>
  <si>
    <t>1Q07</t>
  </si>
  <si>
    <t>1Q08</t>
  </si>
  <si>
    <t>1Q09</t>
  </si>
  <si>
    <t>1Q10</t>
  </si>
  <si>
    <t>1Q11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</si>
  <si>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</si>
  <si>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</si>
  <si>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</si>
  <si>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</si>
  <si>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</si>
  <si>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</si>
  <si>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</si>
  <si>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</si>
  <si>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</si>
  <si>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</si>
  <si>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</si>
  <si>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</si>
  <si>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</si>
  <si>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</si>
  <si>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</si>
  <si>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</si>
  <si>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</si>
  <si>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Worldwide proportionate subscribers</t>
  </si>
  <si>
    <t>China Mobile</t>
  </si>
  <si>
    <t>CHL</t>
  </si>
  <si>
    <t>SingTel</t>
  </si>
  <si>
    <t>China Unicom</t>
  </si>
  <si>
    <t>CHU</t>
  </si>
  <si>
    <t>America Movil</t>
  </si>
  <si>
    <t>Axiata (Kuala Lumpur)</t>
  </si>
  <si>
    <t xml:space="preserve">Telefonica Internacional </t>
  </si>
  <si>
    <t>TEF</t>
  </si>
  <si>
    <t>Deutsche Telekom</t>
  </si>
  <si>
    <t>DT</t>
  </si>
  <si>
    <t>France Telecom/Orange</t>
  </si>
  <si>
    <t>Bharti AirTel(Telia26%/SingTel31.95%/VOD10%)</t>
  </si>
  <si>
    <t>Verizon</t>
  </si>
  <si>
    <t>VZW</t>
  </si>
  <si>
    <t>Vimplecom</t>
  </si>
  <si>
    <t>VIP</t>
  </si>
  <si>
    <t>Worldwide proportionate  mobile revenues, US $M</t>
  </si>
  <si>
    <t>Verizon Wireless</t>
  </si>
  <si>
    <t>VZ</t>
  </si>
  <si>
    <t>AT&amp;T Wireless</t>
  </si>
  <si>
    <t xml:space="preserve">T </t>
  </si>
  <si>
    <t>Vodafone (ex-VZW '14)</t>
  </si>
  <si>
    <t>DCM</t>
  </si>
  <si>
    <t>Sprint Nextel</t>
  </si>
  <si>
    <t xml:space="preserve">S </t>
  </si>
  <si>
    <t>Corruption Perception Index at</t>
  </si>
  <si>
    <t>http://www.transparency.org/whatwedo/publications</t>
  </si>
  <si>
    <t>http://www.transparency.org/country</t>
  </si>
  <si>
    <t>Currency Conversion at</t>
  </si>
  <si>
    <t>http://finance.yahoo.com/m3</t>
  </si>
  <si>
    <t>Global Competitiveness Report</t>
  </si>
  <si>
    <t>http://www.weforum.org/reports/global-competitiveness-report-2014-2015</t>
  </si>
  <si>
    <t>Asian Cellular operators</t>
  </si>
  <si>
    <t>http://www.aptsec.org/membership/affimem.html</t>
  </si>
  <si>
    <t>World Values Survey (be Trusted)</t>
  </si>
  <si>
    <t>http://www.worldvaluessurvey.org/WVSContents.jsp</t>
  </si>
  <si>
    <t>US Cellular Carriers</t>
  </si>
  <si>
    <t>2Q04</t>
  </si>
  <si>
    <t>3Q04</t>
  </si>
  <si>
    <t>4Q04</t>
  </si>
  <si>
    <t>2Q05</t>
  </si>
  <si>
    <t>3Q05</t>
  </si>
  <si>
    <t>4Q05</t>
  </si>
  <si>
    <t>2Q06</t>
  </si>
  <si>
    <t>3Q06</t>
  </si>
  <si>
    <t>4Q06</t>
  </si>
  <si>
    <t>2Q07</t>
  </si>
  <si>
    <t>3Q07</t>
  </si>
  <si>
    <t>4Q07</t>
  </si>
  <si>
    <t>2Q08</t>
  </si>
  <si>
    <t>3Q08</t>
  </si>
  <si>
    <t>4Q08</t>
  </si>
  <si>
    <t>2Q09</t>
  </si>
  <si>
    <t>3Q09</t>
  </si>
  <si>
    <t>4Q09</t>
  </si>
  <si>
    <t>2Q10</t>
  </si>
  <si>
    <t>3Q10</t>
  </si>
  <si>
    <t>4Q10</t>
  </si>
  <si>
    <t>2Q11</t>
  </si>
  <si>
    <t>3Q11</t>
  </si>
  <si>
    <t>4Q11</t>
  </si>
  <si>
    <t>Intl subs</t>
  </si>
  <si>
    <t>Verizon Wireless (VZW)</t>
  </si>
  <si>
    <t>AT&amp;T Wireless (T)</t>
  </si>
  <si>
    <t>T</t>
  </si>
  <si>
    <t>Sprint Nextel (S)</t>
  </si>
  <si>
    <t>S</t>
  </si>
  <si>
    <t>US Cellular Corp (C,T)</t>
  </si>
  <si>
    <t>USM</t>
  </si>
  <si>
    <t>Alltel Comm  to VZ</t>
  </si>
  <si>
    <t>AT</t>
  </si>
  <si>
    <t>to VZ</t>
  </si>
  <si>
    <t>T-Mobile VoiceStream (TMUS)</t>
  </si>
  <si>
    <t>Virgin Mobile to Sprint</t>
  </si>
  <si>
    <t>VM</t>
  </si>
  <si>
    <t>WesternWireless to Alltel</t>
  </si>
  <si>
    <t>to AT</t>
  </si>
  <si>
    <t>Leap Wireless to ATT</t>
  </si>
  <si>
    <t>LEAP</t>
  </si>
  <si>
    <t>MetroPCS to T-Mobile</t>
  </si>
  <si>
    <t>PCS</t>
  </si>
  <si>
    <t>ARPU</t>
  </si>
  <si>
    <t>Cell Sites</t>
  </si>
  <si>
    <t>Incremental Capital Invested - 6 months</t>
  </si>
  <si>
    <t>$13.05B</t>
  </si>
  <si>
    <t>Pop(M)</t>
  </si>
  <si>
    <t>BUENOS AIRES</t>
  </si>
  <si>
    <t>Córdoba</t>
  </si>
  <si>
    <t>La Matanza</t>
  </si>
  <si>
    <t>Sydney</t>
  </si>
  <si>
    <t>Melbourne</t>
  </si>
  <si>
    <t>Brisbane</t>
  </si>
  <si>
    <t>Adelaide</t>
  </si>
  <si>
    <t>WIEN</t>
  </si>
  <si>
    <t>Sao Paolo</t>
  </si>
  <si>
    <t>Rio de Janeiro</t>
  </si>
  <si>
    <t>Salvador</t>
  </si>
  <si>
    <t>Toronto</t>
  </si>
  <si>
    <t>Montréal</t>
  </si>
  <si>
    <t>Vancouver</t>
  </si>
  <si>
    <t>Shanghai</t>
  </si>
  <si>
    <t>BEIJING</t>
  </si>
  <si>
    <t>Tianjin</t>
  </si>
  <si>
    <t>Taipai</t>
  </si>
  <si>
    <t>KOBENHAVN</t>
  </si>
  <si>
    <t>HELSINKI</t>
  </si>
  <si>
    <t>Paris</t>
  </si>
  <si>
    <t>Lyon</t>
  </si>
  <si>
    <t>Marseille</t>
  </si>
  <si>
    <t>Berlin</t>
  </si>
  <si>
    <t>Hamburg</t>
  </si>
  <si>
    <t>München</t>
  </si>
  <si>
    <t>Bombay</t>
  </si>
  <si>
    <t>Calcutta</t>
  </si>
  <si>
    <t>Delhi</t>
  </si>
  <si>
    <t>Jakarta</t>
  </si>
  <si>
    <t>Surabaya</t>
  </si>
  <si>
    <t>Bandung</t>
  </si>
  <si>
    <t>Tel Aviv</t>
  </si>
  <si>
    <t>Roma</t>
  </si>
  <si>
    <t>Milano</t>
  </si>
  <si>
    <t>Napoli</t>
  </si>
  <si>
    <t>Tokyo</t>
  </si>
  <si>
    <t>Yokohama</t>
  </si>
  <si>
    <t>Osaka</t>
  </si>
  <si>
    <t>Seoul</t>
  </si>
  <si>
    <t>Busan</t>
  </si>
  <si>
    <t>Daegu</t>
  </si>
  <si>
    <t>KUALA LUMPUR</t>
  </si>
  <si>
    <t>MEXICO, CIUDAD DE</t>
  </si>
  <si>
    <t>Guadalajara</t>
  </si>
  <si>
    <t>Monterrey</t>
  </si>
  <si>
    <t>AMSTERDAM</t>
  </si>
  <si>
    <t>Rotterdam</t>
  </si>
  <si>
    <t>MANILA</t>
  </si>
  <si>
    <t>Quezon City</t>
  </si>
  <si>
    <t>WARSZAWA</t>
  </si>
  <si>
    <t>MOSKVA</t>
  </si>
  <si>
    <t>St. Petersburg</t>
  </si>
  <si>
    <t>Novosibirsk</t>
  </si>
  <si>
    <t>SINGAPORE</t>
  </si>
  <si>
    <t>MADRID</t>
  </si>
  <si>
    <t>Barcelona</t>
  </si>
  <si>
    <t>Stockholm</t>
  </si>
  <si>
    <t>Zurich</t>
  </si>
  <si>
    <t>BANGKOK</t>
  </si>
  <si>
    <t>London</t>
  </si>
  <si>
    <t>Birmingham</t>
  </si>
  <si>
    <t>New York</t>
  </si>
  <si>
    <t>Los Angeles</t>
  </si>
  <si>
    <t>Chicago</t>
  </si>
  <si>
    <t>Country 2014 Census</t>
  </si>
  <si>
    <t>POP Jul'15</t>
  </si>
  <si>
    <t>Cell/100</t>
  </si>
  <si>
    <t>GDP'14 PPP ($B)</t>
  </si>
  <si>
    <t>working on 2015</t>
  </si>
  <si>
    <t>https://www.cia.gov/library/publications/the-world-factbook/geos/xx.html</t>
  </si>
  <si>
    <t>*Please email corrections or suggestions to petere@cisco.com</t>
  </si>
  <si>
    <t>Afghanistan</t>
  </si>
  <si>
    <t>Albania</t>
  </si>
  <si>
    <t>Angola</t>
  </si>
  <si>
    <t>Armenia</t>
  </si>
  <si>
    <t>Azerbaijan</t>
  </si>
  <si>
    <t>Bahrain</t>
  </si>
  <si>
    <t>Barbados</t>
  </si>
  <si>
    <t>Belarus</t>
  </si>
  <si>
    <t>Belize</t>
  </si>
  <si>
    <t>Benin</t>
  </si>
  <si>
    <t>Bhutan</t>
  </si>
  <si>
    <t>Bolivia</t>
  </si>
  <si>
    <t>Bosnia &amp; Herzegovina</t>
  </si>
  <si>
    <t>Botswana</t>
  </si>
  <si>
    <t>Brunei</t>
  </si>
  <si>
    <t>Burkina Faso</t>
  </si>
  <si>
    <t>Burma/Myanmar</t>
  </si>
  <si>
    <t>Burundi</t>
  </si>
  <si>
    <t>Cambodia</t>
  </si>
  <si>
    <t>Cameroon</t>
  </si>
  <si>
    <t>Central African Rep.</t>
  </si>
  <si>
    <t>Chad</t>
  </si>
  <si>
    <t>Congo, Dem. Rep.(Zaire)</t>
  </si>
  <si>
    <t>Congo, Republic of the</t>
  </si>
  <si>
    <t>Costa Rica</t>
  </si>
  <si>
    <t>Cote d'Ivoire</t>
  </si>
  <si>
    <t>Croatia</t>
  </si>
  <si>
    <t>Cuba</t>
  </si>
  <si>
    <t>Cyprus</t>
  </si>
  <si>
    <t>Djibouti</t>
  </si>
  <si>
    <t>Dominican Rep.</t>
  </si>
  <si>
    <t>El Salvador</t>
  </si>
  <si>
    <t>Equatorial Guinea</t>
  </si>
  <si>
    <t>Eritrea</t>
  </si>
  <si>
    <t>Estonia</t>
  </si>
  <si>
    <t>Ethiopia</t>
  </si>
  <si>
    <t>European Union</t>
  </si>
  <si>
    <t>Fiji</t>
  </si>
  <si>
    <t>Gabon</t>
  </si>
  <si>
    <t>Gambia</t>
  </si>
  <si>
    <t>Georgia</t>
  </si>
  <si>
    <t>Ghana</t>
  </si>
  <si>
    <t>Guatemala</t>
  </si>
  <si>
    <t>Guinea</t>
  </si>
  <si>
    <t>Guinea-Bissau</t>
  </si>
  <si>
    <t>Haiti</t>
  </si>
  <si>
    <t>Honduras</t>
  </si>
  <si>
    <t>Ireland</t>
  </si>
  <si>
    <t>Jamaica</t>
  </si>
  <si>
    <t>Jordan</t>
  </si>
  <si>
    <t>Kazakhstan</t>
  </si>
  <si>
    <t>Korea, North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</si>
  <si>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</si>
  <si>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</si>
  <si>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</si>
  <si>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</si>
  <si>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</si>
  <si>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</si>
  <si>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</si>
  <si>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</si>
  <si>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</si>
  <si>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Lithuania</t>
  </si>
  <si>
    <t>Luxembourg</t>
  </si>
  <si>
    <t>Madagascar</t>
  </si>
  <si>
    <t>Malawi</t>
  </si>
  <si>
    <t>Mali</t>
  </si>
  <si>
    <t>Mauritania</t>
  </si>
  <si>
    <t>Moldova</t>
  </si>
  <si>
    <t>Mongolia</t>
  </si>
  <si>
    <t>Mozambique</t>
  </si>
  <si>
    <t>Nepal</t>
  </si>
  <si>
    <t>New Zealand</t>
  </si>
  <si>
    <t>Nicaragua</t>
  </si>
  <si>
    <t>Niger</t>
  </si>
  <si>
    <t>Oman</t>
  </si>
  <si>
    <t>Panama</t>
  </si>
  <si>
    <t>Papua New Guinea</t>
  </si>
  <si>
    <t>Paraguay</t>
  </si>
  <si>
    <t>Puerto Rico</t>
  </si>
  <si>
    <t>Qatar</t>
  </si>
  <si>
    <t>Rwanda</t>
  </si>
  <si>
    <t>Senegal</t>
  </si>
  <si>
    <t>Serbia</t>
  </si>
  <si>
    <t>Sierra Leone</t>
  </si>
  <si>
    <t>Slovakia</t>
  </si>
  <si>
    <t>Slovenia</t>
  </si>
  <si>
    <t>Somalia</t>
  </si>
  <si>
    <t>South Sudan</t>
  </si>
  <si>
    <t>Sri Lanka</t>
  </si>
  <si>
    <t>Sudan</t>
  </si>
  <si>
    <t>Syria</t>
  </si>
  <si>
    <t>Tajikistan</t>
  </si>
  <si>
    <t>Tanzania</t>
  </si>
  <si>
    <t>Togo</t>
  </si>
  <si>
    <t>Turkmenistan</t>
  </si>
  <si>
    <t>Uganda</t>
  </si>
  <si>
    <t>United Arab Emirates</t>
  </si>
  <si>
    <t>Uruguay</t>
  </si>
  <si>
    <t>Uzbekistan</t>
  </si>
  <si>
    <t>Yemen</t>
  </si>
  <si>
    <t>Zambia</t>
  </si>
  <si>
    <t>Zimbabwe</t>
  </si>
  <si>
    <t>Metcalf's law - value goes up by N * (N-1) nodes that can connect</t>
  </si>
  <si>
    <t>GDP'11($B)</t>
  </si>
  <si>
    <t>Reed's law - N people in one call per day</t>
  </si>
  <si>
    <t>http://www.prb.org/Content/NavigationMenu/Other_reports/2000-2002/sheet1.html</t>
  </si>
  <si>
    <t>US</t>
  </si>
  <si>
    <t>https://www.cia.gov/library/publications/the-world-factbook/index.html</t>
  </si>
  <si>
    <t>EMEA</t>
  </si>
  <si>
    <t>AmInt</t>
  </si>
  <si>
    <t>APAC</t>
  </si>
  <si>
    <t>China</t>
  </si>
  <si>
    <t>http://www.census.gov/main/www/popclock.html</t>
  </si>
  <si>
    <t>AMPS</t>
  </si>
  <si>
    <t xml:space="preserve">TDMA </t>
  </si>
  <si>
    <t>GSM</t>
  </si>
  <si>
    <t>PDC1400</t>
  </si>
  <si>
    <t>DCS1800</t>
  </si>
  <si>
    <t>PHS</t>
  </si>
  <si>
    <t>PCS1900</t>
  </si>
  <si>
    <t>ISM 2.4</t>
  </si>
  <si>
    <t>MMDS</t>
  </si>
  <si>
    <t>U-NII</t>
  </si>
  <si>
    <t>Rx</t>
  </si>
  <si>
    <t>869-894</t>
  </si>
  <si>
    <t>925-960</t>
  </si>
  <si>
    <t>1429-1453</t>
  </si>
  <si>
    <t>1805-1880</t>
  </si>
  <si>
    <t>1895-1918</t>
  </si>
  <si>
    <t>1930-1990</t>
  </si>
  <si>
    <t>2400-2479</t>
  </si>
  <si>
    <t>2500-2691</t>
  </si>
  <si>
    <t>5.15-5.35</t>
  </si>
  <si>
    <t>Tx</t>
  </si>
  <si>
    <t>824-849</t>
  </si>
  <si>
    <t>880-915</t>
  </si>
  <si>
    <t>1477-1501</t>
  </si>
  <si>
    <t>1710-1785</t>
  </si>
  <si>
    <t>1850-1910</t>
  </si>
  <si>
    <t>5.725-5.85</t>
  </si>
  <si>
    <t>cellular</t>
  </si>
  <si>
    <t>X</t>
  </si>
  <si>
    <t>Low tier</t>
  </si>
  <si>
    <t>X-swapped</t>
  </si>
  <si>
    <t>X, 1500</t>
  </si>
  <si>
    <t>Num of channels</t>
  </si>
  <si>
    <t>Channel spacing</t>
  </si>
  <si>
    <t>30kHz</t>
  </si>
  <si>
    <t>1250kHz</t>
  </si>
  <si>
    <t>200kHz</t>
  </si>
  <si>
    <t>25kHz</t>
  </si>
  <si>
    <t>300kHz</t>
  </si>
  <si>
    <t>6MHz</t>
  </si>
  <si>
    <t>5 MHz</t>
  </si>
  <si>
    <t>Modulation</t>
  </si>
  <si>
    <t>FM</t>
  </si>
  <si>
    <t>pi/4 DQPSK</t>
  </si>
  <si>
    <t>QPSK/OQPSK</t>
  </si>
  <si>
    <t>GMSA</t>
  </si>
  <si>
    <t>GMSK</t>
  </si>
  <si>
    <t>Channel Bit Rate</t>
  </si>
  <si>
    <t>N/A</t>
  </si>
  <si>
    <t>48.6kbps</t>
  </si>
  <si>
    <t>1.2288Mbps</t>
  </si>
  <si>
    <t>270kbps</t>
  </si>
  <si>
    <t>42kbps</t>
  </si>
  <si>
    <t>384kbps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</si>
</sst>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#,##0_);[RED]\(#,##0\)"/>
    <numFmt numFmtId="166" formatCode="0.000"/>
    <numFmt numFmtId="167" formatCode="D\-MMM\-YY"/>
    <numFmt numFmtId="168" formatCode="#,##0.0"/>
    <numFmt numFmtId="169" formatCode="#,##0"/>
    <numFmt numFmtId="170" formatCode="0.0"/>
    <numFmt numFmtId="171" formatCode="0%"/>
    <numFmt numFmtId="172" formatCode="0"/>
    <numFmt numFmtId="173" formatCode="0.00%"/>
    <numFmt numFmtId="174" formatCode="\$#,##0.0"/>
    <numFmt numFmtId="175" formatCode="0.00"/>
    <numFmt numFmtId="176" formatCode="0.0%"/>
    <numFmt numFmtId="177" formatCode="_(\$* #,##0_);_(\$* \(#,##0\);_(\$* \-_);_(@_)"/>
    <numFmt numFmtId="178" formatCode="#,##0.000"/>
    <numFmt numFmtId="179" formatCode="\$#,##0"/>
    <numFmt numFmtId="180" formatCode="M/D/YYYY"/>
  </numFmts>
  <fonts count="1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8"/>
      <name val="Arial"/>
      <family val="2"/>
    </font>
    <font>
      <b/>
      <sz val="16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 applyFill="0" applyBorder="0" applyAlignment="0" applyProtection="0"/>
    <xf numFmtId="164" fontId="8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183">
    <xf numFmtId="164" fontId="0" fillId="0" borderId="0" xfId="0" applyAlignment="1">
      <alignment/>
    </xf>
    <xf numFmtId="164" fontId="1" fillId="0" borderId="0" xfId="0" applyFont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168" fontId="1" fillId="0" borderId="0" xfId="0" applyNumberFormat="1" applyFont="1" applyAlignment="1">
      <alignment wrapText="1"/>
    </xf>
    <xf numFmtId="169" fontId="1" fillId="0" borderId="0" xfId="0" applyNumberFormat="1" applyFont="1" applyAlignment="1">
      <alignment wrapText="1"/>
    </xf>
    <xf numFmtId="164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8" fontId="0" fillId="2" borderId="0" xfId="0" applyNumberFormat="1" applyFill="1" applyAlignment="1">
      <alignment/>
    </xf>
    <xf numFmtId="169" fontId="0" fillId="2" borderId="0" xfId="17" applyNumberFormat="1" applyFont="1" applyFill="1" applyBorder="1" applyAlignment="1" applyProtection="1">
      <alignment/>
      <protection/>
    </xf>
    <xf numFmtId="170" fontId="0" fillId="2" borderId="0" xfId="0" applyNumberFormat="1" applyFill="1" applyAlignment="1">
      <alignment/>
    </xf>
    <xf numFmtId="171" fontId="0" fillId="2" borderId="0" xfId="19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9" fontId="3" fillId="3" borderId="0" xfId="17" applyNumberFormat="1" applyFont="1" applyFill="1" applyBorder="1" applyAlignment="1" applyProtection="1">
      <alignment/>
      <protection/>
    </xf>
    <xf numFmtId="170" fontId="0" fillId="0" borderId="0" xfId="0" applyNumberFormat="1" applyAlignment="1">
      <alignment/>
    </xf>
    <xf numFmtId="171" fontId="0" fillId="0" borderId="0" xfId="19" applyFont="1" applyFill="1" applyBorder="1" applyAlignment="1" applyProtection="1">
      <alignment/>
      <protection/>
    </xf>
    <xf numFmtId="169" fontId="3" fillId="2" borderId="0" xfId="17" applyNumberFormat="1" applyFont="1" applyFill="1" applyBorder="1" applyAlignment="1" applyProtection="1">
      <alignment/>
      <protection/>
    </xf>
    <xf numFmtId="170" fontId="0" fillId="2" borderId="0" xfId="0" applyNumberFormat="1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9" fontId="0" fillId="0" borderId="0" xfId="17" applyNumberFormat="1" applyFont="1" applyFill="1" applyBorder="1" applyAlignment="1" applyProtection="1">
      <alignment/>
      <protection/>
    </xf>
    <xf numFmtId="170" fontId="0" fillId="0" borderId="0" xfId="0" applyNumberFormat="1" applyFill="1" applyAlignment="1">
      <alignment/>
    </xf>
    <xf numFmtId="164" fontId="4" fillId="0" borderId="0" xfId="0" applyFont="1" applyFill="1" applyAlignment="1">
      <alignment/>
    </xf>
    <xf numFmtId="164" fontId="3" fillId="0" borderId="0" xfId="0" applyFont="1" applyFill="1" applyAlignment="1">
      <alignment/>
    </xf>
    <xf numFmtId="168" fontId="3" fillId="0" borderId="0" xfId="0" applyNumberFormat="1" applyFont="1" applyFill="1" applyAlignment="1">
      <alignment/>
    </xf>
    <xf numFmtId="169" fontId="3" fillId="0" borderId="0" xfId="17" applyNumberFormat="1" applyFont="1" applyFill="1" applyBorder="1" applyAlignment="1" applyProtection="1">
      <alignment/>
      <protection/>
    </xf>
    <xf numFmtId="170" fontId="3" fillId="0" borderId="0" xfId="0" applyNumberFormat="1" applyFont="1" applyFill="1" applyAlignment="1">
      <alignment/>
    </xf>
    <xf numFmtId="171" fontId="3" fillId="0" borderId="0" xfId="19" applyFont="1" applyFill="1" applyBorder="1" applyAlignment="1" applyProtection="1">
      <alignment/>
      <protection/>
    </xf>
    <xf numFmtId="164" fontId="4" fillId="2" borderId="0" xfId="0" applyFont="1" applyFill="1" applyAlignment="1">
      <alignment/>
    </xf>
    <xf numFmtId="164" fontId="3" fillId="2" borderId="0" xfId="0" applyFont="1" applyFill="1" applyAlignment="1">
      <alignment/>
    </xf>
    <xf numFmtId="168" fontId="3" fillId="2" borderId="0" xfId="0" applyNumberFormat="1" applyFont="1" applyFill="1" applyAlignment="1">
      <alignment/>
    </xf>
    <xf numFmtId="170" fontId="3" fillId="2" borderId="0" xfId="0" applyNumberFormat="1" applyFont="1" applyFill="1" applyAlignment="1">
      <alignment/>
    </xf>
    <xf numFmtId="171" fontId="3" fillId="2" borderId="0" xfId="19" applyFont="1" applyFill="1" applyBorder="1" applyAlignment="1" applyProtection="1">
      <alignment/>
      <protection/>
    </xf>
    <xf numFmtId="166" fontId="3" fillId="2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9" fontId="0" fillId="0" borderId="0" xfId="0" applyNumberFormat="1" applyAlignment="1">
      <alignment/>
    </xf>
    <xf numFmtId="171" fontId="0" fillId="0" borderId="0" xfId="19" applyFill="1" applyBorder="1" applyAlignment="1" applyProtection="1">
      <alignment/>
      <protection/>
    </xf>
    <xf numFmtId="171" fontId="0" fillId="0" borderId="0" xfId="0" applyNumberFormat="1" applyAlignment="1">
      <alignment/>
    </xf>
    <xf numFmtId="164" fontId="0" fillId="0" borderId="0" xfId="0" applyAlignment="1">
      <alignment wrapText="1"/>
    </xf>
    <xf numFmtId="166" fontId="0" fillId="0" borderId="0" xfId="0" applyNumberFormat="1" applyFont="1" applyAlignment="1">
      <alignment wrapText="1"/>
    </xf>
    <xf numFmtId="166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64" fontId="0" fillId="0" borderId="0" xfId="0" applyFont="1" applyAlignment="1">
      <alignment/>
    </xf>
    <xf numFmtId="17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right" wrapText="1"/>
    </xf>
    <xf numFmtId="173" fontId="0" fillId="0" borderId="0" xfId="19" applyNumberForma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5" fillId="0" borderId="0" xfId="0" applyFont="1" applyAlignment="1">
      <alignment wrapText="1"/>
    </xf>
    <xf numFmtId="167" fontId="4" fillId="0" borderId="0" xfId="0" applyNumberFormat="1" applyFont="1" applyAlignment="1">
      <alignment wrapText="1"/>
    </xf>
    <xf numFmtId="168" fontId="4" fillId="0" borderId="0" xfId="0" applyNumberFormat="1" applyFont="1" applyAlignment="1">
      <alignment wrapText="1"/>
    </xf>
    <xf numFmtId="169" fontId="4" fillId="0" borderId="0" xfId="0" applyNumberFormat="1" applyFont="1" applyAlignment="1">
      <alignment wrapText="1"/>
    </xf>
    <xf numFmtId="164" fontId="4" fillId="0" borderId="0" xfId="0" applyFont="1" applyAlignment="1">
      <alignment wrapText="1"/>
    </xf>
    <xf numFmtId="166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vertical="top" wrapText="1"/>
    </xf>
    <xf numFmtId="164" fontId="3" fillId="0" borderId="0" xfId="0" applyFont="1" applyAlignment="1">
      <alignment wrapText="1"/>
    </xf>
    <xf numFmtId="164" fontId="4" fillId="0" borderId="0" xfId="0" applyFont="1" applyAlignment="1">
      <alignment/>
    </xf>
    <xf numFmtId="167" fontId="6" fillId="0" borderId="0" xfId="0" applyNumberFormat="1" applyFont="1" applyAlignment="1">
      <alignment/>
    </xf>
    <xf numFmtId="174" fontId="3" fillId="0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64" fontId="4" fillId="4" borderId="0" xfId="0" applyFont="1" applyFill="1" applyAlignment="1">
      <alignment/>
    </xf>
    <xf numFmtId="164" fontId="3" fillId="4" borderId="0" xfId="0" applyFont="1" applyFill="1" applyAlignment="1">
      <alignment/>
    </xf>
    <xf numFmtId="168" fontId="3" fillId="4" borderId="0" xfId="0" applyNumberFormat="1" applyFont="1" applyFill="1" applyAlignment="1">
      <alignment/>
    </xf>
    <xf numFmtId="174" fontId="3" fillId="4" borderId="0" xfId="17" applyNumberFormat="1" applyFont="1" applyFill="1" applyBorder="1" applyAlignment="1" applyProtection="1">
      <alignment/>
      <protection/>
    </xf>
    <xf numFmtId="171" fontId="3" fillId="4" borderId="0" xfId="19" applyFont="1" applyFill="1" applyBorder="1" applyAlignment="1" applyProtection="1">
      <alignment/>
      <protection/>
    </xf>
    <xf numFmtId="166" fontId="3" fillId="4" borderId="0" xfId="0" applyNumberFormat="1" applyFont="1" applyFill="1" applyAlignment="1">
      <alignment/>
    </xf>
    <xf numFmtId="170" fontId="3" fillId="4" borderId="0" xfId="0" applyNumberFormat="1" applyFont="1" applyFill="1" applyAlignment="1">
      <alignment/>
    </xf>
    <xf numFmtId="173" fontId="3" fillId="4" borderId="0" xfId="0" applyNumberFormat="1" applyFont="1" applyFill="1" applyAlignment="1">
      <alignment/>
    </xf>
    <xf numFmtId="172" fontId="3" fillId="4" borderId="0" xfId="0" applyNumberFormat="1" applyFont="1" applyFill="1" applyAlignment="1">
      <alignment/>
    </xf>
    <xf numFmtId="175" fontId="3" fillId="4" borderId="0" xfId="0" applyNumberFormat="1" applyFont="1" applyFill="1" applyAlignment="1">
      <alignment/>
    </xf>
    <xf numFmtId="176" fontId="3" fillId="4" borderId="0" xfId="0" applyNumberFormat="1" applyFont="1" applyFill="1" applyAlignment="1">
      <alignment/>
    </xf>
    <xf numFmtId="164" fontId="8" fillId="4" borderId="0" xfId="20" applyNumberFormat="1" applyFont="1" applyFill="1" applyBorder="1" applyAlignment="1" applyProtection="1">
      <alignment/>
      <protection/>
    </xf>
    <xf numFmtId="164" fontId="9" fillId="4" borderId="0" xfId="20" applyNumberFormat="1" applyFont="1" applyFill="1" applyBorder="1" applyAlignment="1" applyProtection="1">
      <alignment/>
      <protection/>
    </xf>
    <xf numFmtId="168" fontId="3" fillId="0" borderId="0" xfId="0" applyNumberFormat="1" applyFont="1" applyAlignment="1">
      <alignment/>
    </xf>
    <xf numFmtId="174" fontId="3" fillId="0" borderId="0" xfId="17" applyNumberFormat="1" applyFont="1" applyFill="1" applyBorder="1" applyAlignment="1" applyProtection="1">
      <alignment/>
      <protection/>
    </xf>
    <xf numFmtId="172" fontId="3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/>
    </xf>
    <xf numFmtId="164" fontId="7" fillId="4" borderId="0" xfId="0" applyFont="1" applyFill="1" applyAlignment="1">
      <alignment/>
    </xf>
    <xf numFmtId="164" fontId="4" fillId="0" borderId="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164" fontId="8" fillId="0" borderId="0" xfId="2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164" fontId="9" fillId="0" borderId="0" xfId="20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74" fontId="3" fillId="4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72" fontId="3" fillId="4" borderId="0" xfId="0" applyNumberFormat="1" applyFont="1" applyFill="1" applyAlignment="1">
      <alignment/>
    </xf>
    <xf numFmtId="164" fontId="3" fillId="4" borderId="0" xfId="20" applyNumberFormat="1" applyFont="1" applyFill="1" applyBorder="1" applyAlignment="1" applyProtection="1">
      <alignment/>
      <protection/>
    </xf>
    <xf numFmtId="168" fontId="9" fillId="4" borderId="0" xfId="20" applyNumberFormat="1" applyFont="1" applyFill="1" applyBorder="1" applyAlignment="1" applyProtection="1">
      <alignment/>
      <protection/>
    </xf>
    <xf numFmtId="166" fontId="9" fillId="4" borderId="0" xfId="20" applyNumberFormat="1" applyFont="1" applyFill="1" applyBorder="1" applyAlignment="1" applyProtection="1">
      <alignment/>
      <protection/>
    </xf>
    <xf numFmtId="164" fontId="8" fillId="0" borderId="0" xfId="0" applyFont="1" applyFill="1" applyAlignment="1">
      <alignment/>
    </xf>
    <xf numFmtId="164" fontId="8" fillId="2" borderId="0" xfId="0" applyFont="1" applyFill="1" applyAlignment="1">
      <alignment/>
    </xf>
    <xf numFmtId="174" fontId="3" fillId="2" borderId="0" xfId="17" applyNumberFormat="1" applyFont="1" applyFill="1" applyBorder="1" applyAlignment="1" applyProtection="1">
      <alignment/>
      <protection/>
    </xf>
    <xf numFmtId="172" fontId="3" fillId="2" borderId="0" xfId="0" applyNumberFormat="1" applyFont="1" applyFill="1" applyAlignment="1">
      <alignment/>
    </xf>
    <xf numFmtId="173" fontId="3" fillId="2" borderId="0" xfId="0" applyNumberFormat="1" applyFont="1" applyFill="1" applyAlignment="1">
      <alignment/>
    </xf>
    <xf numFmtId="164" fontId="9" fillId="2" borderId="0" xfId="0" applyFont="1" applyFill="1" applyAlignment="1">
      <alignment/>
    </xf>
    <xf numFmtId="175" fontId="3" fillId="2" borderId="0" xfId="0" applyNumberFormat="1" applyFont="1" applyFill="1" applyAlignment="1">
      <alignment/>
    </xf>
    <xf numFmtId="176" fontId="3" fillId="2" borderId="0" xfId="0" applyNumberFormat="1" applyFont="1" applyFill="1" applyAlignment="1">
      <alignment/>
    </xf>
    <xf numFmtId="164" fontId="8" fillId="2" borderId="0" xfId="20" applyNumberFormat="1" applyFont="1" applyFill="1" applyBorder="1" applyAlignment="1" applyProtection="1">
      <alignment/>
      <protection/>
    </xf>
    <xf numFmtId="164" fontId="7" fillId="2" borderId="0" xfId="0" applyFont="1" applyFill="1" applyAlignment="1">
      <alignment/>
    </xf>
    <xf numFmtId="164" fontId="3" fillId="0" borderId="0" xfId="20" applyNumberFormat="1" applyFont="1" applyFill="1" applyBorder="1" applyAlignment="1" applyProtection="1">
      <alignment/>
      <protection/>
    </xf>
    <xf numFmtId="174" fontId="3" fillId="2" borderId="0" xfId="0" applyNumberFormat="1" applyFont="1" applyFill="1" applyAlignment="1">
      <alignment/>
    </xf>
    <xf numFmtId="164" fontId="9" fillId="2" borderId="0" xfId="2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 horizontal="left"/>
    </xf>
    <xf numFmtId="164" fontId="7" fillId="2" borderId="0" xfId="20" applyNumberFormat="1" applyFont="1" applyFill="1" applyBorder="1" applyAlignment="1" applyProtection="1">
      <alignment/>
      <protection/>
    </xf>
    <xf numFmtId="164" fontId="3" fillId="2" borderId="0" xfId="0" applyNumberFormat="1" applyFont="1" applyFill="1" applyAlignment="1">
      <alignment/>
    </xf>
    <xf numFmtId="164" fontId="4" fillId="4" borderId="0" xfId="0" applyFont="1" applyFill="1" applyBorder="1" applyAlignment="1">
      <alignment/>
    </xf>
    <xf numFmtId="166" fontId="3" fillId="4" borderId="0" xfId="0" applyNumberFormat="1" applyFont="1" applyFill="1" applyBorder="1" applyAlignment="1">
      <alignment/>
    </xf>
    <xf numFmtId="172" fontId="3" fillId="4" borderId="0" xfId="0" applyNumberFormat="1" applyFont="1" applyFill="1" applyBorder="1" applyAlignment="1">
      <alignment/>
    </xf>
    <xf numFmtId="170" fontId="3" fillId="4" borderId="0" xfId="0" applyNumberFormat="1" applyFont="1" applyFill="1" applyBorder="1" applyAlignment="1">
      <alignment/>
    </xf>
    <xf numFmtId="164" fontId="3" fillId="4" borderId="0" xfId="0" applyFont="1" applyFill="1" applyBorder="1" applyAlignment="1">
      <alignment/>
    </xf>
    <xf numFmtId="173" fontId="3" fillId="4" borderId="0" xfId="0" applyNumberFormat="1" applyFont="1" applyFill="1" applyBorder="1" applyAlignment="1">
      <alignment/>
    </xf>
    <xf numFmtId="164" fontId="7" fillId="4" borderId="0" xfId="0" applyFont="1" applyFill="1" applyBorder="1" applyAlignment="1">
      <alignment/>
    </xf>
    <xf numFmtId="168" fontId="3" fillId="4" borderId="0" xfId="0" applyNumberFormat="1" applyFont="1" applyFill="1" applyBorder="1" applyAlignment="1">
      <alignment/>
    </xf>
    <xf numFmtId="169" fontId="3" fillId="4" borderId="0" xfId="17" applyNumberFormat="1" applyFont="1" applyFill="1" applyBorder="1" applyAlignment="1" applyProtection="1">
      <alignment/>
      <protection/>
    </xf>
    <xf numFmtId="164" fontId="4" fillId="4" borderId="1" xfId="0" applyFont="1" applyFill="1" applyBorder="1" applyAlignment="1">
      <alignment/>
    </xf>
    <xf numFmtId="168" fontId="3" fillId="4" borderId="1" xfId="0" applyNumberFormat="1" applyFont="1" applyFill="1" applyBorder="1" applyAlignment="1">
      <alignment/>
    </xf>
    <xf numFmtId="169" fontId="3" fillId="4" borderId="1" xfId="17" applyNumberFormat="1" applyFont="1" applyFill="1" applyBorder="1" applyAlignment="1" applyProtection="1">
      <alignment/>
      <protection/>
    </xf>
    <xf numFmtId="171" fontId="3" fillId="4" borderId="1" xfId="19" applyFont="1" applyFill="1" applyBorder="1" applyAlignment="1" applyProtection="1">
      <alignment/>
      <protection/>
    </xf>
    <xf numFmtId="172" fontId="3" fillId="4" borderId="1" xfId="0" applyNumberFormat="1" applyFont="1" applyFill="1" applyBorder="1" applyAlignment="1">
      <alignment/>
    </xf>
    <xf numFmtId="170" fontId="3" fillId="4" borderId="1" xfId="0" applyNumberFormat="1" applyFont="1" applyFill="1" applyBorder="1" applyAlignment="1">
      <alignment/>
    </xf>
    <xf numFmtId="164" fontId="3" fillId="4" borderId="1" xfId="0" applyFont="1" applyFill="1" applyBorder="1" applyAlignment="1">
      <alignment/>
    </xf>
    <xf numFmtId="173" fontId="3" fillId="4" borderId="1" xfId="0" applyNumberFormat="1" applyFont="1" applyFill="1" applyBorder="1" applyAlignment="1">
      <alignment/>
    </xf>
    <xf numFmtId="177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6" fontId="8" fillId="0" borderId="0" xfId="20" applyNumberFormat="1" applyFont="1" applyFill="1" applyBorder="1" applyAlignment="1" applyProtection="1">
      <alignment/>
      <protection/>
    </xf>
    <xf numFmtId="166" fontId="9" fillId="0" borderId="0" xfId="20" applyNumberFormat="1" applyFont="1" applyFill="1" applyBorder="1" applyAlignment="1" applyProtection="1">
      <alignment/>
      <protection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70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/>
    </xf>
    <xf numFmtId="164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164" fontId="10" fillId="0" borderId="0" xfId="0" applyFont="1" applyAlignment="1">
      <alignment wrapText="1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0" fillId="0" borderId="0" xfId="17" applyFont="1" applyFill="1" applyBorder="1" applyAlignment="1" applyProtection="1">
      <alignment/>
      <protection/>
    </xf>
    <xf numFmtId="178" fontId="1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180" fontId="1" fillId="0" borderId="0" xfId="0" applyNumberFormat="1" applyFont="1" applyAlignment="1">
      <alignment wrapText="1"/>
    </xf>
    <xf numFmtId="169" fontId="1" fillId="0" borderId="0" xfId="0" applyNumberFormat="1" applyFont="1" applyAlignment="1">
      <alignment horizontal="right" wrapText="1"/>
    </xf>
    <xf numFmtId="179" fontId="1" fillId="0" borderId="0" xfId="0" applyNumberFormat="1" applyFont="1" applyAlignment="1">
      <alignment horizontal="right" wrapText="1"/>
    </xf>
    <xf numFmtId="164" fontId="1" fillId="0" borderId="0" xfId="0" applyFont="1" applyAlignment="1">
      <alignment horizontal="right" wrapText="1"/>
    </xf>
    <xf numFmtId="164" fontId="6" fillId="0" borderId="0" xfId="0" applyFont="1" applyAlignment="1">
      <alignment/>
    </xf>
    <xf numFmtId="164" fontId="1" fillId="0" borderId="0" xfId="20" applyNumberFormat="1" applyFont="1" applyFill="1" applyBorder="1" applyAlignment="1" applyProtection="1">
      <alignment/>
      <protection/>
    </xf>
    <xf numFmtId="179" fontId="0" fillId="0" borderId="0" xfId="17" applyNumberFormat="1" applyFont="1" applyFill="1" applyBorder="1" applyAlignment="1" applyProtection="1">
      <alignment/>
      <protection/>
    </xf>
    <xf numFmtId="164" fontId="0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桁区切り_契約数集計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rpt.dz/" TargetMode="External" /><Relationship Id="rId2" Type="http://schemas.openxmlformats.org/officeDocument/2006/relationships/hyperlink" Target="http://www.vimpelcom.com/ir/index.wbp" TargetMode="External" /><Relationship Id="rId3" Type="http://schemas.openxmlformats.org/officeDocument/2006/relationships/hyperlink" Target="http://10.wataniya.com/aboutus/investorrelations/default_en_gb.aspx" TargetMode="External" /><Relationship Id="rId4" Type="http://schemas.openxmlformats.org/officeDocument/2006/relationships/hyperlink" Target="http://www.mobilis.dz/" TargetMode="External" /><Relationship Id="rId5" Type="http://schemas.openxmlformats.org/officeDocument/2006/relationships/hyperlink" Target="http://www.cti.com.ar/" TargetMode="External" /><Relationship Id="rId6" Type="http://schemas.openxmlformats.org/officeDocument/2006/relationships/hyperlink" Target="http://www.telekomaustria.com/ir/investor-relations-en.php" TargetMode="External" /><Relationship Id="rId7" Type="http://schemas.openxmlformats.org/officeDocument/2006/relationships/hyperlink" Target="http://www.mideuropa.com/OrangeAustria.aspx" TargetMode="External" /><Relationship Id="rId8" Type="http://schemas.openxmlformats.org/officeDocument/2006/relationships/hyperlink" Target="http://www.btrc.gov.bd/index.php?option=com_content&amp;view=category&amp;layout=blog&amp;id=49&amp;Itemid=502" TargetMode="External" /><Relationship Id="rId9" Type="http://schemas.openxmlformats.org/officeDocument/2006/relationships/hyperlink" Target="http://www.vimpelcom.com/ir/index.wbp" TargetMode="External" /><Relationship Id="rId10" Type="http://schemas.openxmlformats.org/officeDocument/2006/relationships/hyperlink" Target="http://www.axiata.com/investor/financial-reports" TargetMode="External" /><Relationship Id="rId11" Type="http://schemas.openxmlformats.org/officeDocument/2006/relationships/hyperlink" Target="http://www.belgacom.com/be-en/subhome/SH_Investors.page" TargetMode="External" /><Relationship Id="rId12" Type="http://schemas.openxmlformats.org/officeDocument/2006/relationships/hyperlink" Target="http://www.teleco.com.br/mshare.asp" TargetMode="External" /><Relationship Id="rId13" Type="http://schemas.openxmlformats.org/officeDocument/2006/relationships/hyperlink" Target="http://www.telecomitalia.com/tit/en/investors.html" TargetMode="External" /><Relationship Id="rId14" Type="http://schemas.openxmlformats.org/officeDocument/2006/relationships/hyperlink" Target="http://www.mzweb.com.br/oi/web/conteudo_en.asp?tipo=28288&amp;idioma=1&amp;conta=44&amp;img=28246&amp;ano=2011" TargetMode="External" /><Relationship Id="rId15" Type="http://schemas.openxmlformats.org/officeDocument/2006/relationships/hyperlink" Target="http://www.telekomaustria.com/ir/investor-relations-en.php" TargetMode="External" /><Relationship Id="rId16" Type="http://schemas.openxmlformats.org/officeDocument/2006/relationships/hyperlink" Target="http://www.subtel.gob.cl/prontus_subtel/site/artic/20070212/pags/20070212182348.html" TargetMode="External" /><Relationship Id="rId17" Type="http://schemas.openxmlformats.org/officeDocument/2006/relationships/hyperlink" Target="http://www.ofca.gov.hk/en/whats_new/index.html" TargetMode="External" /><Relationship Id="rId18" Type="http://schemas.openxmlformats.org/officeDocument/2006/relationships/hyperlink" Target="http://www.ckh.com.hk/" TargetMode="External" /><Relationship Id="rId19" Type="http://schemas.openxmlformats.org/officeDocument/2006/relationships/hyperlink" Target="http://www.smartoneholdings.com/jsp/smc_investor/results/english/index.jsp" TargetMode="External" /><Relationship Id="rId20" Type="http://schemas.openxmlformats.org/officeDocument/2006/relationships/hyperlink" Target="http://www.miit.gov.cn/" TargetMode="External" /><Relationship Id="rId21" Type="http://schemas.openxmlformats.org/officeDocument/2006/relationships/hyperlink" Target="http://www.chinamobileltd.com/en/global/home.php" TargetMode="External" /><Relationship Id="rId22" Type="http://schemas.openxmlformats.org/officeDocument/2006/relationships/hyperlink" Target="http://www.chinaunicom.com.hk/" TargetMode="External" /><Relationship Id="rId23" Type="http://schemas.openxmlformats.org/officeDocument/2006/relationships/hyperlink" Target="http://www.chinatelecom-h.com/eng/ir/kpi.htm" TargetMode="External" /><Relationship Id="rId24" Type="http://schemas.openxmlformats.org/officeDocument/2006/relationships/hyperlink" Target="http://www.tcc.net.tw/" TargetMode="External" /><Relationship Id="rId25" Type="http://schemas.openxmlformats.org/officeDocument/2006/relationships/hyperlink" Target="http://www.fetnet.net/" TargetMode="External" /><Relationship Id="rId26" Type="http://schemas.openxmlformats.org/officeDocument/2006/relationships/hyperlink" Target="http://www.cht.com.tw/CHTFinalE/Web/Business.php?Page=StackReport&amp;CatID=564" TargetMode="External" /><Relationship Id="rId27" Type="http://schemas.openxmlformats.org/officeDocument/2006/relationships/hyperlink" Target="http://www.ncc.gov.tw/English/news.aspx?site_content_sn=221" TargetMode="External" /><Relationship Id="rId28" Type="http://schemas.openxmlformats.org/officeDocument/2006/relationships/hyperlink" Target="http://www.mcit.gov.eg/Indicators/Indicators.aspx" TargetMode="External" /><Relationship Id="rId29" Type="http://schemas.openxmlformats.org/officeDocument/2006/relationships/hyperlink" Target="https://www.mobinil.com/en/about/investors/investors" TargetMode="External" /><Relationship Id="rId30" Type="http://schemas.openxmlformats.org/officeDocument/2006/relationships/hyperlink" Target="http://www.etisalat.com/en/ir/index.jsp" TargetMode="External" /><Relationship Id="rId31" Type="http://schemas.openxmlformats.org/officeDocument/2006/relationships/hyperlink" Target="http://www.elisa.com/" TargetMode="External" /><Relationship Id="rId32" Type="http://schemas.openxmlformats.org/officeDocument/2006/relationships/hyperlink" Target="http://www.arcep.fr/" TargetMode="External" /><Relationship Id="rId33" Type="http://schemas.openxmlformats.org/officeDocument/2006/relationships/hyperlink" Target="http://www.iliad.fr/en/" TargetMode="External" /><Relationship Id="rId34" Type="http://schemas.openxmlformats.org/officeDocument/2006/relationships/hyperlink" Target="http://www.bouygues.com/fr/espace-presse/communiques-groupe/communiques-groupe/" TargetMode="External" /><Relationship Id="rId35" Type="http://schemas.openxmlformats.org/officeDocument/2006/relationships/hyperlink" Target="http://www.ote.gr/oteweb/english/news/lastnews.asp" TargetMode="External" /><Relationship Id="rId36" Type="http://schemas.openxmlformats.org/officeDocument/2006/relationships/hyperlink" Target="http://www.ahrt/" TargetMode="External" /><Relationship Id="rId37" Type="http://schemas.openxmlformats.org/officeDocument/2006/relationships/hyperlink" Target="http://www.trai.gov.in/Content/PerformanceIndicatorsReports/1_1_PerformanceIndicatorsReports.aspx" TargetMode="External" /><Relationship Id="rId38" Type="http://schemas.openxmlformats.org/officeDocument/2006/relationships/hyperlink" Target="http://www.airtel.in/wps/wcm/connect/about+bharti+airtel/Bharti+Airtel/Investor+Relations/" TargetMode="External" /><Relationship Id="rId39" Type="http://schemas.openxmlformats.org/officeDocument/2006/relationships/hyperlink" Target="http://www.htil.com/" TargetMode="External" /><Relationship Id="rId40" Type="http://schemas.openxmlformats.org/officeDocument/2006/relationships/hyperlink" Target="http://www.ideacellular.com/" TargetMode="External" /><Relationship Id="rId41" Type="http://schemas.openxmlformats.org/officeDocument/2006/relationships/hyperlink" Target="http://www.bsnl.co.in/corporate.htm" TargetMode="External" /><Relationship Id="rId42" Type="http://schemas.openxmlformats.org/officeDocument/2006/relationships/hyperlink" Target="http://www.maxis.com.my/personal/about_us/investor/index.asp?iStruct=0:2" TargetMode="External" /><Relationship Id="rId43" Type="http://schemas.openxmlformats.org/officeDocument/2006/relationships/hyperlink" Target="http://www.telenor.com/investors/" TargetMode="External" /><Relationship Id="rId44" Type="http://schemas.openxmlformats.org/officeDocument/2006/relationships/hyperlink" Target="http://www.telkom.co.id/hubungan-investor/laporan-laporan/info-memo/" TargetMode="External" /><Relationship Id="rId45" Type="http://schemas.openxmlformats.org/officeDocument/2006/relationships/hyperlink" Target="http://indosat.com/id/investor-relation" TargetMode="External" /><Relationship Id="rId46" Type="http://schemas.openxmlformats.org/officeDocument/2006/relationships/hyperlink" Target="http://www.mobile-8.com/" TargetMode="External" /><Relationship Id="rId47" Type="http://schemas.openxmlformats.org/officeDocument/2006/relationships/hyperlink" Target="http://en.wikipedia.org/wiki/List_of_mobile_network_operators_of_the_Middle_East_and_Africa#Iran" TargetMode="External" /><Relationship Id="rId48" Type="http://schemas.openxmlformats.org/officeDocument/2006/relationships/hyperlink" Target="http://www.zain.com/investor-relations/financial-reports/" TargetMode="External" /><Relationship Id="rId49" Type="http://schemas.openxmlformats.org/officeDocument/2006/relationships/hyperlink" Target="http://www.ooredoo.com/en/section/investor-relations" TargetMode="External" /><Relationship Id="rId50" Type="http://schemas.openxmlformats.org/officeDocument/2006/relationships/hyperlink" Target="http://www.bezeq.co.il/" TargetMode="External" /><Relationship Id="rId51" Type="http://schemas.openxmlformats.org/officeDocument/2006/relationships/hyperlink" Target="http://orange.co.il/ir-en" TargetMode="External" /><Relationship Id="rId52" Type="http://schemas.openxmlformats.org/officeDocument/2006/relationships/hyperlink" Target="http://www.telecomitalia.com/tit/en/investors.html" TargetMode="External" /><Relationship Id="rId53" Type="http://schemas.openxmlformats.org/officeDocument/2006/relationships/hyperlink" Target="http://www.tca.or.jp/english/database/" TargetMode="External" /><Relationship Id="rId54" Type="http://schemas.openxmlformats.org/officeDocument/2006/relationships/hyperlink" Target="http://www.nttdocomo.co.jp/english/corporate/ir/index.html" TargetMode="External" /><Relationship Id="rId55" Type="http://schemas.openxmlformats.org/officeDocument/2006/relationships/hyperlink" Target="http://www.softbank.co.jp/en/irinfo/index.html" TargetMode="External" /><Relationship Id="rId56" Type="http://schemas.openxmlformats.org/officeDocument/2006/relationships/hyperlink" Target="http://www.kddi.com/english/corporate/ir/" TargetMode="External" /><Relationship Id="rId57" Type="http://schemas.openxmlformats.org/officeDocument/2006/relationships/hyperlink" Target="http://cck.go.ke/resc/statcs.html" TargetMode="External" /><Relationship Id="rId58" Type="http://schemas.openxmlformats.org/officeDocument/2006/relationships/hyperlink" Target="http://www.safaricom.co.ke/investor-relations" TargetMode="External" /><Relationship Id="rId59" Type="http://schemas.openxmlformats.org/officeDocument/2006/relationships/hyperlink" Target="http://www.sktelecom.com/" TargetMode="External" /><Relationship Id="rId60" Type="http://schemas.openxmlformats.org/officeDocument/2006/relationships/hyperlink" Target="http://www.kt.com/eng/main.jsp" TargetMode="External" /><Relationship Id="rId61" Type="http://schemas.openxmlformats.org/officeDocument/2006/relationships/hyperlink" Target="http://www.uplus.co.kr/cmg/engl/inre/peir/RetrievePeIrOverview.hpi?mid=2636" TargetMode="External" /><Relationship Id="rId62" Type="http://schemas.openxmlformats.org/officeDocument/2006/relationships/hyperlink" Target="http://www.maxis.com.my/en/about-maxis/investors/overview.html" TargetMode="External" /><Relationship Id="rId63" Type="http://schemas.openxmlformats.org/officeDocument/2006/relationships/hyperlink" Target="http://www.anrt.ma/fr/" TargetMode="External" /><Relationship Id="rId64" Type="http://schemas.openxmlformats.org/officeDocument/2006/relationships/hyperlink" Target="http://corporate.kpn.com/investor-relations.htm" TargetMode="External" /><Relationship Id="rId65" Type="http://schemas.openxmlformats.org/officeDocument/2006/relationships/hyperlink" Target="http://www.ncc.gov.ng/index.php?option=com_content&amp;view=article&amp;id=125&amp;Itemid=73" TargetMode="External" /><Relationship Id="rId66" Type="http://schemas.openxmlformats.org/officeDocument/2006/relationships/hyperlink" Target="http://www.etisalat.com/en/ir/index.jsp" TargetMode="External" /><Relationship Id="rId67" Type="http://schemas.openxmlformats.org/officeDocument/2006/relationships/hyperlink" Target="http://www.telenor.com/ir/" TargetMode="External" /><Relationship Id="rId68" Type="http://schemas.openxmlformats.org/officeDocument/2006/relationships/hyperlink" Target="http://www.pta.gov.pk/index.php?option=com_content&amp;task=view&amp;id=269&amp;Itemid=143" TargetMode="External" /><Relationship Id="rId69" Type="http://schemas.openxmlformats.org/officeDocument/2006/relationships/hyperlink" Target="http://www.etisalat.com/en/ir/index.jsp" TargetMode="External" /><Relationship Id="rId70" Type="http://schemas.openxmlformats.org/officeDocument/2006/relationships/hyperlink" Target="http://www.en.uke.gov.pl/" TargetMode="External" /><Relationship Id="rId71" Type="http://schemas.openxmlformats.org/officeDocument/2006/relationships/hyperlink" Target="http://www.polkomtel.com.pl/english/dzialalnosc_biznesowa/" TargetMode="External" /><Relationship Id="rId72" Type="http://schemas.openxmlformats.org/officeDocument/2006/relationships/hyperlink" Target="http://www.ote.gr/" TargetMode="External" /><Relationship Id="rId73" Type="http://schemas.openxmlformats.org/officeDocument/2006/relationships/hyperlink" Target="http://www.acm-consulting.com/cellulardata.php" TargetMode="External" /><Relationship Id="rId74" Type="http://schemas.openxmlformats.org/officeDocument/2006/relationships/hyperlink" Target="http://www.vimpelcom.com/Investor-relations/" TargetMode="External" /><Relationship Id="rId75" Type="http://schemas.openxmlformats.org/officeDocument/2006/relationships/hyperlink" Target="http://ir.megafon.com/" TargetMode="External" /><Relationship Id="rId76" Type="http://schemas.openxmlformats.org/officeDocument/2006/relationships/hyperlink" Target="http://www.mobily.com.sa/portalu/wps/portal/about/investor-relations" TargetMode="External" /><Relationship Id="rId77" Type="http://schemas.openxmlformats.org/officeDocument/2006/relationships/hyperlink" Target="http://www.stc.com.sa/" TargetMode="External" /><Relationship Id="rId78" Type="http://schemas.openxmlformats.org/officeDocument/2006/relationships/hyperlink" Target="http://www.zain.com/investor-relations/financial-reports/" TargetMode="External" /><Relationship Id="rId79" Type="http://schemas.openxmlformats.org/officeDocument/2006/relationships/hyperlink" Target="http://info.singtel.com/about-us/investor-relations" TargetMode="External" /><Relationship Id="rId80" Type="http://schemas.openxmlformats.org/officeDocument/2006/relationships/hyperlink" Target="http://www.m1.com.sg/" TargetMode="External" /><Relationship Id="rId81" Type="http://schemas.openxmlformats.org/officeDocument/2006/relationships/hyperlink" Target="https://www.icasa.org.za/" TargetMode="External" /><Relationship Id="rId82" Type="http://schemas.openxmlformats.org/officeDocument/2006/relationships/hyperlink" Target="http://www.telkom.co.za/ir" TargetMode="External" /><Relationship Id="rId83" Type="http://schemas.openxmlformats.org/officeDocument/2006/relationships/hyperlink" Target="http://www.cmt.es/" TargetMode="External" /><Relationship Id="rId84" Type="http://schemas.openxmlformats.org/officeDocument/2006/relationships/hyperlink" Target="http://www.telefonica.com/en/shareholders-investors/jsp/home/home.jsp" TargetMode="External" /><Relationship Id="rId85" Type="http://schemas.openxmlformats.org/officeDocument/2006/relationships/hyperlink" Target="http://www.tre.se/" TargetMode="External" /><Relationship Id="rId86" Type="http://schemas.openxmlformats.org/officeDocument/2006/relationships/hyperlink" Target="http://www.swisscom.com/ir/content/index_EN.html" TargetMode="External" /><Relationship Id="rId87" Type="http://schemas.openxmlformats.org/officeDocument/2006/relationships/hyperlink" Target="http://www2.truecorp.co.th/en/home_flash.aspx" TargetMode="External" /><Relationship Id="rId88" Type="http://schemas.openxmlformats.org/officeDocument/2006/relationships/hyperlink" Target="http://10.wataniya.com/aboutus/investorrelations/default_en_gb.aspx" TargetMode="External" /><Relationship Id="rId89" Type="http://schemas.openxmlformats.org/officeDocument/2006/relationships/hyperlink" Target="http://www.turkcell.com.tr/en/aboutus/investor-relations" TargetMode="External" /><Relationship Id="rId90" Type="http://schemas.openxmlformats.org/officeDocument/2006/relationships/hyperlink" Target="http://www.telsim.com.tr/" TargetMode="External" /><Relationship Id="rId91" Type="http://schemas.openxmlformats.org/officeDocument/2006/relationships/hyperlink" Target="http://www.turktelekom.com.tr/tt/portal/InvestorRelations" TargetMode="External" /><Relationship Id="rId92" Type="http://schemas.openxmlformats.org/officeDocument/2006/relationships/hyperlink" Target="http://www.acm-consulting.com/cellulardata.php" TargetMode="External" /><Relationship Id="rId93" Type="http://schemas.openxmlformats.org/officeDocument/2006/relationships/hyperlink" Target="http://www.ctia.org/" TargetMode="External" /><Relationship Id="rId94" Type="http://schemas.openxmlformats.org/officeDocument/2006/relationships/hyperlink" Target="http://ir.timewarnercable.com/investor-relations/default.aspx" TargetMode="External" /><Relationship Id="rId95" Type="http://schemas.openxmlformats.org/officeDocument/2006/relationships/hyperlink" Target="http://altice.net/ir-group/results-and-presentations/" TargetMode="External" /><Relationship Id="rId96" Type="http://schemas.openxmlformats.org/officeDocument/2006/relationships/hyperlink" Target="http://www.conatel.gob.ve/" TargetMode="External" /><Relationship Id="rId97" Type="http://schemas.openxmlformats.org/officeDocument/2006/relationships/hyperlink" Target="http://www.cantv.com.ve/" TargetMode="External" /><Relationship Id="rId98" Type="http://schemas.openxmlformats.org/officeDocument/2006/relationships/hyperlink" Target="http://www.digitel.com.ve/" TargetMode="External" /><Relationship Id="rId99" Type="http://schemas.openxmlformats.org/officeDocument/2006/relationships/hyperlink" Target="http://english.vietnamnet.vn/fms/science-it/" TargetMode="External" /><Relationship Id="rId100" Type="http://schemas.openxmlformats.org/officeDocument/2006/relationships/hyperlink" Target="http://www.viettel.com.vn/" TargetMode="External" /><Relationship Id="rId101" Type="http://schemas.openxmlformats.org/officeDocument/2006/relationships/hyperlink" Target="http://www.mobifone.com.vn/web/vn/home/mobifone_history.jsp" TargetMode="External" /><Relationship Id="rId102" Type="http://schemas.openxmlformats.org/officeDocument/2006/relationships/hyperlink" Target="http://www.vinaphone.com.vn/locale.do?language=en" TargetMode="External" /><Relationship Id="rId103" Type="http://schemas.openxmlformats.org/officeDocument/2006/relationships/hyperlink" Target="http://search.worldbank.org/data?qterm=Mobile%20cellular%20subscriptions&amp;language=EN" TargetMode="External" /><Relationship Id="rId104" Type="http://schemas.openxmlformats.org/officeDocument/2006/relationships/hyperlink" Target="http://www.transparency.org/whatwedo/publications" TargetMode="External" /><Relationship Id="rId105" Type="http://schemas.openxmlformats.org/officeDocument/2006/relationships/hyperlink" Target="http://www.transparency.org/country" TargetMode="External" /><Relationship Id="rId106" Type="http://schemas.openxmlformats.org/officeDocument/2006/relationships/hyperlink" Target="http://www.weforum.org/reports/global-competitiveness-report-2014-2015" TargetMode="External" /><Relationship Id="rId107" Type="http://schemas.openxmlformats.org/officeDocument/2006/relationships/hyperlink" Target="http://www.worldvaluessurvey.org/WVSContents.jsp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cia.gov/library/publications/the-world-factbook/geos/xx.html" TargetMode="External" /><Relationship Id="rId2" Type="http://schemas.openxmlformats.org/officeDocument/2006/relationships/hyperlink" Target="https://www.cia.gov/library/publications/the-world-factbook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3"/>
  <sheetViews>
    <sheetView zoomScale="95" zoomScaleNormal="95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9" sqref="A19"/>
    </sheetView>
  </sheetViews>
  <sheetFormatPr defaultColWidth="9.140625" defaultRowHeight="12.75"/>
  <cols>
    <col min="1" max="1" width="16.7109375" style="1" customWidth="1"/>
    <col min="2" max="2" width="10.28125" style="0" customWidth="1"/>
    <col min="3" max="3" width="7.28125" style="0" customWidth="1"/>
    <col min="4" max="4" width="8.7109375" style="0" customWidth="1"/>
    <col min="6" max="6" width="6.7109375" style="0" customWidth="1"/>
    <col min="7" max="7" width="7.7109375" style="2" customWidth="1"/>
    <col min="8" max="8" width="20.8515625" style="0" customWidth="1"/>
    <col min="9" max="9" width="7.57421875" style="0" customWidth="1"/>
    <col min="10" max="10" width="21.28125" style="2" customWidth="1"/>
    <col min="11" max="11" width="7.421875" style="0" customWidth="1"/>
    <col min="12" max="12" width="21.7109375" style="0" customWidth="1"/>
    <col min="13" max="13" width="7.7109375" style="2" customWidth="1"/>
    <col min="14" max="14" width="21.00390625" style="0" customWidth="1"/>
    <col min="15" max="15" width="7.7109375" style="0" customWidth="1"/>
    <col min="16" max="16" width="19.8515625" style="2" customWidth="1"/>
    <col min="17" max="17" width="7.7109375" style="0" customWidth="1"/>
    <col min="18" max="18" width="20.140625" style="0" customWidth="1"/>
    <col min="19" max="19" width="7.7109375" style="2" customWidth="1"/>
    <col min="20" max="20" width="14.7109375" style="0" customWidth="1"/>
    <col min="21" max="21" width="7.7109375" style="0" customWidth="1"/>
    <col min="22" max="22" width="17.00390625" style="0" customWidth="1"/>
    <col min="23" max="23" width="7.7109375" style="0" customWidth="1"/>
    <col min="25" max="25" width="7.7109375" style="0" customWidth="1"/>
    <col min="26" max="26" width="17.8515625" style="0" customWidth="1"/>
    <col min="27" max="27" width="7.7109375" style="0" customWidth="1"/>
    <col min="28" max="28" width="7.28125" style="0" customWidth="1"/>
  </cols>
  <sheetData>
    <row r="1" spans="1:27" s="7" customFormat="1" ht="12.75">
      <c r="A1" s="3" t="s">
        <v>0</v>
      </c>
      <c r="B1" s="4">
        <f>Operators!$B$1</f>
        <v>42499</v>
      </c>
      <c r="C1" s="5" t="str">
        <f>POPS!$C$1</f>
        <v>POP Jul'15</v>
      </c>
      <c r="D1" s="6" t="str">
        <f>POPS!D1</f>
        <v>Cell/100</v>
      </c>
      <c r="E1" s="5" t="str">
        <f>POPS!E1</f>
        <v>GDP'14 PPP ($B)</v>
      </c>
      <c r="F1" s="7" t="s">
        <v>1</v>
      </c>
      <c r="G1" s="8" t="s">
        <v>2</v>
      </c>
      <c r="H1" s="7" t="s">
        <v>3</v>
      </c>
      <c r="I1" s="8" t="s">
        <v>2</v>
      </c>
      <c r="J1" s="7" t="s">
        <v>4</v>
      </c>
      <c r="K1" s="8" t="s">
        <v>2</v>
      </c>
      <c r="L1" s="7" t="s">
        <v>5</v>
      </c>
      <c r="M1" s="8" t="s">
        <v>2</v>
      </c>
      <c r="N1" s="7" t="s">
        <v>6</v>
      </c>
      <c r="O1" s="8" t="s">
        <v>2</v>
      </c>
      <c r="P1" s="7" t="s">
        <v>7</v>
      </c>
      <c r="Q1" s="7" t="s">
        <v>2</v>
      </c>
      <c r="R1" s="7" t="s">
        <v>8</v>
      </c>
      <c r="S1" s="7" t="s">
        <v>2</v>
      </c>
      <c r="T1" s="7" t="s">
        <v>9</v>
      </c>
      <c r="U1" s="7" t="s">
        <v>2</v>
      </c>
      <c r="V1" s="7" t="s">
        <v>10</v>
      </c>
      <c r="W1" s="7" t="s">
        <v>2</v>
      </c>
      <c r="X1" s="7" t="s">
        <v>11</v>
      </c>
      <c r="Y1" s="7" t="s">
        <v>2</v>
      </c>
      <c r="Z1" s="7" t="s">
        <v>12</v>
      </c>
      <c r="AA1" s="7" t="s">
        <v>2</v>
      </c>
    </row>
    <row r="2" spans="1:13" s="10" customFormat="1" ht="12.75">
      <c r="A2" s="9" t="s">
        <v>13</v>
      </c>
      <c r="C2" s="11">
        <f>Operators!$C$6</f>
        <v>43.431</v>
      </c>
      <c r="D2" s="12">
        <f>POPS!D7</f>
        <v>154</v>
      </c>
      <c r="E2" s="13">
        <f>POPS!E7</f>
        <v>947.6</v>
      </c>
      <c r="F2" s="14">
        <f>G2/C2</f>
        <v>1.4430706177615067</v>
      </c>
      <c r="G2" s="13">
        <f>Operators!$F$6</f>
        <v>62.67399999999999</v>
      </c>
      <c r="H2" s="10" t="str">
        <f>Operators!$A$8</f>
        <v>CTI Movil(AMX)</v>
      </c>
      <c r="I2" s="13">
        <f>Operators!$F$8</f>
        <v>22.885</v>
      </c>
      <c r="J2" s="10" t="str">
        <f>Operators!$A$9</f>
        <v>Telecom Personal(TIM21.1%/TelecomArgentinatoFinTech)</v>
      </c>
      <c r="K2" s="13">
        <f>Operators!$F$9</f>
        <v>19.4</v>
      </c>
      <c r="L2" s="10" t="str">
        <f>Operators!$A$7</f>
        <v>Telefonica Unifon(TEF97.93%)</v>
      </c>
      <c r="M2" s="13">
        <f>Operators!$F$7</f>
        <v>20.389</v>
      </c>
    </row>
    <row r="3" spans="1:19" ht="12.75">
      <c r="A3" s="1" t="s">
        <v>14</v>
      </c>
      <c r="C3" s="15">
        <f>Operators!$C$10</f>
        <v>22.751</v>
      </c>
      <c r="D3" s="16">
        <f>POPS!D9</f>
        <v>138</v>
      </c>
      <c r="E3" s="17">
        <f>POPS!E9</f>
        <v>1095</v>
      </c>
      <c r="F3" s="18">
        <f>G3/C3</f>
        <v>1.3776976836183024</v>
      </c>
      <c r="G3" s="17">
        <f>Operators!$F$10</f>
        <v>31.344</v>
      </c>
      <c r="H3" t="str">
        <f>Operators!$A$11</f>
        <v>Telstra</v>
      </c>
      <c r="I3" s="17">
        <f>Operators!$F$11</f>
        <v>16.673000000000002</v>
      </c>
      <c r="J3" t="str">
        <f>Operators!$A$12</f>
        <v>Optus(SingTel)</v>
      </c>
      <c r="K3" s="17">
        <f>Operators!$F$12</f>
        <v>9.371</v>
      </c>
      <c r="L3" t="str">
        <f>Operators!$A$14</f>
        <v>VHA Hutchison 3 (Hutch 57.8%)</v>
      </c>
      <c r="M3" s="17">
        <f>Operators!$F$14</f>
        <v>5.3</v>
      </c>
      <c r="O3" s="2"/>
      <c r="P3"/>
      <c r="S3"/>
    </row>
    <row r="4" spans="1:15" s="10" customFormat="1" ht="12.75">
      <c r="A4" s="9" t="s">
        <v>15</v>
      </c>
      <c r="C4" s="11">
        <f>Operators!$C$19</f>
        <v>168.957</v>
      </c>
      <c r="D4" s="19">
        <f>POPS!D13</f>
        <v>72</v>
      </c>
      <c r="E4" s="13">
        <f>POPS!E13</f>
        <v>533.7</v>
      </c>
      <c r="F4" s="14">
        <f>G4/C4</f>
        <v>0.7746408849588949</v>
      </c>
      <c r="G4" s="13">
        <f>Operators!$F$19</f>
        <v>130.881</v>
      </c>
      <c r="H4" s="10" t="str">
        <f>Operators!$A$20</f>
        <v>GrameenPhone(Telenor 55.8%)</v>
      </c>
      <c r="I4" s="13">
        <f>Operators!$F$20</f>
        <v>56.285</v>
      </c>
      <c r="J4" s="10" t="str">
        <f>Operators!$A$21</f>
        <v>Banglalink(VIP)</v>
      </c>
      <c r="K4" s="13">
        <f>Operators!$F$21</f>
        <v>31.932</v>
      </c>
      <c r="L4" s="10" t="str">
        <f>Operators!$A$23</f>
        <v>TMI Bangladesh Robi(TMI70%DoCoMo30%)</v>
      </c>
      <c r="M4" s="13">
        <f>Operators!$F$23</f>
        <v>27.45</v>
      </c>
      <c r="N4" s="10" t="str">
        <f>Operators!$A$22</f>
        <v>AirTel(Bharti AirTel Celtel 80%)</v>
      </c>
      <c r="O4" s="20">
        <f>Operators!$F$22</f>
        <v>10.161</v>
      </c>
    </row>
    <row r="5" spans="1:15" s="22" customFormat="1" ht="12.75">
      <c r="A5" s="21" t="s">
        <v>16</v>
      </c>
      <c r="C5" s="23">
        <f>Operators!$C$28</f>
        <v>204.259</v>
      </c>
      <c r="D5" s="24">
        <f>POPS!D23</f>
        <v>139</v>
      </c>
      <c r="E5" s="25">
        <f>POPS!E23</f>
        <v>3264</v>
      </c>
      <c r="F5" s="18">
        <f>G5/C5</f>
        <v>1.2621769420196907</v>
      </c>
      <c r="G5" s="25">
        <f>Operators!$F$28</f>
        <v>257.811</v>
      </c>
      <c r="H5" s="22" t="str">
        <f>Operators!$A$29</f>
        <v>Brazilcel Vivo(TEM)</v>
      </c>
      <c r="I5" s="25">
        <f>Operators!$F$29</f>
        <v>73.2698862</v>
      </c>
      <c r="J5" s="22" t="str">
        <f>Operators!$A$31</f>
        <v>Telcom Italia Mobile GSM (TI69.8%)</v>
      </c>
      <c r="K5" s="25">
        <f>Operators!$F$31</f>
        <v>67.2628899</v>
      </c>
      <c r="L5" s="22" t="str">
        <f>Operators!$A$30</f>
        <v>America Movile Claro GSM(AMX98.9%)</v>
      </c>
      <c r="M5" s="25">
        <f>Operators!$F$30</f>
        <v>65.289</v>
      </c>
      <c r="N5" s="22" t="str">
        <f>Operators!$A$32</f>
        <v>Telemar Norte Leste Oi(PT39.7%) GSM</v>
      </c>
      <c r="O5" s="25">
        <f>Operators!$F$32</f>
        <v>47.7465972</v>
      </c>
    </row>
    <row r="6" spans="1:13" s="10" customFormat="1" ht="12.75">
      <c r="A6" s="9" t="s">
        <v>17</v>
      </c>
      <c r="C6" s="11">
        <f>Operators!$C$37</f>
        <v>35.099</v>
      </c>
      <c r="D6" s="12">
        <f>POPS!D31</f>
        <v>85</v>
      </c>
      <c r="E6" s="13">
        <f>POPS!E31</f>
        <v>1592</v>
      </c>
      <c r="F6" s="14">
        <f>G6/C6</f>
        <v>0.857403344824639</v>
      </c>
      <c r="G6" s="13">
        <f>Operators!$F$37</f>
        <v>30.094</v>
      </c>
      <c r="H6" s="10" t="str">
        <f>Operators!$A$39</f>
        <v>Rogers</v>
      </c>
      <c r="I6" s="13">
        <f>Operators!$F$39</f>
        <v>9.872</v>
      </c>
      <c r="J6" s="10" t="str">
        <f>Operators!$A$38</f>
        <v>BCE Mobile(ATT20%)</v>
      </c>
      <c r="K6" s="13">
        <f>Operators!$F$38</f>
        <v>8.235</v>
      </c>
      <c r="L6" s="10" t="str">
        <f>Operators!$A$41</f>
        <v>Telus Mobility Clearnet</v>
      </c>
      <c r="M6" s="13">
        <f>Operators!$F$41</f>
        <v>8.387</v>
      </c>
    </row>
    <row r="7" spans="1:15" s="27" customFormat="1" ht="12.75">
      <c r="A7" s="26" t="s">
        <v>18</v>
      </c>
      <c r="C7" s="28">
        <f>Operators!$C$51</f>
        <v>1367.485</v>
      </c>
      <c r="D7" s="29">
        <f>POPS!D36</f>
        <v>94</v>
      </c>
      <c r="E7" s="30">
        <f>POPS!E36</f>
        <v>17620</v>
      </c>
      <c r="F7" s="31">
        <f>G7/C7</f>
        <v>0.9473017985572053</v>
      </c>
      <c r="G7" s="30">
        <f>Operators!$F$51</f>
        <v>1295.4209999999998</v>
      </c>
      <c r="H7" s="27" t="str">
        <f>Operators!$A$52</f>
        <v>China Mobile(VOD3.27%)</v>
      </c>
      <c r="I7" s="30">
        <f>Operators!$F$52</f>
        <v>833.852</v>
      </c>
      <c r="J7" s="27" t="str">
        <f>Operators!$A$53</f>
        <v>China Unicom(CHU, TEF10.02%)* GSM</v>
      </c>
      <c r="K7" s="30">
        <f>Operators!$F$53</f>
        <v>258.929</v>
      </c>
      <c r="L7" s="27" t="str">
        <f>Operators!$A$54</f>
        <v>China Telecom CDMA*</v>
      </c>
      <c r="M7" s="30">
        <f>Operators!$F$54</f>
        <v>202.64</v>
      </c>
      <c r="O7" s="30"/>
    </row>
    <row r="8" spans="1:15" s="33" customFormat="1" ht="12.75">
      <c r="A8" s="32" t="s">
        <v>19</v>
      </c>
      <c r="C8" s="34">
        <f>Operators!$C$60</f>
        <v>45.736</v>
      </c>
      <c r="D8" s="19">
        <f>POPS!D38</f>
        <v>120</v>
      </c>
      <c r="E8" s="35">
        <f>POPS!E38</f>
        <v>640.1</v>
      </c>
      <c r="F8" s="36">
        <f>G8/C8</f>
        <v>1.1017513556060872</v>
      </c>
      <c r="G8" s="35">
        <f>Operators!$F$60</f>
        <v>50.3897</v>
      </c>
      <c r="H8" s="33" t="str">
        <f>Operators!$A$61</f>
        <v>Comcel(AVX99.2%)</v>
      </c>
      <c r="I8" s="35">
        <f>Operators!$F$61</f>
        <v>28.34</v>
      </c>
      <c r="J8" s="33" t="str">
        <f>Operators!$A$62</f>
        <v>Telefonica Moviles(TEM)</v>
      </c>
      <c r="K8" s="35">
        <f>Operators!$F$62</f>
        <v>12.8967</v>
      </c>
      <c r="M8" s="37"/>
      <c r="O8" s="37"/>
    </row>
    <row r="9" spans="1:15" s="27" customFormat="1" ht="12.75">
      <c r="A9" s="26" t="s">
        <v>20</v>
      </c>
      <c r="C9" s="28">
        <f>Operators!$C$74</f>
        <v>88.487</v>
      </c>
      <c r="D9" s="29">
        <f>POPS!D51</f>
        <v>110</v>
      </c>
      <c r="E9" s="30">
        <f>POPS!E51</f>
        <v>943.1</v>
      </c>
      <c r="F9" s="31">
        <f>G9/C9</f>
        <v>1.064777876976279</v>
      </c>
      <c r="G9" s="30">
        <f>Operators!$F$74</f>
        <v>94.219</v>
      </c>
      <c r="H9" s="27" t="str">
        <f>Operators!$A$77</f>
        <v>Vodafone Egypt GSM(VOD60.1%Telecom Egypt25%)</v>
      </c>
      <c r="I9" s="30">
        <f>Operators!$F$77</f>
        <v>38.354</v>
      </c>
      <c r="J9" s="27" t="str">
        <f>Operators!$A$75</f>
        <v>ECMS Mobinil(Orange)</v>
      </c>
      <c r="K9" s="30">
        <f>Operators!$F$75</f>
        <v>33.065</v>
      </c>
      <c r="M9" s="38"/>
      <c r="O9" s="38"/>
    </row>
    <row r="10" spans="1:15" s="33" customFormat="1" ht="12.75">
      <c r="A10" s="32" t="s">
        <v>21</v>
      </c>
      <c r="C10" s="34">
        <f>Operators!$C$81</f>
        <v>66.553</v>
      </c>
      <c r="D10" s="19">
        <f>POPS!D60</f>
        <v>98</v>
      </c>
      <c r="E10" s="35">
        <f>POPS!E60</f>
        <v>2581</v>
      </c>
      <c r="F10" s="36">
        <f>G10/C10</f>
        <v>1.0757291181464397</v>
      </c>
      <c r="G10" s="35">
        <f>Operators!$F$81</f>
        <v>71.593</v>
      </c>
      <c r="H10" s="33" t="str">
        <f>Operators!$A$82</f>
        <v>Orange(FT85%)</v>
      </c>
      <c r="I10" s="35">
        <f>Operators!$F$82</f>
        <v>29.217</v>
      </c>
      <c r="J10" s="33" t="str">
        <f>Operators!$A$83</f>
        <v>Numericable-SFR</v>
      </c>
      <c r="K10" s="35">
        <f>Operators!$F$83</f>
        <v>21.807000000000002</v>
      </c>
      <c r="L10" s="33" t="str">
        <f>Operators!$A$85</f>
        <v>Bouygues Tele(Bouygues 89.5%)</v>
      </c>
      <c r="M10" s="35">
        <f>Operators!$F$85</f>
        <v>8.889</v>
      </c>
      <c r="O10" s="37"/>
    </row>
    <row r="11" spans="1:15" s="27" customFormat="1" ht="12.75">
      <c r="A11" s="26" t="s">
        <v>22</v>
      </c>
      <c r="C11" s="28">
        <f>Operators!$C$86</f>
        <v>80.854</v>
      </c>
      <c r="D11" s="29">
        <f>POPS!D64</f>
        <v>123</v>
      </c>
      <c r="E11" s="30">
        <f>POPS!E64</f>
        <v>3722</v>
      </c>
      <c r="F11" s="31">
        <f>G11/C11</f>
        <v>1.411121280332451</v>
      </c>
      <c r="G11" s="30">
        <f>Operators!$F$86</f>
        <v>114.0948</v>
      </c>
      <c r="H11" s="27" t="str">
        <f>Operators!$A$88</f>
        <v>D1 DeTe Mobile</v>
      </c>
      <c r="I11" s="30">
        <f>Operators!$F$88</f>
        <v>40.643</v>
      </c>
      <c r="J11" s="27" t="str">
        <f>Operators!$A$87</f>
        <v>D2 Vodafone</v>
      </c>
      <c r="K11" s="30">
        <f>Operators!$F$87</f>
        <v>30.389</v>
      </c>
      <c r="L11" s="27" t="str">
        <f>Operators!$A$89</f>
        <v>O2 (TEF)</v>
      </c>
      <c r="M11" s="30">
        <f>Operators!$F$89</f>
        <v>43.0628</v>
      </c>
      <c r="O11" s="30"/>
    </row>
    <row r="12" spans="1:17" s="33" customFormat="1" ht="12.75">
      <c r="A12" s="32" t="s">
        <v>23</v>
      </c>
      <c r="C12" s="34">
        <f>Operators!$C$97</f>
        <v>1251.695</v>
      </c>
      <c r="D12" s="19">
        <f>POPS!D73</f>
        <v>76</v>
      </c>
      <c r="E12" s="35">
        <f>POPS!E73</f>
        <v>7376</v>
      </c>
      <c r="F12" s="36">
        <f>G12/C12</f>
        <v>0.8238173037361337</v>
      </c>
      <c r="G12" s="35">
        <f>Operators!$F$97</f>
        <v>1031.168</v>
      </c>
      <c r="H12" s="33" t="str">
        <f>Operators!$A$98</f>
        <v>Bharti AirTel (Telia26%/SingTel32.49%/VOD10%)</v>
      </c>
      <c r="I12" s="35">
        <f>Operators!$F$98</f>
        <v>251.237</v>
      </c>
      <c r="J12" s="33" t="str">
        <f>Operators!$A$99</f>
        <v>Vodafone Essar</v>
      </c>
      <c r="K12" s="35">
        <f>Operators!$F$99</f>
        <v>197.946</v>
      </c>
      <c r="L12" s="33" t="str">
        <f>Operators!$A$100</f>
        <v>Idea (Birla45.85%TMI14.1%Axiata19.9%)</v>
      </c>
      <c r="M12" s="35">
        <f>Operators!$F$100</f>
        <v>175.074</v>
      </c>
      <c r="N12" s="33" t="str">
        <f>Operators!$A$101</f>
        <v>Reliance Telecom+Comm(VZ10%)</v>
      </c>
      <c r="O12" s="35">
        <f>Operators!$F$101</f>
        <v>103.074</v>
      </c>
      <c r="P12" s="33" t="str">
        <f>Operators!$A$102</f>
        <v>BSNL CellOne</v>
      </c>
      <c r="Q12" s="35">
        <f>Operators!$F$102</f>
        <v>77.36</v>
      </c>
    </row>
    <row r="13" spans="1:15" s="27" customFormat="1" ht="12.75">
      <c r="A13" s="26" t="s">
        <v>24</v>
      </c>
      <c r="C13" s="28">
        <f>Operators!$C$108</f>
        <v>255.993</v>
      </c>
      <c r="D13" s="29">
        <f>POPS!D74</f>
        <v>126</v>
      </c>
      <c r="E13" s="30">
        <f>POPS!E74</f>
        <v>2676</v>
      </c>
      <c r="F13" s="31">
        <f>G13/C13</f>
        <v>1.2341346230615817</v>
      </c>
      <c r="G13" s="30">
        <f>Operators!$F$108</f>
        <v>315.9298245614035</v>
      </c>
      <c r="H13" s="27" t="str">
        <f>Operators!$A$109</f>
        <v>Telkomsel (PT Telkom Indo65%SingTel35%)</v>
      </c>
      <c r="I13" s="30">
        <f>Operators!$F$109</f>
        <v>152.64</v>
      </c>
      <c r="J13" s="27" t="str">
        <f>Operators!$A$111</f>
        <v>XL Axiata (PT Axis STC 83.825% Etisalat15.97%)</v>
      </c>
      <c r="K13" s="30">
        <f>Operators!$F$111</f>
        <v>41.902</v>
      </c>
      <c r="L13" s="27" t="str">
        <f>Operators!$A$110</f>
        <v>Satelindo (PT Indo Sat/OoredooQTel65%)</v>
      </c>
      <c r="M13" s="30">
        <f>Operators!$F$110</f>
        <v>68.5</v>
      </c>
      <c r="O13" s="38"/>
    </row>
    <row r="14" spans="1:15" s="33" customFormat="1" ht="12.75">
      <c r="A14" s="32" t="s">
        <v>25</v>
      </c>
      <c r="C14" s="34">
        <f>Operators!$C$124</f>
        <v>61.855</v>
      </c>
      <c r="D14" s="19">
        <f>POPS!D79</f>
        <v>153</v>
      </c>
      <c r="E14" s="35">
        <f>POPS!E79</f>
        <v>2128</v>
      </c>
      <c r="F14" s="36">
        <f>G14/C14</f>
        <v>1.3613612480801878</v>
      </c>
      <c r="G14" s="35">
        <f>Operators!$F$124</f>
        <v>84.20700000000001</v>
      </c>
      <c r="H14" s="33" t="str">
        <f>Operators!$A$125</f>
        <v>Telecom Italia Mobile(Pirelli/Vivendi19.88%)</v>
      </c>
      <c r="I14" s="35">
        <f>Operators!$F$125</f>
        <v>30.023</v>
      </c>
      <c r="J14" s="33" t="str">
        <f>Operators!$A$126</f>
        <v>Omnitel Vodafone(VOD76.8%/VZ23.1%)*</v>
      </c>
      <c r="K14" s="35">
        <f>Operators!$F$126</f>
        <v>24.404</v>
      </c>
      <c r="L14" s="33" t="str">
        <f>Operators!$A$127</f>
        <v>Wind (VIP to JV)</v>
      </c>
      <c r="M14" s="35">
        <f>Operators!$F$127</f>
        <v>20.9</v>
      </c>
      <c r="O14" s="37"/>
    </row>
    <row r="15" spans="1:17" s="27" customFormat="1" ht="12.75">
      <c r="A15" s="26" t="s">
        <v>26</v>
      </c>
      <c r="C15" s="28">
        <f>Operators!$C$129</f>
        <v>126.919</v>
      </c>
      <c r="D15" s="29">
        <f>POPS!D81</f>
        <v>120</v>
      </c>
      <c r="E15" s="30">
        <f>POPS!E81</f>
        <v>4751</v>
      </c>
      <c r="F15" s="31">
        <f>G15/C15</f>
        <v>1.2495449853843792</v>
      </c>
      <c r="G15" s="30">
        <f>Operators!$F$129</f>
        <v>158.591</v>
      </c>
      <c r="H15" s="27" t="str">
        <f>Operators!$A$130</f>
        <v>NTT DoCoMo</v>
      </c>
      <c r="I15" s="30">
        <f>Operators!$F$130</f>
        <v>69.602</v>
      </c>
      <c r="J15" s="27" t="str">
        <f>Operators!$A$132</f>
        <v>KDDI au CDMA</v>
      </c>
      <c r="K15" s="30">
        <f>Operators!$F$132</f>
        <v>45.241</v>
      </c>
      <c r="L15" s="27" t="str">
        <f>Operators!$A$131</f>
        <v>Softbank Mobile</v>
      </c>
      <c r="M15" s="30">
        <f>Operators!$F$131</f>
        <v>43.748</v>
      </c>
      <c r="O15" s="30"/>
      <c r="P15" s="39"/>
      <c r="Q15" s="39"/>
    </row>
    <row r="16" spans="1:15" s="33" customFormat="1" ht="12.75">
      <c r="A16" s="32" t="s">
        <v>27</v>
      </c>
      <c r="C16" s="34">
        <f>Operators!$C$137</f>
        <v>49.115</v>
      </c>
      <c r="D16" s="19">
        <f>POPS!D86</f>
        <v>117</v>
      </c>
      <c r="E16" s="35">
        <f>POPS!E86</f>
        <v>1781</v>
      </c>
      <c r="F16" s="36">
        <f>G16/C16</f>
        <v>1.1823068309070548</v>
      </c>
      <c r="G16" s="35">
        <f>Operators!$F$137</f>
        <v>58.069</v>
      </c>
      <c r="H16" s="33" t="str">
        <f>Operators!$A$138</f>
        <v>SK Tele</v>
      </c>
      <c r="I16" s="35">
        <f>Operators!$F$138</f>
        <v>28.474</v>
      </c>
      <c r="J16" s="33" t="str">
        <f>Operators!$A$139</f>
        <v>KT Freetel(KT 36%SKT9.55%DoCoMo5.5%)* DCS</v>
      </c>
      <c r="K16" s="35">
        <f>Operators!$F$139</f>
        <v>17.801</v>
      </c>
      <c r="L16" s="33" t="str">
        <f>Operators!$A$140</f>
        <v>LG Telecom(BT)</v>
      </c>
      <c r="M16" s="35">
        <f>Operators!$F$140</f>
        <v>11.794</v>
      </c>
      <c r="O16" s="37"/>
    </row>
    <row r="17" spans="1:15" s="27" customFormat="1" ht="12.75">
      <c r="A17" s="26" t="s">
        <v>28</v>
      </c>
      <c r="C17" s="28">
        <f>Operators!$C$141</f>
        <v>30.513</v>
      </c>
      <c r="D17" s="29">
        <f>POPS!D100</f>
        <v>149</v>
      </c>
      <c r="E17" s="30">
        <f>POPS!E100</f>
        <v>746.1</v>
      </c>
      <c r="F17" s="31">
        <f>G17/C17</f>
        <v>1.2218398715301675</v>
      </c>
      <c r="G17" s="30">
        <f>Operators!$F$141</f>
        <v>37.282000000000004</v>
      </c>
      <c r="H17" s="27" t="str">
        <f>Operators!$A$143</f>
        <v>Celcom(DT8%TelMal15.6%)</v>
      </c>
      <c r="I17" s="30">
        <f>Operators!$F$143</f>
        <v>12.25</v>
      </c>
      <c r="J17" s="27" t="str">
        <f>Operators!$A$142</f>
        <v>Maxis(private,SaudiTele44%)</v>
      </c>
      <c r="K17" s="30">
        <f>Operators!$F$142</f>
        <v>11.956</v>
      </c>
      <c r="L17" s="27" t="str">
        <f>Operators!$A$144</f>
        <v>DiGi.Com (Telenor 49%Telecom Malaysia31.25%)</v>
      </c>
      <c r="M17" s="30">
        <f>Operators!$F$144</f>
        <v>11.676</v>
      </c>
      <c r="O17" s="38"/>
    </row>
    <row r="18" spans="1:15" s="33" customFormat="1" ht="12.75">
      <c r="A18" s="32" t="s">
        <v>29</v>
      </c>
      <c r="C18" s="34">
        <f>Operators!$C$145</f>
        <v>121.736</v>
      </c>
      <c r="D18" s="19">
        <f>POPS!D103</f>
        <v>85</v>
      </c>
      <c r="E18" s="35">
        <f>POPS!E103</f>
        <v>2141</v>
      </c>
      <c r="F18" s="36">
        <f>G18/C18</f>
        <v>0.8839045146875206</v>
      </c>
      <c r="G18" s="35">
        <f>Operators!$F$145</f>
        <v>107.60300000000001</v>
      </c>
      <c r="H18" s="33" t="str">
        <f>Operators!$A$146</f>
        <v>TelCel(America Movile/AT&amp;T9%)</v>
      </c>
      <c r="I18" s="35">
        <f>Operators!$F$146</f>
        <v>73.495</v>
      </c>
      <c r="J18" s="33" t="str">
        <f>Operators!$A$147</f>
        <v>Telefonica Movistar(TEM92%)</v>
      </c>
      <c r="K18" s="35">
        <f>Operators!$F$147</f>
        <v>24.895</v>
      </c>
      <c r="L18" s="33" t="str">
        <f>Operators!$A$148</f>
        <v>AT&amp;T Mexico(was Nextel+Iusacell)</v>
      </c>
      <c r="M18" s="35">
        <f>Operators!$F$148</f>
        <v>9.213</v>
      </c>
      <c r="O18" s="37"/>
    </row>
    <row r="19" spans="1:13" s="27" customFormat="1" ht="12.75">
      <c r="A19" s="26" t="s">
        <v>30</v>
      </c>
      <c r="C19" s="28">
        <f>POPS!C113</f>
        <v>181.562</v>
      </c>
      <c r="D19" s="29">
        <f>POPS!D113</f>
        <v>78</v>
      </c>
      <c r="E19" s="30">
        <f>POPS!E113</f>
        <v>1049</v>
      </c>
      <c r="F19" s="31">
        <f>G19/C19</f>
        <v>0.819251825822584</v>
      </c>
      <c r="G19" s="30">
        <f>Operators!$F$156</f>
        <v>148.745</v>
      </c>
      <c r="H19" s="27" t="str">
        <f>Operators!$A$157</f>
        <v>MTN Nigeria(MTN82%)</v>
      </c>
      <c r="I19" s="30">
        <f>Operators!$F$157</f>
        <v>61.252</v>
      </c>
      <c r="J19" s="27" t="str">
        <f>Operators!$A$158</f>
        <v>Airtel(Bharti Celtel65%)</v>
      </c>
      <c r="K19" s="30">
        <f>Operators!$F$158</f>
        <v>82.07</v>
      </c>
      <c r="L19" s="27" t="str">
        <f>Operators!$A$159</f>
        <v>Etisalat Mobily</v>
      </c>
      <c r="M19" s="30">
        <f>Operators!$F$159</f>
        <v>21.8</v>
      </c>
    </row>
    <row r="20" spans="1:15" s="33" customFormat="1" ht="12.75">
      <c r="A20" s="32" t="s">
        <v>31</v>
      </c>
      <c r="C20" s="34">
        <f>POPS!C116</f>
        <v>199.085</v>
      </c>
      <c r="D20" s="19">
        <f>POPS!D116</f>
        <v>69</v>
      </c>
      <c r="E20" s="35">
        <f>POPS!E116</f>
        <v>882.3</v>
      </c>
      <c r="F20" s="36">
        <f>G20/C20</f>
        <v>0.6600798653841324</v>
      </c>
      <c r="G20" s="35">
        <f>Operators!$F$163</f>
        <v>131.412</v>
      </c>
      <c r="H20" s="33" t="str">
        <f>Operators!$A$164</f>
        <v>Mobilink (VIP)</v>
      </c>
      <c r="I20" s="35">
        <f>Operators!$F$164</f>
        <v>38.117</v>
      </c>
      <c r="J20" s="33" t="str">
        <f>Operators!$A$166</f>
        <v>Telenor Pakistan</v>
      </c>
      <c r="K20" s="35">
        <f>Operators!$F$166</f>
        <v>36.784</v>
      </c>
      <c r="L20" s="33" t="str">
        <f>Operators!$A$165</f>
        <v>CMPak Zong (CHL88.86%)</v>
      </c>
      <c r="M20" s="35">
        <f>Operators!$F$165</f>
        <v>24.669</v>
      </c>
      <c r="N20" s="33" t="str">
        <f>Operators!$A$167</f>
        <v>PTCL uFone (Etisalat27%)</v>
      </c>
      <c r="O20" s="35">
        <f>Operators!$F$167</f>
        <v>20.82</v>
      </c>
    </row>
    <row r="21" spans="1:15" s="27" customFormat="1" ht="12.75">
      <c r="A21" s="26" t="s">
        <v>32</v>
      </c>
      <c r="C21" s="28">
        <f>POPS!C121</f>
        <v>100.998</v>
      </c>
      <c r="D21" s="29">
        <f>POPS!D121</f>
        <v>112</v>
      </c>
      <c r="E21" s="30">
        <f>POPS!E121</f>
        <v>692.2</v>
      </c>
      <c r="F21" s="31">
        <f>G21/C21</f>
        <v>1.2059941781025365</v>
      </c>
      <c r="G21" s="30">
        <f>Operators!$F$174</f>
        <v>121.803</v>
      </c>
      <c r="H21" s="27" t="str">
        <f>Operators!$A$175</f>
        <v>Smart(PLDTDoCoMo14.3%)</v>
      </c>
      <c r="I21" s="30">
        <f>Operators!$F$175</f>
        <v>68.87</v>
      </c>
      <c r="J21" s="27" t="str">
        <f>Operators!$A$176</f>
        <v>GlobeTelecom(SingTel47.2%/DT)</v>
      </c>
      <c r="K21" s="30">
        <f>Operators!$F$176</f>
        <v>52.933</v>
      </c>
      <c r="M21" s="30"/>
      <c r="O21" s="30"/>
    </row>
    <row r="22" spans="1:15" s="33" customFormat="1" ht="12.75">
      <c r="A22" s="32" t="s">
        <v>33</v>
      </c>
      <c r="C22" s="34">
        <f>Operators!$C$177</f>
        <v>38.562</v>
      </c>
      <c r="D22" s="19">
        <f>POPS!D122</f>
        <v>155</v>
      </c>
      <c r="E22" s="35">
        <f>POPS!E122</f>
        <v>954.5</v>
      </c>
      <c r="F22" s="36">
        <f>G22/C22</f>
        <v>1.0822571443389866</v>
      </c>
      <c r="G22" s="35">
        <f>Operators!$F$177</f>
        <v>41.733999999999995</v>
      </c>
      <c r="H22" s="33" t="str">
        <f>Operators!$A$180</f>
        <v>Polska TC(DT)</v>
      </c>
      <c r="I22" s="35">
        <f>Operators!$F$180</f>
        <v>11.821</v>
      </c>
      <c r="J22" s="33" t="str">
        <f>Operators!$A$178</f>
        <v>Centertel(FT56.4%)</v>
      </c>
      <c r="K22" s="35">
        <f>Operators!$F$178</f>
        <v>15.913</v>
      </c>
      <c r="L22" s="33" t="str">
        <f>Operators!$A$179</f>
        <v>Polkomtel</v>
      </c>
      <c r="M22" s="35">
        <f>Operators!$F$179</f>
        <v>14</v>
      </c>
      <c r="O22" s="37"/>
    </row>
    <row r="23" spans="1:15" s="27" customFormat="1" ht="12.75">
      <c r="A23" s="26" t="s">
        <v>34</v>
      </c>
      <c r="C23" s="28">
        <f>Operators!$C$188</f>
        <v>142.423</v>
      </c>
      <c r="D23" s="29">
        <f>POPS!D127</f>
        <v>155</v>
      </c>
      <c r="E23" s="30">
        <f>POPS!E127</f>
        <v>3565</v>
      </c>
      <c r="F23" s="31">
        <f>G23/C23</f>
        <v>1.7683239364428498</v>
      </c>
      <c r="G23" s="30">
        <f>Operators!$F$188</f>
        <v>251.85</v>
      </c>
      <c r="H23" s="39" t="str">
        <f>Operators!$A$189</f>
        <v>Mobile TeleSys(Sistema50.4%)</v>
      </c>
      <c r="I23" s="30">
        <f>Operators!$F$189</f>
        <v>77.277</v>
      </c>
      <c r="J23" s="39" t="str">
        <f>Operators!$A$191</f>
        <v>NW MegaFon(TeliaSonera35.6%AFTelecom50+%)</v>
      </c>
      <c r="K23" s="30">
        <f>Operators!$F$191</f>
        <v>74.776</v>
      </c>
      <c r="L23" s="39" t="str">
        <f>Operators!$A$190</f>
        <v>Vimpelcom VIP(L1Tech48%Alfa25%)</v>
      </c>
      <c r="M23" s="30">
        <f>Operators!$F$190</f>
        <v>57.7</v>
      </c>
      <c r="O23" s="38"/>
    </row>
    <row r="24" spans="1:15" s="33" customFormat="1" ht="12.75">
      <c r="A24" s="32" t="s">
        <v>35</v>
      </c>
      <c r="C24" s="34">
        <f>Operators!$C$193</f>
        <v>27.752</v>
      </c>
      <c r="D24" s="19">
        <f>POPS!D129</f>
        <v>193</v>
      </c>
      <c r="E24" s="35">
        <f>POPS!E129</f>
        <v>1616</v>
      </c>
      <c r="F24" s="36">
        <f>G24/C24</f>
        <v>2.1259729028538485</v>
      </c>
      <c r="G24" s="35">
        <f>Operators!$F$193</f>
        <v>59</v>
      </c>
      <c r="H24" s="33" t="str">
        <f>Operators!$A$195</f>
        <v>Saudi Telecom Al-Jawal</v>
      </c>
      <c r="I24" s="35">
        <f>Operators!$F$195</f>
        <v>27.73</v>
      </c>
      <c r="J24" s="33" t="str">
        <f>Operators!$A$194</f>
        <v>Etisalat Mobily (ETEL.AD26%)</v>
      </c>
      <c r="K24" s="35">
        <f>Operators!$F$194</f>
        <v>18.29</v>
      </c>
      <c r="L24" s="33" t="str">
        <f>Operators!$A$196</f>
        <v>Zain(Zain 37%)</v>
      </c>
      <c r="M24" s="35">
        <f>Operators!$F$196</f>
        <v>11.8</v>
      </c>
      <c r="O24" s="37"/>
    </row>
    <row r="25" spans="1:15" s="27" customFormat="1" ht="12.75">
      <c r="A25" s="26" t="s">
        <v>36</v>
      </c>
      <c r="C25" s="28">
        <f>Operators!$C$200</f>
        <v>53.675</v>
      </c>
      <c r="D25" s="29">
        <f>POPS!D137</f>
        <v>150</v>
      </c>
      <c r="E25" s="30">
        <f>POPS!E137</f>
        <v>704.5</v>
      </c>
      <c r="F25" s="31">
        <f>G25/C25</f>
        <v>1.9421332091290173</v>
      </c>
      <c r="G25" s="30">
        <f>Operators!$F$200</f>
        <v>104.244</v>
      </c>
      <c r="H25" s="39" t="str">
        <f>Operators!$A$201</f>
        <v>Vodacom(VOD65%)</v>
      </c>
      <c r="I25" s="30">
        <f>Operators!$F$201</f>
        <v>73.656</v>
      </c>
      <c r="J25" s="39" t="str">
        <f>Operators!$A$202</f>
        <v>MTN</v>
      </c>
      <c r="K25" s="30">
        <f>Operators!$F$202</f>
        <v>30.588</v>
      </c>
      <c r="L25" s="39"/>
      <c r="M25" s="30"/>
      <c r="O25" s="38"/>
    </row>
    <row r="26" spans="1:15" s="33" customFormat="1" ht="12.75">
      <c r="A26" s="32" t="s">
        <v>37</v>
      </c>
      <c r="C26" s="34">
        <f>Operators!$C$203</f>
        <v>48.146</v>
      </c>
      <c r="D26" s="19">
        <f>POPS!D139</f>
        <v>106</v>
      </c>
      <c r="E26" s="35">
        <f>POPS!E139</f>
        <v>1566</v>
      </c>
      <c r="F26" s="36">
        <f>G26/C26</f>
        <v>1.1363456985003946</v>
      </c>
      <c r="G26" s="35">
        <f>Operators!$F$203</f>
        <v>54.710499999999996</v>
      </c>
      <c r="H26" s="33" t="str">
        <f>Operators!$A$204</f>
        <v>Telefonica Moviles</v>
      </c>
      <c r="I26" s="35">
        <f>Operators!$F$204</f>
        <v>17.2585</v>
      </c>
      <c r="J26" s="33" t="str">
        <f>Operators!$A$206</f>
        <v>Orange Spain(FT)</v>
      </c>
      <c r="K26" s="35">
        <f>Operators!$F$206</f>
        <v>16.798</v>
      </c>
      <c r="L26" s="33" t="str">
        <f>Operators!$A$205</f>
        <v>Vodafone Spain(VOD)</v>
      </c>
      <c r="M26" s="35">
        <f>Operators!$F$205</f>
        <v>14.255</v>
      </c>
      <c r="O26" s="37"/>
    </row>
    <row r="27" spans="1:15" s="27" customFormat="1" ht="12.75">
      <c r="A27" s="26" t="s">
        <v>38</v>
      </c>
      <c r="C27" s="28">
        <f>Operators!$C$219</f>
        <v>67.976</v>
      </c>
      <c r="D27" s="29">
        <f>POPS!D147</f>
        <v>143</v>
      </c>
      <c r="E27" s="30">
        <f>POPS!E147</f>
        <v>985.5</v>
      </c>
      <c r="F27" s="31">
        <f>G27/C27</f>
        <v>1.203424738142874</v>
      </c>
      <c r="G27" s="30">
        <f>Operators!$F$219</f>
        <v>81.804</v>
      </c>
      <c r="H27" s="39" t="str">
        <f>Operators!$A$220</f>
        <v>Adv Info Serv(SingTel 23.32%)</v>
      </c>
      <c r="I27" s="30">
        <f>Operators!$F$220</f>
        <v>38.488</v>
      </c>
      <c r="J27" s="39" t="str">
        <f>Operators!$A$221</f>
        <v>DTAC Total Access Comm(Telenor65.5%)</v>
      </c>
      <c r="K27" s="30">
        <f>Operators!$F$221</f>
        <v>24.851</v>
      </c>
      <c r="L27" s="39"/>
      <c r="M27" s="38"/>
      <c r="O27" s="38"/>
    </row>
    <row r="28" spans="1:15" s="33" customFormat="1" ht="12.75">
      <c r="A28" s="32" t="s">
        <v>39</v>
      </c>
      <c r="C28" s="34">
        <f>Operators!$C$226</f>
        <v>79.414</v>
      </c>
      <c r="D28" s="19">
        <f>POPS!D150</f>
        <v>92</v>
      </c>
      <c r="E28" s="35">
        <f>POPS!E150</f>
        <v>1508</v>
      </c>
      <c r="F28" s="36">
        <f>G28/C28</f>
        <v>0.9364595663233182</v>
      </c>
      <c r="G28" s="35">
        <f>Operators!$F$226</f>
        <v>74.368</v>
      </c>
      <c r="H28" s="33" t="str">
        <f>Operators!$A$227</f>
        <v>Turkcell TKC(TeliaSonera37.1%Cukurova21.3%Alfa4.9%)</v>
      </c>
      <c r="I28" s="35">
        <f>Operators!$F$227</f>
        <v>35.8</v>
      </c>
      <c r="J28" s="33" t="str">
        <f>Operators!$A$228</f>
        <v>Telsim(VOD)</v>
      </c>
      <c r="K28" s="35">
        <f>Operators!$F$228</f>
        <v>21.868</v>
      </c>
      <c r="M28" s="37"/>
      <c r="O28" s="37"/>
    </row>
    <row r="29" spans="1:19" s="27" customFormat="1" ht="12.75">
      <c r="A29" s="26" t="s">
        <v>40</v>
      </c>
      <c r="C29" s="28">
        <f>Operators!$C$234</f>
        <v>64.088</v>
      </c>
      <c r="D29" s="29">
        <f>POPS!D155</f>
        <v>123</v>
      </c>
      <c r="E29" s="30">
        <f>POPS!E155</f>
        <v>2549</v>
      </c>
      <c r="F29" s="31">
        <f>G29/C29</f>
        <v>1.2067594557483463</v>
      </c>
      <c r="G29" s="30">
        <f>Operators!$F$234</f>
        <v>77.3388</v>
      </c>
      <c r="H29" s="39" t="str">
        <f>Operators!$A$236</f>
        <v>Everything Everywhere(BT)</v>
      </c>
      <c r="I29" s="30">
        <f>Operators!$F$236</f>
        <v>25.12</v>
      </c>
      <c r="J29" s="39" t="str">
        <f>Operators!$A$237</f>
        <v>O2</v>
      </c>
      <c r="K29" s="30">
        <f>Operators!$F$237</f>
        <v>25.0188</v>
      </c>
      <c r="L29" s="39" t="str">
        <f>Operators!$A$235</f>
        <v>Vodafone</v>
      </c>
      <c r="M29" s="30">
        <f>Operators!$F$235</f>
        <v>18.395</v>
      </c>
      <c r="N29" s="39" t="str">
        <f>Operators!$A$238</f>
        <v>3 Hutchison</v>
      </c>
      <c r="O29" s="30">
        <f>Operators!$F$238</f>
        <v>8.805</v>
      </c>
      <c r="P29" s="39"/>
      <c r="Q29" s="39"/>
      <c r="S29" s="39"/>
    </row>
    <row r="30" spans="1:15" s="33" customFormat="1" ht="12.75">
      <c r="A30" s="32" t="s">
        <v>41</v>
      </c>
      <c r="C30" s="34">
        <f>Operators!$C$239</f>
        <v>321.368</v>
      </c>
      <c r="D30" s="19">
        <f>POPS!D156</f>
        <v>100</v>
      </c>
      <c r="E30" s="35">
        <f>POPS!E156</f>
        <v>17420</v>
      </c>
      <c r="F30" s="36">
        <f>G30/C30</f>
        <v>1.2367130517039655</v>
      </c>
      <c r="G30" s="35">
        <f>Operators!$F$239</f>
        <v>397.44</v>
      </c>
      <c r="H30" s="33" t="str">
        <f>US_Cellular!$A$3</f>
        <v>AT&amp;T Wireless (T)</v>
      </c>
      <c r="I30" s="35">
        <f>US_Cellular!$C$3</f>
        <v>130.421</v>
      </c>
      <c r="J30" s="33" t="str">
        <f>US_Cellular!$A$2</f>
        <v>Verizon Wireless (VZW)</v>
      </c>
      <c r="K30" s="35">
        <f>US_Cellular!$C$2</f>
        <v>112.573</v>
      </c>
      <c r="L30" s="33" t="str">
        <f>US_Cellular!$A$7</f>
        <v>T-Mobile VoiceStream (TMUS)</v>
      </c>
      <c r="M30" s="35">
        <f>US_Cellular!$C$7</f>
        <v>65.503</v>
      </c>
      <c r="N30" s="33" t="str">
        <f>US_Cellular!$A$4</f>
        <v>Sprint Nextel (S)</v>
      </c>
      <c r="O30" s="35">
        <f>US_Cellular!$C$4</f>
        <v>58.806</v>
      </c>
    </row>
    <row r="31" spans="1:15" s="27" customFormat="1" ht="12.75">
      <c r="A31" s="26" t="s">
        <v>42</v>
      </c>
      <c r="C31" s="28">
        <f>Operators!$C$251</f>
        <v>94.348</v>
      </c>
      <c r="D31" s="29">
        <f>POPS!D160</f>
        <v>146</v>
      </c>
      <c r="E31" s="30">
        <f>POPS!E160</f>
        <v>510.7</v>
      </c>
      <c r="F31" s="31">
        <f>G31/C31</f>
        <v>1.575020138211727</v>
      </c>
      <c r="G31" s="30">
        <f>Operators!$F$251</f>
        <v>148.60000000000002</v>
      </c>
      <c r="H31" s="39" t="str">
        <f>Operators!$A$252</f>
        <v>Viettel(Military-run) </v>
      </c>
      <c r="I31" s="30">
        <f>Operators!$F$252</f>
        <v>67.9</v>
      </c>
      <c r="J31" s="39" t="str">
        <f>Operators!$A$61</f>
        <v>Comcel(AVX99.2%)</v>
      </c>
      <c r="K31" s="30">
        <f>Operators!$F$253</f>
        <v>40.2</v>
      </c>
      <c r="L31" s="39" t="str">
        <f>Operators!$A$255</f>
        <v>VNPT-VinaPhone (civil servants)</v>
      </c>
      <c r="M31" s="30">
        <f>Operators!$F$255</f>
        <v>29.7</v>
      </c>
      <c r="O31" s="38"/>
    </row>
    <row r="32" spans="3:7" ht="12.75">
      <c r="C32" s="15">
        <f>SUM(C2:C31)</f>
        <v>5440.834999999998</v>
      </c>
      <c r="D32" s="40"/>
      <c r="E32" s="15">
        <f>SUM(E2:E31)</f>
        <v>88540.3</v>
      </c>
      <c r="F32" t="s">
        <v>43</v>
      </c>
      <c r="G32" s="17">
        <f>SUM(G2:G30)</f>
        <v>5475.820624561404</v>
      </c>
    </row>
    <row r="33" spans="1:8" ht="12.75">
      <c r="A33" s="1" t="s">
        <v>44</v>
      </c>
      <c r="C33" s="41">
        <f>C32/POPS!C166</f>
        <v>0.7025256569737306</v>
      </c>
      <c r="D33" s="40"/>
      <c r="E33" s="41">
        <f>E32/POPS!F166</f>
        <v>0.8194065691529876</v>
      </c>
      <c r="G33" s="42">
        <f>G32/(Operators!$F$257)</f>
        <v>0.8670754358549834</v>
      </c>
      <c r="H33" t="s">
        <v>45</v>
      </c>
    </row>
    <row r="34" spans="3:8" ht="12.75">
      <c r="C34" s="15"/>
      <c r="D34" s="40"/>
      <c r="E34" s="15"/>
      <c r="H34" t="s">
        <v>46</v>
      </c>
    </row>
    <row r="35" spans="1:16" s="43" customFormat="1" ht="12.75">
      <c r="A35" s="7" t="s">
        <v>47</v>
      </c>
      <c r="C35" s="43" t="s">
        <v>1</v>
      </c>
      <c r="D35" s="44" t="s">
        <v>48</v>
      </c>
      <c r="E35" s="43" t="s">
        <v>49</v>
      </c>
      <c r="G35" s="44"/>
      <c r="J35" s="44"/>
      <c r="M35" s="44"/>
      <c r="P35" s="44"/>
    </row>
    <row r="36" spans="1:8" s="2" customFormat="1" ht="12.75">
      <c r="A36" s="45" t="s">
        <v>18</v>
      </c>
      <c r="C36" s="41">
        <f>F7</f>
        <v>0.9473017985572053</v>
      </c>
      <c r="D36" s="17">
        <f>Operators!$F$51</f>
        <v>1295.4209999999998</v>
      </c>
      <c r="E36" s="46">
        <f>Operators!$G$51</f>
        <v>35847.78316003826</v>
      </c>
      <c r="H36" s="2" t="s">
        <v>50</v>
      </c>
    </row>
    <row r="37" spans="1:14" s="47" customFormat="1" ht="12.75">
      <c r="A37" s="1" t="s">
        <v>23</v>
      </c>
      <c r="C37" s="48">
        <f>F12</f>
        <v>0.8238173037361337</v>
      </c>
      <c r="D37" s="17">
        <f>Operators!$F$97</f>
        <v>1031.168</v>
      </c>
      <c r="E37" s="46">
        <f>Operators!$G$97</f>
        <v>7104.9741435167125</v>
      </c>
      <c r="G37" s="49"/>
      <c r="H37" s="50"/>
      <c r="K37" s="49"/>
      <c r="N37" s="49"/>
    </row>
    <row r="38" spans="1:19" ht="12.75">
      <c r="A38" s="1" t="s">
        <v>41</v>
      </c>
      <c r="C38" s="42">
        <f>F30</f>
        <v>1.2367130517039655</v>
      </c>
      <c r="D38" s="17">
        <f>Operators!$F$239</f>
        <v>397.44</v>
      </c>
      <c r="E38" s="46">
        <f>Operators!$G$239</f>
        <v>56254</v>
      </c>
      <c r="H38" s="2" t="s">
        <v>51</v>
      </c>
      <c r="J38"/>
      <c r="K38" s="2"/>
      <c r="M38"/>
      <c r="N38" s="2"/>
      <c r="P38"/>
      <c r="S38"/>
    </row>
    <row r="39" spans="1:19" ht="12.75">
      <c r="A39" s="1" t="s">
        <v>24</v>
      </c>
      <c r="C39" s="42">
        <f>F13</f>
        <v>1.2341346230615817</v>
      </c>
      <c r="D39" s="17">
        <f>Operators!$F$108</f>
        <v>315.9298245614035</v>
      </c>
      <c r="E39" s="46">
        <f>Operators!$G$108</f>
        <v>2401.5183132001757</v>
      </c>
      <c r="H39" s="50" t="s">
        <v>52</v>
      </c>
      <c r="J39"/>
      <c r="K39" s="2"/>
      <c r="M39"/>
      <c r="N39" s="2"/>
      <c r="P39"/>
      <c r="S39"/>
    </row>
    <row r="40" spans="1:19" ht="12.75">
      <c r="A40" s="1" t="s">
        <v>16</v>
      </c>
      <c r="C40" s="42">
        <f>F5</f>
        <v>1.2621769420196907</v>
      </c>
      <c r="D40" s="17">
        <f>Operators!$F$28</f>
        <v>257.811</v>
      </c>
      <c r="E40" s="46">
        <f>Operators!$G$28</f>
        <v>4242.814395556472</v>
      </c>
      <c r="H40" s="2" t="s">
        <v>53</v>
      </c>
      <c r="J40"/>
      <c r="K40" s="2"/>
      <c r="M40"/>
      <c r="N40" s="2"/>
      <c r="P40"/>
      <c r="S40"/>
    </row>
    <row r="41" spans="1:19" ht="12.75">
      <c r="A41" s="1" t="s">
        <v>34</v>
      </c>
      <c r="C41" s="42">
        <f>F23</f>
        <v>1.7683239364428498</v>
      </c>
      <c r="D41" s="17">
        <f>Operators!$F$188</f>
        <v>251.85</v>
      </c>
      <c r="E41" s="46">
        <f>Operators!$G$188</f>
        <v>3112.975979709786</v>
      </c>
      <c r="H41" s="2"/>
      <c r="J41"/>
      <c r="K41" s="2"/>
      <c r="M41"/>
      <c r="N41" s="2"/>
      <c r="P41"/>
      <c r="S41"/>
    </row>
    <row r="42" spans="1:19" ht="12.75">
      <c r="A42" s="1" t="s">
        <v>26</v>
      </c>
      <c r="C42" s="42">
        <f>F15</f>
        <v>1.2495449853843792</v>
      </c>
      <c r="D42" s="17">
        <f>Operators!$F$129</f>
        <v>158.591</v>
      </c>
      <c r="E42" s="46">
        <f>Operators!$G$129</f>
        <v>24116.709618422145</v>
      </c>
      <c r="H42" s="2"/>
      <c r="J42"/>
      <c r="K42" s="2"/>
      <c r="M42"/>
      <c r="N42" s="2"/>
      <c r="P42"/>
      <c r="S42"/>
    </row>
    <row r="43" spans="1:19" ht="12.75">
      <c r="A43" s="1" t="s">
        <v>30</v>
      </c>
      <c r="C43" s="42">
        <f>Operators!$E$156</f>
        <v>0.819251825822584</v>
      </c>
      <c r="D43" s="17">
        <f>Operators!$F$156</f>
        <v>148.745</v>
      </c>
      <c r="E43" s="46">
        <f>Operators!$G$156</f>
        <v>2239.8972586257582</v>
      </c>
      <c r="H43" s="2"/>
      <c r="J43"/>
      <c r="K43" s="2"/>
      <c r="M43"/>
      <c r="N43" s="2"/>
      <c r="P43"/>
      <c r="S43"/>
    </row>
    <row r="44" spans="1:19" ht="12.75">
      <c r="A44" s="1" t="s">
        <v>15</v>
      </c>
      <c r="C44" s="42">
        <f>Operators!$E$19</f>
        <v>0.7746408849588949</v>
      </c>
      <c r="D44" s="17">
        <f>Operators!$F$19</f>
        <v>130.881</v>
      </c>
      <c r="E44" s="46">
        <f>Operators!$G$19</f>
        <v>914.3233726767412</v>
      </c>
      <c r="H44" s="2"/>
      <c r="J44"/>
      <c r="K44" s="2"/>
      <c r="M44"/>
      <c r="N44" s="2"/>
      <c r="P44"/>
      <c r="S44"/>
    </row>
    <row r="45" spans="1:19" ht="12.75">
      <c r="A45" s="1" t="s">
        <v>31</v>
      </c>
      <c r="C45" s="42">
        <f>Operators!$E$163</f>
        <v>0.6600798653841324</v>
      </c>
      <c r="D45" s="17">
        <f>Operators!$F$163</f>
        <v>131.412</v>
      </c>
      <c r="E45" s="46">
        <f>Operators!$G$163</f>
        <v>755.4974974056788</v>
      </c>
      <c r="H45" s="2"/>
      <c r="J45"/>
      <c r="K45" s="2"/>
      <c r="M45"/>
      <c r="N45" s="2"/>
      <c r="P45"/>
      <c r="S45"/>
    </row>
    <row r="46" spans="1:19" ht="12.75">
      <c r="A46" s="1" t="s">
        <v>32</v>
      </c>
      <c r="C46" s="42">
        <f>Operators!$E$174</f>
        <v>1.2059941781025365</v>
      </c>
      <c r="D46" s="17">
        <f>Operators!$F$174</f>
        <v>121.803</v>
      </c>
      <c r="E46" s="46">
        <f>Operators!$G$174</f>
        <v>1098.1385945744282</v>
      </c>
      <c r="H46" s="2"/>
      <c r="J46"/>
      <c r="K46" s="2"/>
      <c r="M46"/>
      <c r="N46" s="2"/>
      <c r="P46"/>
      <c r="S46"/>
    </row>
    <row r="47" spans="1:19" ht="12.75">
      <c r="A47" s="1" t="s">
        <v>42</v>
      </c>
      <c r="C47" s="42">
        <f>Operators!$E$251</f>
        <v>1.575020138211727</v>
      </c>
      <c r="D47" s="51">
        <f>Operators!$F$251</f>
        <v>148.60000000000002</v>
      </c>
      <c r="E47" s="46">
        <f>Operators!$G$251</f>
        <v>3748.2062778007585</v>
      </c>
      <c r="G47"/>
      <c r="J47"/>
      <c r="M47"/>
      <c r="P47"/>
      <c r="S47"/>
    </row>
    <row r="48" spans="4:19" ht="12.75">
      <c r="D48" s="2"/>
      <c r="H48" s="52" t="s">
        <v>54</v>
      </c>
      <c r="S48"/>
    </row>
    <row r="49" spans="1:16" s="43" customFormat="1" ht="12.75">
      <c r="A49" s="7" t="s">
        <v>55</v>
      </c>
      <c r="C49" s="43" t="s">
        <v>1</v>
      </c>
      <c r="D49" s="44" t="s">
        <v>48</v>
      </c>
      <c r="E49" s="43" t="s">
        <v>49</v>
      </c>
      <c r="G49" s="44" t="str">
        <f>POPS!$E$1</f>
        <v>GDP'14 PPP ($B)</v>
      </c>
      <c r="H49" s="53" t="s">
        <v>56</v>
      </c>
      <c r="J49" s="44"/>
      <c r="M49" s="44"/>
      <c r="P49" s="44"/>
    </row>
    <row r="50" spans="1:19" ht="12.75">
      <c r="A50" s="1" t="s">
        <v>41</v>
      </c>
      <c r="C50" s="42">
        <f>G30/C30</f>
        <v>1.2367130517039655</v>
      </c>
      <c r="D50" s="17">
        <f>Operators!$F$239</f>
        <v>397.44</v>
      </c>
      <c r="E50" s="46">
        <f>Operators!$G$239</f>
        <v>56254</v>
      </c>
      <c r="G50" s="46">
        <f>POPS!$E$156</f>
        <v>17420</v>
      </c>
      <c r="H50" s="54">
        <f>E50/(250*G50)</f>
        <v>0.012917106773823192</v>
      </c>
      <c r="S50"/>
    </row>
    <row r="51" spans="1:19" ht="12.75">
      <c r="A51" s="1" t="s">
        <v>18</v>
      </c>
      <c r="C51" s="42">
        <f>G7/C7</f>
        <v>0.9473017985572053</v>
      </c>
      <c r="D51" s="17">
        <f>Operators!$F$51</f>
        <v>1295.4209999999998</v>
      </c>
      <c r="E51" s="46">
        <f>Operators!$G$51</f>
        <v>35847.78316003826</v>
      </c>
      <c r="G51" s="46">
        <f>POPS!$E$36</f>
        <v>17620</v>
      </c>
      <c r="H51" s="54">
        <f>E51/(250*G51)</f>
        <v>0.00813797574575216</v>
      </c>
      <c r="S51"/>
    </row>
    <row r="52" spans="1:19" ht="12.75">
      <c r="A52" s="1" t="s">
        <v>26</v>
      </c>
      <c r="C52" s="42">
        <f>G15/C15</f>
        <v>1.2495449853843792</v>
      </c>
      <c r="D52" s="17">
        <f>Operators!$F$129</f>
        <v>158.591</v>
      </c>
      <c r="E52" s="46">
        <f>Operators!$G$129</f>
        <v>24116.709618422145</v>
      </c>
      <c r="G52" s="46">
        <f>POPS!$E$81</f>
        <v>4751</v>
      </c>
      <c r="H52" s="54">
        <f>E52/(250*G52)</f>
        <v>0.020304533461100522</v>
      </c>
      <c r="S52"/>
    </row>
    <row r="53" spans="1:19" ht="12.75">
      <c r="A53" s="1" t="s">
        <v>23</v>
      </c>
      <c r="C53" s="42">
        <f>G12/C12</f>
        <v>0.8238173037361337</v>
      </c>
      <c r="D53" s="17">
        <f>Operators!$F$97</f>
        <v>1031.168</v>
      </c>
      <c r="E53" s="46">
        <f>Operators!$G$97</f>
        <v>7104.9741435167125</v>
      </c>
      <c r="G53" s="46">
        <f>POPS!$E$73</f>
        <v>7376</v>
      </c>
      <c r="H53" s="54">
        <f>E53/(250*G53)</f>
        <v>0.003853022854401688</v>
      </c>
      <c r="S53"/>
    </row>
    <row r="54" spans="1:19" ht="12.75">
      <c r="A54" s="1" t="s">
        <v>40</v>
      </c>
      <c r="C54" s="42">
        <f>G29/C29</f>
        <v>1.2067594557483463</v>
      </c>
      <c r="D54" s="17">
        <f>Operators!$F$234</f>
        <v>77.3388</v>
      </c>
      <c r="E54" s="46">
        <f>Operators!$G$234</f>
        <v>6707.111626826953</v>
      </c>
      <c r="G54" s="46">
        <f>POPS!$E$155</f>
        <v>2549</v>
      </c>
      <c r="H54" s="54">
        <f>E54/(250*G54)</f>
        <v>0.010525086899689217</v>
      </c>
      <c r="S54"/>
    </row>
    <row r="55" spans="1:19" ht="12.75">
      <c r="A55" s="1" t="s">
        <v>22</v>
      </c>
      <c r="C55" s="42">
        <f>G11/C11</f>
        <v>1.411121280332451</v>
      </c>
      <c r="D55" s="17">
        <f>Operators!$F$86</f>
        <v>114.0948</v>
      </c>
      <c r="E55" s="46">
        <f>Operators!$G$86</f>
        <v>5780.244697395191</v>
      </c>
      <c r="G55" s="46">
        <f>POPS!$E$64</f>
        <v>3722</v>
      </c>
      <c r="H55" s="54">
        <f>E55/(250*G55)</f>
        <v>0.006211977106281775</v>
      </c>
      <c r="S55"/>
    </row>
    <row r="56" spans="1:19" ht="12.75">
      <c r="A56" s="1" t="s">
        <v>16</v>
      </c>
      <c r="C56" s="42">
        <f>G5/C5</f>
        <v>1.2621769420196907</v>
      </c>
      <c r="D56" s="17">
        <f>Operators!$F$28</f>
        <v>257.811</v>
      </c>
      <c r="E56" s="46">
        <f>Operators!$G$28</f>
        <v>4242.814395556472</v>
      </c>
      <c r="G56" s="46">
        <f>POPS!$E$23</f>
        <v>3264</v>
      </c>
      <c r="H56" s="54">
        <f>E56/(250*G56)</f>
        <v>0.005199527445534892</v>
      </c>
      <c r="S56"/>
    </row>
    <row r="57" spans="1:19" ht="12.75">
      <c r="A57" s="1" t="s">
        <v>21</v>
      </c>
      <c r="C57" s="42">
        <f>G10/C10</f>
        <v>1.0757291181464397</v>
      </c>
      <c r="D57" s="17">
        <f>Operators!$F$81</f>
        <v>71.593</v>
      </c>
      <c r="E57" s="46">
        <f>Operators!$G$81</f>
        <v>5892.061804744684</v>
      </c>
      <c r="G57" s="46">
        <f>POPS!$E$60</f>
        <v>2581</v>
      </c>
      <c r="H57" s="54">
        <f>E57/(250*G57)</f>
        <v>0.009131440224323417</v>
      </c>
      <c r="S57"/>
    </row>
    <row r="58" spans="1:19" ht="12.75">
      <c r="A58" s="1" t="s">
        <v>34</v>
      </c>
      <c r="C58" s="42">
        <f>G23/C23</f>
        <v>1.7683239364428498</v>
      </c>
      <c r="D58" s="17">
        <f>Operators!$F$188</f>
        <v>251.85</v>
      </c>
      <c r="E58" s="46">
        <f>Operators!$G$188</f>
        <v>3112.975979709786</v>
      </c>
      <c r="G58" s="46">
        <f>POPS!$E$127</f>
        <v>3565</v>
      </c>
      <c r="H58" s="54">
        <f>E58/(250*G58)</f>
        <v>0.0034928201735874177</v>
      </c>
      <c r="S58"/>
    </row>
    <row r="59" spans="1:19" ht="12.75">
      <c r="A59" s="1" t="s">
        <v>25</v>
      </c>
      <c r="C59" s="42">
        <f>G14/C14</f>
        <v>1.3613612480801878</v>
      </c>
      <c r="D59" s="17">
        <f>Operators!$F$124</f>
        <v>84.20700000000001</v>
      </c>
      <c r="E59" s="46">
        <f>Operators!$G$124</f>
        <v>3914.5025938781428</v>
      </c>
      <c r="G59" s="46">
        <f>POPS!$E$79</f>
        <v>2128</v>
      </c>
      <c r="H59" s="54">
        <f>E59/(250*G59)</f>
        <v>0.007358087582477712</v>
      </c>
      <c r="S59"/>
    </row>
    <row r="60" spans="1:19" ht="12.75">
      <c r="A60"/>
      <c r="G60"/>
      <c r="S60"/>
    </row>
    <row r="61" spans="1:19" ht="12.75">
      <c r="A61"/>
      <c r="G61"/>
      <c r="S61"/>
    </row>
    <row r="62" ht="12.75">
      <c r="D62" s="2"/>
    </row>
    <row r="63" ht="12.75">
      <c r="D63" s="2"/>
    </row>
    <row r="203" ht="12.75">
      <c r="G203" s="2" t="s">
        <v>57</v>
      </c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B298"/>
  <sheetViews>
    <sheetView tabSelected="1" zoomScale="95" zoomScaleNormal="95" workbookViewId="0" topLeftCell="A1">
      <pane xSplit="1" ySplit="1" topLeftCell="L114" activePane="bottomRight" state="frozen"/>
      <selection pane="topLeft" activeCell="A1" sqref="A1"/>
      <selection pane="topRight" activeCell="L1" sqref="L1"/>
      <selection pane="bottomLeft" activeCell="A114" sqref="A114"/>
      <selection pane="bottomRight" activeCell="AL127" sqref="AL127"/>
    </sheetView>
  </sheetViews>
  <sheetFormatPr defaultColWidth="9.140625" defaultRowHeight="12.75"/>
  <cols>
    <col min="1" max="1" width="23.421875" style="1" customWidth="1"/>
    <col min="2" max="2" width="10.00390625" style="0" customWidth="1"/>
    <col min="3" max="3" width="7.28125" style="0" customWidth="1"/>
    <col min="4" max="4" width="10.140625" style="0" customWidth="1"/>
    <col min="5" max="5" width="6.421875" style="0" customWidth="1"/>
    <col min="6" max="6" width="8.7109375" style="0" customWidth="1"/>
    <col min="7" max="7" width="9.57421875" style="2" customWidth="1"/>
    <col min="8" max="8" width="7.57421875" style="2" customWidth="1"/>
    <col min="9" max="9" width="7.28125" style="2" customWidth="1"/>
    <col min="10" max="10" width="7.28125" style="0" customWidth="1"/>
    <col min="11" max="11" width="8.00390625" style="0" customWidth="1"/>
    <col min="12" max="12" width="6.7109375" style="0" customWidth="1"/>
    <col min="13" max="13" width="7.8515625" style="0" customWidth="1"/>
    <col min="14" max="14" width="7.28125" style="0" customWidth="1"/>
    <col min="15" max="15" width="7.00390625" style="0" customWidth="1"/>
    <col min="16" max="16" width="7.7109375" style="0" customWidth="1"/>
    <col min="17" max="17" width="7.421875" style="0" customWidth="1"/>
    <col min="18" max="18" width="8.00390625" style="0" customWidth="1"/>
    <col min="19" max="19" width="6.7109375" style="0" customWidth="1"/>
    <col min="20" max="20" width="7.28125" style="0" customWidth="1"/>
    <col min="21" max="21" width="8.00390625" style="0" customWidth="1"/>
    <col min="22" max="22" width="7.00390625" style="55" customWidth="1"/>
    <col min="23" max="23" width="8.28125" style="55" customWidth="1"/>
    <col min="24" max="24" width="7.00390625" style="55" customWidth="1"/>
    <col min="25" max="25" width="7.28125" style="55" customWidth="1"/>
    <col min="26" max="26" width="8.140625" style="55" customWidth="1"/>
    <col min="27" max="27" width="7.140625" style="55" customWidth="1"/>
    <col min="28" max="28" width="7.8515625" style="55" customWidth="1"/>
    <col min="29" max="29" width="6.57421875" style="55" customWidth="1"/>
    <col min="30" max="30" width="7.00390625" style="55" customWidth="1"/>
    <col min="31" max="31" width="8.00390625" style="55" customWidth="1"/>
    <col min="32" max="32" width="7.140625" style="55" customWidth="1"/>
    <col min="33" max="33" width="8.28125" style="55" customWidth="1"/>
    <col min="34" max="34" width="7.421875" style="55" customWidth="1"/>
    <col min="35" max="35" width="6.7109375" style="55" customWidth="1"/>
    <col min="36" max="36" width="8.00390625" style="55" customWidth="1"/>
    <col min="37" max="37" width="6.421875" style="55" customWidth="1"/>
    <col min="38" max="38" width="8.00390625" style="55" customWidth="1"/>
    <col min="39" max="39" width="7.140625" style="55" customWidth="1"/>
    <col min="40" max="40" width="10.28125" style="0" customWidth="1"/>
    <col min="41" max="41" width="8.28125" style="0" customWidth="1"/>
    <col min="42" max="42" width="7.7109375" style="0" customWidth="1"/>
    <col min="43" max="43" width="8.140625" style="47" customWidth="1"/>
  </cols>
  <sheetData>
    <row r="1" spans="1:113" s="60" customFormat="1" ht="29.25" customHeight="1">
      <c r="A1" s="56" t="s">
        <v>0</v>
      </c>
      <c r="B1" s="57">
        <v>42499</v>
      </c>
      <c r="C1" s="58" t="str">
        <f>POPS!$C$1</f>
        <v>POP Jul'15</v>
      </c>
      <c r="D1" s="59" t="str">
        <f>POPS!E1</f>
        <v>GDP'14 PPP ($B)</v>
      </c>
      <c r="E1" s="60" t="s">
        <v>1</v>
      </c>
      <c r="F1" s="61" t="s">
        <v>2</v>
      </c>
      <c r="G1" s="62" t="s">
        <v>58</v>
      </c>
      <c r="H1" s="62" t="s">
        <v>59</v>
      </c>
      <c r="I1" s="60" t="s">
        <v>60</v>
      </c>
      <c r="J1" s="60" t="s">
        <v>61</v>
      </c>
      <c r="K1" s="60" t="s">
        <v>62</v>
      </c>
      <c r="L1" s="60" t="s">
        <v>63</v>
      </c>
      <c r="M1" s="60" t="s">
        <v>64</v>
      </c>
      <c r="N1" s="60" t="s">
        <v>65</v>
      </c>
      <c r="O1" s="60" t="s">
        <v>61</v>
      </c>
      <c r="P1" s="60" t="s">
        <v>62</v>
      </c>
      <c r="Q1" s="60" t="s">
        <v>66</v>
      </c>
      <c r="R1" s="60" t="s">
        <v>64</v>
      </c>
      <c r="S1" s="60" t="s">
        <v>67</v>
      </c>
      <c r="T1" s="60" t="s">
        <v>61</v>
      </c>
      <c r="U1" s="60" t="s">
        <v>62</v>
      </c>
      <c r="V1" s="60" t="s">
        <v>68</v>
      </c>
      <c r="W1" s="60" t="s">
        <v>64</v>
      </c>
      <c r="X1" s="60" t="s">
        <v>69</v>
      </c>
      <c r="Y1" s="60" t="s">
        <v>61</v>
      </c>
      <c r="Z1" s="60" t="s">
        <v>62</v>
      </c>
      <c r="AA1" s="60" t="s">
        <v>70</v>
      </c>
      <c r="AB1" s="60" t="s">
        <v>64</v>
      </c>
      <c r="AC1" s="60" t="s">
        <v>71</v>
      </c>
      <c r="AD1" s="60" t="s">
        <v>61</v>
      </c>
      <c r="AE1" s="60" t="s">
        <v>62</v>
      </c>
      <c r="AF1" s="60" t="s">
        <v>72</v>
      </c>
      <c r="AG1" s="60" t="s">
        <v>64</v>
      </c>
      <c r="AH1" s="60" t="s">
        <v>73</v>
      </c>
      <c r="AI1" s="60" t="s">
        <v>61</v>
      </c>
      <c r="AJ1" s="60" t="s">
        <v>62</v>
      </c>
      <c r="AK1" s="60" t="s">
        <v>74</v>
      </c>
      <c r="AL1" s="60" t="s">
        <v>64</v>
      </c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55"/>
      <c r="DG1" s="55"/>
      <c r="DH1" s="55"/>
      <c r="DI1" s="55"/>
    </row>
    <row r="2" spans="1:113" s="64" customFormat="1" ht="12.75">
      <c r="A2" s="64" t="s">
        <v>75</v>
      </c>
      <c r="B2" s="65" t="s">
        <v>76</v>
      </c>
      <c r="C2" s="28">
        <f>POPS!$C$5</f>
        <v>39.542</v>
      </c>
      <c r="D2" s="66">
        <f>POPS!E5</f>
        <v>551.8</v>
      </c>
      <c r="E2" s="31">
        <f>F2/C2</f>
        <v>1.0949876081128926</v>
      </c>
      <c r="F2" s="67">
        <f>I2</f>
        <v>43.298</v>
      </c>
      <c r="G2" s="67"/>
      <c r="H2" s="68">
        <f>D2*AG2</f>
        <v>-6.6736493112304425</v>
      </c>
      <c r="I2" s="68">
        <v>43.298</v>
      </c>
      <c r="L2" s="55">
        <v>88.22</v>
      </c>
      <c r="M2" s="69">
        <f>83.24/L2-1</f>
        <v>-0.05644978462933581</v>
      </c>
      <c r="Q2" s="55">
        <v>97.49</v>
      </c>
      <c r="R2" s="69">
        <f>88.22/Q2-1</f>
        <v>-0.09508667555646733</v>
      </c>
      <c r="V2" s="55">
        <v>99.305</v>
      </c>
      <c r="W2" s="69">
        <f>97.49/V2-1</f>
        <v>-0.01827702532601594</v>
      </c>
      <c r="AA2" s="55">
        <v>105.775</v>
      </c>
      <c r="AB2" s="69">
        <f>99.305/AA2-1</f>
        <v>-0.06116757267785389</v>
      </c>
      <c r="AF2" s="55">
        <v>107.075</v>
      </c>
      <c r="AG2" s="69">
        <f>105.78/AF2-1</f>
        <v>-0.012094326406724254</v>
      </c>
      <c r="AK2" s="55">
        <v>108.195</v>
      </c>
      <c r="AL2" s="69">
        <f>107.08/AK2-1</f>
        <v>-0.010305466980914058</v>
      </c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</row>
    <row r="3" spans="1:113" s="64" customFormat="1" ht="12.75">
      <c r="A3" s="64" t="s">
        <v>77</v>
      </c>
      <c r="B3" s="70" t="s">
        <v>78</v>
      </c>
      <c r="C3" s="71"/>
      <c r="D3" s="72"/>
      <c r="F3" s="67">
        <f>AH3</f>
        <v>16.7</v>
      </c>
      <c r="G3" s="73">
        <f>AI3</f>
        <v>279</v>
      </c>
      <c r="H3" s="74">
        <f>AK3</f>
        <v>5.4</v>
      </c>
      <c r="I3" s="68">
        <f>18.612</f>
        <v>18.612</v>
      </c>
      <c r="J3" s="73">
        <f>34000/L2</f>
        <v>385.40013602357743</v>
      </c>
      <c r="M3" s="75"/>
      <c r="N3" s="55">
        <v>18.7</v>
      </c>
      <c r="O3" s="55">
        <v>323</v>
      </c>
      <c r="Q3" s="74">
        <v>5.7</v>
      </c>
      <c r="R3" s="69">
        <f>0.062/3</f>
        <v>0.020666666666666667</v>
      </c>
      <c r="S3" s="55">
        <v>17.1</v>
      </c>
      <c r="T3" s="55">
        <v>328</v>
      </c>
      <c r="V3" s="74">
        <v>6.3</v>
      </c>
      <c r="W3" s="69">
        <f>0.087/3</f>
        <v>0.029</v>
      </c>
      <c r="X3" s="55">
        <v>16.9</v>
      </c>
      <c r="Y3" s="73">
        <f>33400/AA2</f>
        <v>315.76459465847313</v>
      </c>
      <c r="AA3" s="74">
        <f>642/AA2</f>
        <v>6.069487118884425</v>
      </c>
      <c r="AB3" s="55"/>
      <c r="AC3" s="68">
        <v>17</v>
      </c>
      <c r="AD3" s="55">
        <v>299</v>
      </c>
      <c r="AE3" s="76">
        <f>13.3/299</f>
        <v>0.04448160535117057</v>
      </c>
      <c r="AF3" s="74">
        <v>5.7</v>
      </c>
      <c r="AG3" s="69">
        <f>0.091/3</f>
        <v>0.030333333333333334</v>
      </c>
      <c r="AH3" s="55">
        <v>16.7</v>
      </c>
      <c r="AI3" s="55">
        <v>279</v>
      </c>
      <c r="AJ3" s="76">
        <f>16/279</f>
        <v>0.05734767025089606</v>
      </c>
      <c r="AK3" s="74">
        <v>5.4</v>
      </c>
      <c r="AL3" s="69">
        <v>0.03</v>
      </c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</row>
    <row r="4" spans="1:113" s="64" customFormat="1" ht="12.75">
      <c r="A4" s="64" t="s">
        <v>79</v>
      </c>
      <c r="B4" s="70" t="s">
        <v>80</v>
      </c>
      <c r="C4" s="71"/>
      <c r="D4" s="72"/>
      <c r="F4" s="67">
        <f>X4</f>
        <v>13.1</v>
      </c>
      <c r="G4" s="73">
        <f>Y4</f>
        <v>284.2824684843155</v>
      </c>
      <c r="H4" s="74"/>
      <c r="I4" s="68">
        <f>11.663</f>
        <v>11.663</v>
      </c>
      <c r="M4" s="75"/>
      <c r="N4" s="68">
        <v>9.33</v>
      </c>
      <c r="O4" s="73">
        <v>303.6</v>
      </c>
      <c r="R4" s="55"/>
      <c r="X4" s="55">
        <v>13.1</v>
      </c>
      <c r="Y4" s="73">
        <f>3103/(3*3.6384)</f>
        <v>284.2824684843155</v>
      </c>
      <c r="AG4" s="7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</row>
    <row r="5" spans="1:113" s="64" customFormat="1" ht="12.75">
      <c r="A5" s="64" t="s">
        <v>81</v>
      </c>
      <c r="B5" s="55" t="s">
        <v>82</v>
      </c>
      <c r="C5" s="71"/>
      <c r="D5" s="72"/>
      <c r="F5" s="67">
        <f>I5</f>
        <v>13.022</v>
      </c>
      <c r="G5" s="73"/>
      <c r="H5" s="74"/>
      <c r="I5" s="68">
        <v>13.022</v>
      </c>
      <c r="M5" s="75"/>
      <c r="R5" s="55"/>
      <c r="AG5" s="7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</row>
    <row r="6" spans="1:113" s="78" customFormat="1" ht="12.75">
      <c r="A6" s="77" t="s">
        <v>13</v>
      </c>
      <c r="C6" s="79">
        <f>POPS!$C$7</f>
        <v>43.431</v>
      </c>
      <c r="D6" s="80">
        <f>POPS!E7</f>
        <v>947.6</v>
      </c>
      <c r="E6" s="81">
        <f>F6/C6</f>
        <v>1.4430706177615067</v>
      </c>
      <c r="F6" s="82">
        <f>SUM(F7:F9)</f>
        <v>62.67399999999999</v>
      </c>
      <c r="G6" s="82"/>
      <c r="H6" s="83">
        <f>D6*AG6</f>
        <v>-852.4003124274998</v>
      </c>
      <c r="L6" s="78">
        <v>8.6016</v>
      </c>
      <c r="M6" s="84">
        <f>8.4344/L6-1</f>
        <v>-0.019438244047618958</v>
      </c>
      <c r="Q6" s="78">
        <v>8.8204</v>
      </c>
      <c r="R6" s="84">
        <f>8.6016/Q6-1</f>
        <v>-0.024806131241213558</v>
      </c>
      <c r="V6" s="78">
        <v>9.0991</v>
      </c>
      <c r="W6" s="84">
        <f>8.8204/V6-1</f>
        <v>-0.030629402907979997</v>
      </c>
      <c r="AA6" s="78">
        <v>9.2991</v>
      </c>
      <c r="AB6" s="84">
        <f>9.0991/AA6-1</f>
        <v>-0.021507457710961186</v>
      </c>
      <c r="AF6" s="78">
        <v>12.931000000000001</v>
      </c>
      <c r="AG6" s="84">
        <f>1.2991/AF6-1</f>
        <v>-0.8995359987626633</v>
      </c>
      <c r="AK6" s="78">
        <v>14.784</v>
      </c>
      <c r="AL6" s="84">
        <f>12.931/AK6-1</f>
        <v>-0.12533820346320346</v>
      </c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</row>
    <row r="7" spans="1:113" s="78" customFormat="1" ht="12.75">
      <c r="A7" s="77" t="s">
        <v>83</v>
      </c>
      <c r="B7" s="78" t="s">
        <v>84</v>
      </c>
      <c r="C7" s="79"/>
      <c r="D7" s="80"/>
      <c r="E7" s="81"/>
      <c r="F7" s="82">
        <f>AC7</f>
        <v>20.389</v>
      </c>
      <c r="G7" s="85">
        <f>AD7</f>
        <v>697.876973326075</v>
      </c>
      <c r="H7" s="86">
        <f>AF7</f>
        <v>9.798584648884049</v>
      </c>
      <c r="I7" s="83">
        <v>20.022</v>
      </c>
      <c r="J7" s="85">
        <f>561/L203</f>
        <v>669.8507462686567</v>
      </c>
      <c r="K7" s="87">
        <f>3.3/8.3</f>
        <v>0.3975903614457831</v>
      </c>
      <c r="L7" s="86">
        <f>8.3/L203</f>
        <v>9.91044776119403</v>
      </c>
      <c r="M7" s="84">
        <v>0.026000000000000002</v>
      </c>
      <c r="N7" s="83">
        <v>19.744</v>
      </c>
      <c r="O7" s="85">
        <f>599/Q203</f>
        <v>645.3350570997629</v>
      </c>
      <c r="P7" s="87">
        <f>3.4/9.1</f>
        <v>0.37362637362637363</v>
      </c>
      <c r="Q7" s="86">
        <f>9.2/Q203</f>
        <v>9.911656970480498</v>
      </c>
      <c r="R7" s="84">
        <f>0.031</f>
        <v>0.031</v>
      </c>
      <c r="S7" s="83">
        <v>19.6889</v>
      </c>
      <c r="T7" s="85">
        <f>637/Q203</f>
        <v>686.2745098039215</v>
      </c>
      <c r="U7" s="87">
        <f>4.3/9.9</f>
        <v>0.4343434343434343</v>
      </c>
      <c r="V7" s="86">
        <f>9.9/Q203</f>
        <v>10.665804783451842</v>
      </c>
      <c r="W7" s="84">
        <f>0.029</f>
        <v>0.029</v>
      </c>
      <c r="X7" s="83">
        <v>19.829</v>
      </c>
      <c r="Y7" s="85">
        <f>662/AA203</f>
        <v>745.7474371972513</v>
      </c>
      <c r="Z7" s="87">
        <f>4.2/9.6</f>
        <v>0.43750000000000006</v>
      </c>
      <c r="AA7" s="86">
        <f>9.6/AA203</f>
        <v>10.814464346062858</v>
      </c>
      <c r="AB7" s="84">
        <v>0.028999999999999998</v>
      </c>
      <c r="AC7" s="83">
        <v>20.389</v>
      </c>
      <c r="AD7" s="85">
        <f>641/AF203</f>
        <v>697.876973326075</v>
      </c>
      <c r="AE7" s="87">
        <f>4/9</f>
        <v>0.4444444444444444</v>
      </c>
      <c r="AF7" s="86">
        <f>9/AF203</f>
        <v>9.798584648884049</v>
      </c>
      <c r="AG7" s="84">
        <v>0.019</v>
      </c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</row>
    <row r="8" spans="1:113" s="78" customFormat="1" ht="12.75">
      <c r="A8" s="77" t="s">
        <v>85</v>
      </c>
      <c r="B8" s="88" t="s">
        <v>86</v>
      </c>
      <c r="C8" s="79"/>
      <c r="D8" s="80"/>
      <c r="E8" s="81"/>
      <c r="F8" s="82">
        <f>AH8</f>
        <v>22.885</v>
      </c>
      <c r="G8" s="85">
        <f>AI8</f>
        <v>577.1780303030303</v>
      </c>
      <c r="H8" s="86">
        <f>AK8</f>
        <v>6.358225108225108</v>
      </c>
      <c r="I8" s="83">
        <v>22</v>
      </c>
      <c r="J8" s="85">
        <f>6201/L6</f>
        <v>720.9123883928572</v>
      </c>
      <c r="L8" s="86">
        <f>69/L6</f>
        <v>8.021763392857144</v>
      </c>
      <c r="M8" s="84">
        <f>0.022/3</f>
        <v>0.007333333333333333</v>
      </c>
      <c r="N8" s="78">
        <v>21.9</v>
      </c>
      <c r="O8" s="85">
        <f>6353/Q6</f>
        <v>720.2621196317627</v>
      </c>
      <c r="Q8" s="86">
        <f>71/Q6</f>
        <v>8.049521563647907</v>
      </c>
      <c r="R8" s="84">
        <f>0.008</f>
        <v>0.008</v>
      </c>
      <c r="S8" s="83">
        <v>21.661</v>
      </c>
      <c r="T8" s="85">
        <f>6330/V6</f>
        <v>695.6731984481981</v>
      </c>
      <c r="V8" s="86">
        <f>77/V6</f>
        <v>8.462375399764811</v>
      </c>
      <c r="W8" s="84">
        <f>0.027/3</f>
        <v>0.009000000000000001</v>
      </c>
      <c r="X8" s="83">
        <v>22.075</v>
      </c>
      <c r="Y8" s="85">
        <f>6835/AA6</f>
        <v>735.0173672721016</v>
      </c>
      <c r="AA8" s="86">
        <f>82/AA6</f>
        <v>8.818057661494123</v>
      </c>
      <c r="AB8" s="84">
        <f>0.017/3</f>
        <v>0.005666666666666667</v>
      </c>
      <c r="AC8" s="83">
        <v>22.82</v>
      </c>
      <c r="AD8" s="85">
        <f>(8698-477)/AF6</f>
        <v>635.7590286907431</v>
      </c>
      <c r="AF8" s="86">
        <f>91/AF6</f>
        <v>7.037352099605599</v>
      </c>
      <c r="AG8" s="84">
        <f>0.006</f>
        <v>0.006</v>
      </c>
      <c r="AH8" s="83">
        <v>22.885</v>
      </c>
      <c r="AI8" s="85">
        <f>8533/AK6</f>
        <v>577.1780303030303</v>
      </c>
      <c r="AK8" s="86">
        <f>94/AK6</f>
        <v>6.358225108225108</v>
      </c>
      <c r="AL8" s="84">
        <v>0.022000000000000002</v>
      </c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</row>
    <row r="9" spans="1:113" s="78" customFormat="1" ht="12.75">
      <c r="A9" s="77" t="s">
        <v>87</v>
      </c>
      <c r="B9" s="89" t="s">
        <v>88</v>
      </c>
      <c r="C9" s="79"/>
      <c r="D9" s="80"/>
      <c r="E9" s="81"/>
      <c r="F9" s="82">
        <f>X9</f>
        <v>19.4</v>
      </c>
      <c r="G9" s="85">
        <f>Y9</f>
        <v>559.9466615048768</v>
      </c>
      <c r="H9" s="86">
        <f>V9</f>
        <v>9.495444604411427</v>
      </c>
      <c r="I9" s="83">
        <v>19.585</v>
      </c>
      <c r="J9" s="85">
        <f>33341*0.7/(4*L6)</f>
        <v>678.3243815104167</v>
      </c>
      <c r="L9" s="86">
        <f>74.2/L6</f>
        <v>8.626302083333334</v>
      </c>
      <c r="M9" s="84">
        <f>0.031</f>
        <v>0.031</v>
      </c>
      <c r="S9" s="83">
        <v>19.418</v>
      </c>
      <c r="T9" s="85">
        <f>19.418*3*9.4954</f>
        <v>553.1450316</v>
      </c>
      <c r="V9" s="86">
        <f>86.4/V6</f>
        <v>9.495444604411427</v>
      </c>
      <c r="X9" s="78">
        <v>19.4</v>
      </c>
      <c r="Y9" s="85">
        <f>5207/AA6</f>
        <v>559.9466615048768</v>
      </c>
      <c r="AG9" s="84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</row>
    <row r="10" spans="1:38" s="55" customFormat="1" ht="12.75">
      <c r="A10" s="64" t="s">
        <v>14</v>
      </c>
      <c r="C10" s="90">
        <f>POPS!$C$9</f>
        <v>22.751</v>
      </c>
      <c r="D10" s="91">
        <f>POPS!E9</f>
        <v>1095</v>
      </c>
      <c r="E10" s="31">
        <f>F10/C10</f>
        <v>1.3776976836183024</v>
      </c>
      <c r="F10" s="38">
        <f>SUM(F11:F14)</f>
        <v>31.344</v>
      </c>
      <c r="G10" s="38"/>
      <c r="H10" s="92">
        <f>D10*AG10</f>
        <v>31.97604136323927</v>
      </c>
      <c r="L10" s="55">
        <v>1.2411</v>
      </c>
      <c r="M10" s="69">
        <f>1.1526/L10-1</f>
        <v>-0.07130771090161958</v>
      </c>
      <c r="Q10" s="55">
        <v>1.3086</v>
      </c>
      <c r="R10" s="69">
        <f>1.2411/Q10-1</f>
        <v>-0.05158184319119663</v>
      </c>
      <c r="V10" s="55">
        <v>1.303</v>
      </c>
      <c r="W10" s="69">
        <f>1.3086/V10-1</f>
        <v>0.004297774366845752</v>
      </c>
      <c r="AA10" s="55">
        <v>1.4133</v>
      </c>
      <c r="AB10" s="69">
        <f>1.303/AA10-1</f>
        <v>-0.0780442934974882</v>
      </c>
      <c r="AF10" s="55">
        <v>1.3732</v>
      </c>
      <c r="AG10" s="69">
        <f>1.4133/AF10-1</f>
        <v>0.029201864258666</v>
      </c>
      <c r="AK10" s="55">
        <v>1.3023</v>
      </c>
      <c r="AL10" s="69">
        <f>1.3732/AK10-1</f>
        <v>0.05444214082776622</v>
      </c>
    </row>
    <row r="11" spans="1:33" s="55" customFormat="1" ht="12.75">
      <c r="A11" s="64" t="s">
        <v>89</v>
      </c>
      <c r="B11" s="55" t="s">
        <v>90</v>
      </c>
      <c r="C11" s="90"/>
      <c r="D11" s="91"/>
      <c r="E11" s="31"/>
      <c r="F11" s="38">
        <f>S11</f>
        <v>16.673000000000002</v>
      </c>
      <c r="G11" s="92">
        <f>T11</f>
        <v>2042.9777436684576</v>
      </c>
      <c r="H11" s="93">
        <f>V11</f>
        <v>33.445894090560245</v>
      </c>
      <c r="I11" s="68">
        <v>16.375</v>
      </c>
      <c r="J11" s="73">
        <f>5327/(2*L10)</f>
        <v>2146.0800902425267</v>
      </c>
      <c r="L11" s="74">
        <f>44.55/L10</f>
        <v>35.89557650471355</v>
      </c>
      <c r="M11" s="69"/>
      <c r="S11" s="68">
        <f>16.673</f>
        <v>16.673000000000002</v>
      </c>
      <c r="T11" s="55">
        <f>5324/(2*V10)</f>
        <v>2042.9777436684576</v>
      </c>
      <c r="V11" s="74">
        <f>43.58/V10</f>
        <v>33.445894090560245</v>
      </c>
      <c r="AG11" s="69"/>
    </row>
    <row r="12" spans="1:33" s="55" customFormat="1" ht="12.75">
      <c r="A12" s="64" t="s">
        <v>91</v>
      </c>
      <c r="C12" s="90"/>
      <c r="D12" s="91"/>
      <c r="E12" s="31"/>
      <c r="F12" s="38">
        <f>AC12</f>
        <v>9.371</v>
      </c>
      <c r="G12" s="92">
        <f>AD12</f>
        <v>1181.910865132537</v>
      </c>
      <c r="H12" s="93">
        <f>AA12</f>
        <v>30.425245878440528</v>
      </c>
      <c r="I12" s="68">
        <f>9.446</f>
        <v>9.446</v>
      </c>
      <c r="J12" s="73">
        <f>1308/L197</f>
        <v>978.8221207812617</v>
      </c>
      <c r="L12" s="74">
        <f>(41*1.05)/L10</f>
        <v>34.686971235194584</v>
      </c>
      <c r="M12" s="69"/>
      <c r="N12" s="68">
        <v>9.433</v>
      </c>
      <c r="O12" s="73">
        <f>(1424+70)/Q10</f>
        <v>1141.678129298487</v>
      </c>
      <c r="P12" s="76">
        <v>0.68</v>
      </c>
      <c r="Q12" s="74">
        <f>42*1.04/Q10</f>
        <v>33.3791838606144</v>
      </c>
      <c r="S12" s="68">
        <v>9.379</v>
      </c>
      <c r="T12" s="73">
        <f>(1457+76)/V10</f>
        <v>1176.5157329240214</v>
      </c>
      <c r="U12" s="76">
        <v>0.69</v>
      </c>
      <c r="V12" s="74">
        <f>43/V10</f>
        <v>33.000767459708364</v>
      </c>
      <c r="X12" s="68">
        <v>9.359</v>
      </c>
      <c r="Y12" s="73">
        <f>(1467+73)/AA10</f>
        <v>1089.6483407627538</v>
      </c>
      <c r="Z12" s="76">
        <v>0.69</v>
      </c>
      <c r="AA12" s="74">
        <f>43/AA10</f>
        <v>30.425245878440528</v>
      </c>
      <c r="AC12" s="68">
        <v>9.371</v>
      </c>
      <c r="AD12" s="55">
        <f>(1623)/AF10</f>
        <v>1181.910865132537</v>
      </c>
      <c r="AE12" s="76">
        <v>0.69</v>
      </c>
      <c r="AF12" s="74">
        <f>44/AF10</f>
        <v>32.04194581998252</v>
      </c>
      <c r="AG12" s="69"/>
    </row>
    <row r="13" spans="1:33" s="55" customFormat="1" ht="12.75">
      <c r="A13" s="64" t="s">
        <v>92</v>
      </c>
      <c r="B13" s="55" t="s">
        <v>93</v>
      </c>
      <c r="C13" s="90"/>
      <c r="D13" s="91"/>
      <c r="E13" s="31"/>
      <c r="F13" s="38"/>
      <c r="G13" s="92"/>
      <c r="H13" s="92"/>
      <c r="M13" s="69"/>
      <c r="AG13" s="69"/>
    </row>
    <row r="14" spans="1:33" s="55" customFormat="1" ht="12.75">
      <c r="A14" s="64" t="s">
        <v>94</v>
      </c>
      <c r="B14" s="55" t="s">
        <v>95</v>
      </c>
      <c r="C14" s="90"/>
      <c r="D14" s="91"/>
      <c r="E14" s="31"/>
      <c r="F14" s="38">
        <f>I14</f>
        <v>5.3</v>
      </c>
      <c r="G14" s="92">
        <f>T14</f>
        <v>680.7367613200307</v>
      </c>
      <c r="H14" s="93"/>
      <c r="I14" s="55">
        <v>5.3</v>
      </c>
      <c r="J14" s="73">
        <f>1748/(4*L10)</f>
        <v>352.10700185319473</v>
      </c>
      <c r="M14" s="69"/>
      <c r="T14" s="73">
        <f>887/V10</f>
        <v>680.7367613200307</v>
      </c>
      <c r="AG14" s="69"/>
    </row>
    <row r="15" spans="1:113" s="78" customFormat="1" ht="12.75">
      <c r="A15" s="77" t="s">
        <v>96</v>
      </c>
      <c r="C15" s="79">
        <f>POPS!$C$10</f>
        <v>8.665</v>
      </c>
      <c r="D15" s="80">
        <f>POPS!E10</f>
        <v>395.5</v>
      </c>
      <c r="E15" s="81">
        <f>F15/C15</f>
        <v>1.5603000577034045</v>
      </c>
      <c r="F15" s="82">
        <f>X15</f>
        <v>13.52</v>
      </c>
      <c r="G15" s="82"/>
      <c r="H15" s="83">
        <f>D15*AG15</f>
        <v>-13.262275449101796</v>
      </c>
      <c r="I15" s="83">
        <f>5.424/0.414</f>
        <v>13.101449275362318</v>
      </c>
      <c r="L15" s="78">
        <v>0.8375</v>
      </c>
      <c r="M15" s="84">
        <f>0.7928/L15-1</f>
        <v>-0.05337313432835811</v>
      </c>
      <c r="Q15" s="78">
        <v>0.9282</v>
      </c>
      <c r="R15" s="84">
        <f>0.8375/Q15-1</f>
        <v>-0.09771600948071535</v>
      </c>
      <c r="V15" s="78">
        <v>0.9015000000000001</v>
      </c>
      <c r="W15" s="84">
        <f>0.9282/V15-1</f>
        <v>0.02961730449251232</v>
      </c>
      <c r="X15" s="83">
        <f>5.408/0.4</f>
        <v>13.52</v>
      </c>
      <c r="AA15" s="78">
        <v>0.8877</v>
      </c>
      <c r="AB15" s="84">
        <f>0.9015/AA15-1</f>
        <v>0.01554579249746535</v>
      </c>
      <c r="AF15" s="78">
        <v>0.9185000000000001</v>
      </c>
      <c r="AG15" s="84">
        <f>0.8877/AF15-1</f>
        <v>-0.033532934131736525</v>
      </c>
      <c r="AK15" s="78">
        <v>0.8777</v>
      </c>
      <c r="AL15" s="84">
        <f>0.9185/AK15-1</f>
        <v>0.046485131593938744</v>
      </c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</row>
    <row r="16" spans="1:113" s="78" customFormat="1" ht="12.75">
      <c r="A16" s="77" t="s">
        <v>97</v>
      </c>
      <c r="B16" s="88" t="s">
        <v>98</v>
      </c>
      <c r="C16" s="79"/>
      <c r="D16" s="80"/>
      <c r="E16" s="81"/>
      <c r="F16" s="82">
        <f>AH16</f>
        <v>20.529</v>
      </c>
      <c r="G16" s="85">
        <f>AI16</f>
        <v>716.6457787398883</v>
      </c>
      <c r="H16" s="86">
        <f>AK16</f>
        <v>9.11473168508602</v>
      </c>
      <c r="I16" s="83">
        <v>5.424</v>
      </c>
      <c r="J16" s="85">
        <f>3*5.424*19.7</f>
        <v>320.5584</v>
      </c>
      <c r="L16" s="86">
        <f>16.5/L15</f>
        <v>19.70149253731343</v>
      </c>
      <c r="M16" s="84">
        <f>0.021/3</f>
        <v>0.007</v>
      </c>
      <c r="N16" s="83">
        <v>19.995</v>
      </c>
      <c r="O16" s="85">
        <f>655/Q15</f>
        <v>705.6668821374703</v>
      </c>
      <c r="Q16" s="86">
        <f>10/Q15</f>
        <v>10.77354018530489</v>
      </c>
      <c r="R16" s="84">
        <f>0.019/3</f>
        <v>0.006333333333333333</v>
      </c>
      <c r="S16" s="83">
        <v>20.005</v>
      </c>
      <c r="T16" s="85">
        <f>656/V15</f>
        <v>727.6760953965612</v>
      </c>
      <c r="V16" s="86">
        <f>9/V15</f>
        <v>9.983361064891845</v>
      </c>
      <c r="W16" s="84">
        <f>0.018/3</f>
        <v>0.006000000000000001</v>
      </c>
      <c r="X16" s="83">
        <v>5.408</v>
      </c>
      <c r="Y16" s="85">
        <f>263.4/AA15</f>
        <v>296.7218654950997</v>
      </c>
      <c r="AA16" s="86">
        <f>16.3/AA15</f>
        <v>18.362059254252564</v>
      </c>
      <c r="AB16" s="84">
        <f>0.017/3</f>
        <v>0.005666666666666667</v>
      </c>
      <c r="AC16" s="83">
        <v>20.711</v>
      </c>
      <c r="AD16" s="85">
        <f>(1115-400)/AF15</f>
        <v>778.443113772455</v>
      </c>
      <c r="AF16" s="86">
        <f>9/AF15</f>
        <v>9.798584648884049</v>
      </c>
      <c r="AG16" s="84">
        <f>0.022/3</f>
        <v>0.007333333333333333</v>
      </c>
      <c r="AH16" s="86">
        <v>20.529</v>
      </c>
      <c r="AI16" s="85">
        <f>629/AK15</f>
        <v>716.6457787398883</v>
      </c>
      <c r="AK16" s="86">
        <f>8/AK15</f>
        <v>9.11473168508602</v>
      </c>
      <c r="AL16" s="84">
        <v>0.02</v>
      </c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</row>
    <row r="17" spans="1:113" s="78" customFormat="1" ht="12.75">
      <c r="A17" s="77" t="s">
        <v>99</v>
      </c>
      <c r="C17" s="79"/>
      <c r="D17" s="80"/>
      <c r="E17" s="81"/>
      <c r="F17" s="82">
        <f>AH17</f>
        <v>4.221</v>
      </c>
      <c r="G17" s="85">
        <f>AI17</f>
        <v>202.80277999316394</v>
      </c>
      <c r="H17" s="86">
        <f>AK17</f>
        <v>15.950780448900534</v>
      </c>
      <c r="I17" s="83">
        <v>4.02</v>
      </c>
      <c r="J17" s="85">
        <f>203/L86</f>
        <v>242.38805970149252</v>
      </c>
      <c r="K17" s="87">
        <v>0.42</v>
      </c>
      <c r="L17" s="86">
        <f>14/L86</f>
        <v>16.71641791044776</v>
      </c>
      <c r="M17" s="84">
        <v>0.016</v>
      </c>
      <c r="N17" s="83">
        <v>3.956</v>
      </c>
      <c r="O17" s="85">
        <f>171/Q81</f>
        <v>184.22753716871364</v>
      </c>
      <c r="P17" s="87">
        <v>0.44</v>
      </c>
      <c r="Q17" s="86">
        <f>14/Q81</f>
        <v>15.082956259426847</v>
      </c>
      <c r="R17" s="84">
        <v>0.018000000000000002</v>
      </c>
      <c r="S17" s="83">
        <v>3.934</v>
      </c>
      <c r="T17" s="85">
        <f>175/V86</f>
        <v>194.12090959511923</v>
      </c>
      <c r="U17" s="87">
        <v>0.42</v>
      </c>
      <c r="V17" s="86">
        <f>15/V86</f>
        <v>16.638935108153078</v>
      </c>
      <c r="W17" s="84">
        <v>0.016</v>
      </c>
      <c r="X17" s="83">
        <v>3.9619999999999997</v>
      </c>
      <c r="Y17" s="85">
        <f>178/AA86</f>
        <v>200.51819308324883</v>
      </c>
      <c r="Z17" s="87">
        <v>0.43</v>
      </c>
      <c r="AA17" s="86">
        <f>15/AA86</f>
        <v>16.897600540723218</v>
      </c>
      <c r="AB17" s="84">
        <v>0.015</v>
      </c>
      <c r="AC17" s="83">
        <v>4.323</v>
      </c>
      <c r="AD17" s="85">
        <f>179/AF86</f>
        <v>194.8829613500272</v>
      </c>
      <c r="AE17" s="87">
        <v>0.44</v>
      </c>
      <c r="AF17" s="86">
        <f>14/AF86</f>
        <v>15.242242787152966</v>
      </c>
      <c r="AG17" s="84">
        <v>0.026000000000000002</v>
      </c>
      <c r="AH17" s="83">
        <v>4.221</v>
      </c>
      <c r="AI17" s="85">
        <f>178/AK86</f>
        <v>202.80277999316394</v>
      </c>
      <c r="AJ17" s="87">
        <v>0.45</v>
      </c>
      <c r="AK17" s="86">
        <f>14/AK86</f>
        <v>15.950780448900534</v>
      </c>
      <c r="AL17" s="84">
        <v>0.027000000000000003</v>
      </c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</row>
    <row r="18" spans="1:113" s="78" customFormat="1" ht="12.75">
      <c r="A18" s="77" t="s">
        <v>100</v>
      </c>
      <c r="B18" s="94" t="s">
        <v>101</v>
      </c>
      <c r="C18" s="79"/>
      <c r="D18" s="80"/>
      <c r="E18" s="81"/>
      <c r="F18" s="82">
        <f>S18</f>
        <v>2.894</v>
      </c>
      <c r="G18" s="85">
        <f>T18</f>
        <v>196.89406544647807</v>
      </c>
      <c r="H18" s="86">
        <f>V18</f>
        <v>22.451469772601218</v>
      </c>
      <c r="I18" s="83">
        <v>2.911</v>
      </c>
      <c r="J18" s="85">
        <f>(686-342)/(2*L15)</f>
        <v>205.3731343283582</v>
      </c>
      <c r="L18" s="86">
        <f>19.66/L15</f>
        <v>23.47462686567164</v>
      </c>
      <c r="M18" s="84"/>
      <c r="S18" s="83">
        <v>2.894</v>
      </c>
      <c r="T18" s="85">
        <f>355/(2*V15)</f>
        <v>196.89406544647807</v>
      </c>
      <c r="V18" s="86">
        <f>20.24/V15</f>
        <v>22.451469772601218</v>
      </c>
      <c r="W18" s="84">
        <v>0.005</v>
      </c>
      <c r="AG18" s="84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</row>
    <row r="19" spans="1:113" s="96" customFormat="1" ht="12.75">
      <c r="A19" s="95" t="s">
        <v>15</v>
      </c>
      <c r="B19" s="96" t="s">
        <v>102</v>
      </c>
      <c r="C19" s="97">
        <f>POPS!$C$13</f>
        <v>168.957</v>
      </c>
      <c r="D19" s="91">
        <f>POPS!E13</f>
        <v>533.7</v>
      </c>
      <c r="E19" s="31">
        <f>F19/C19</f>
        <v>0.7746408849588949</v>
      </c>
      <c r="F19" s="98">
        <f>AH19</f>
        <v>130.881</v>
      </c>
      <c r="G19" s="99">
        <f>SUM(G20:G23)</f>
        <v>914.3233726767412</v>
      </c>
      <c r="H19" s="100">
        <f>D19*AG19</f>
        <v>-5.39406966518391</v>
      </c>
      <c r="I19" s="100">
        <v>119.623</v>
      </c>
      <c r="J19" s="101"/>
      <c r="K19" s="101"/>
      <c r="L19" s="101">
        <v>78.5245</v>
      </c>
      <c r="M19" s="102">
        <f>77.45/L19-1</f>
        <v>-0.013683627402912513</v>
      </c>
      <c r="N19" s="100">
        <v>123.69</v>
      </c>
      <c r="O19" s="101"/>
      <c r="P19" s="101"/>
      <c r="Q19" s="101">
        <v>77.923</v>
      </c>
      <c r="R19" s="102">
        <f>78.5245/Q19-1</f>
        <v>0.007719158656622538</v>
      </c>
      <c r="S19" s="100">
        <v>126.866</v>
      </c>
      <c r="T19" s="101"/>
      <c r="U19" s="101"/>
      <c r="V19" s="101">
        <v>77.781</v>
      </c>
      <c r="W19" s="102">
        <f>77.923/V19-1</f>
        <v>0.0018256386521129375</v>
      </c>
      <c r="X19" s="100">
        <v>131.436</v>
      </c>
      <c r="Y19" s="101"/>
      <c r="Z19" s="101"/>
      <c r="AA19" s="101">
        <v>77.6675</v>
      </c>
      <c r="AB19" s="102">
        <f>77.781/AA19-1</f>
        <v>0.0014613577107542852</v>
      </c>
      <c r="AC19" s="100">
        <v>133.72</v>
      </c>
      <c r="AD19" s="101"/>
      <c r="AE19" s="101"/>
      <c r="AF19" s="101">
        <v>78.461</v>
      </c>
      <c r="AG19" s="102">
        <f>77.668/AF19-1</f>
        <v>-0.010106932106396682</v>
      </c>
      <c r="AH19" s="100">
        <v>130.881</v>
      </c>
      <c r="AI19" s="101"/>
      <c r="AJ19" s="101"/>
      <c r="AK19" s="101">
        <v>78.362</v>
      </c>
      <c r="AL19" s="102">
        <f>78.461/AK19-1</f>
        <v>0.0012633674485083013</v>
      </c>
      <c r="AM19" s="101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</row>
    <row r="20" spans="1:113" s="96" customFormat="1" ht="12.75">
      <c r="A20" s="95" t="s">
        <v>103</v>
      </c>
      <c r="C20" s="97"/>
      <c r="D20" s="91"/>
      <c r="E20" s="31"/>
      <c r="F20" s="98">
        <f>AH20</f>
        <v>56.285</v>
      </c>
      <c r="G20" s="99">
        <f>Y20</f>
        <v>582.5349045205872</v>
      </c>
      <c r="H20" s="103">
        <f>AA20</f>
        <v>1.9262487509480755</v>
      </c>
      <c r="I20" s="100">
        <v>51.112</v>
      </c>
      <c r="J20" s="99">
        <f>2193/(0.558*L160)</f>
        <v>514.8365179246919</v>
      </c>
      <c r="K20" s="101"/>
      <c r="L20" s="103">
        <f>14/L160</f>
        <v>1.8339730405963033</v>
      </c>
      <c r="M20" s="102"/>
      <c r="N20" s="100">
        <v>52.006</v>
      </c>
      <c r="O20" s="101"/>
      <c r="P20" s="101"/>
      <c r="Q20" s="101"/>
      <c r="R20" s="101"/>
      <c r="S20" s="100">
        <v>53.129</v>
      </c>
      <c r="T20" s="101"/>
      <c r="U20" s="101"/>
      <c r="V20" s="101"/>
      <c r="W20" s="101"/>
      <c r="X20" s="100">
        <v>55.511</v>
      </c>
      <c r="Y20" s="99">
        <f>2700/(0.558*AA160)</f>
        <v>582.5349045205872</v>
      </c>
      <c r="Z20" s="101"/>
      <c r="AA20" s="103">
        <f>16/AA160</f>
        <v>1.9262487509480755</v>
      </c>
      <c r="AB20" s="101"/>
      <c r="AC20" s="100">
        <v>56.679</v>
      </c>
      <c r="AD20" s="101"/>
      <c r="AE20" s="101"/>
      <c r="AF20" s="101"/>
      <c r="AG20" s="102"/>
      <c r="AH20" s="100">
        <v>56.285</v>
      </c>
      <c r="AI20" s="101"/>
      <c r="AJ20" s="101"/>
      <c r="AK20" s="101"/>
      <c r="AL20" s="101"/>
      <c r="AM20" s="101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</row>
    <row r="21" spans="1:113" s="96" customFormat="1" ht="12.75">
      <c r="A21" s="95" t="s">
        <v>104</v>
      </c>
      <c r="B21" s="104" t="s">
        <v>78</v>
      </c>
      <c r="C21" s="97"/>
      <c r="D21" s="91"/>
      <c r="E21" s="31"/>
      <c r="F21" s="98">
        <f>AH21</f>
        <v>31.932</v>
      </c>
      <c r="G21" s="99">
        <f>AI21</f>
        <v>155</v>
      </c>
      <c r="H21" s="103">
        <f>AK21</f>
        <v>1.6</v>
      </c>
      <c r="I21" s="100">
        <v>30.8</v>
      </c>
      <c r="J21" s="99">
        <f>11000/L19</f>
        <v>140.08366815452501</v>
      </c>
      <c r="K21" s="101"/>
      <c r="L21" s="101"/>
      <c r="M21" s="102"/>
      <c r="N21" s="100">
        <v>31.924</v>
      </c>
      <c r="O21" s="101">
        <v>147</v>
      </c>
      <c r="P21" s="101"/>
      <c r="Q21" s="103">
        <v>1.5</v>
      </c>
      <c r="R21" s="102">
        <v>0.015</v>
      </c>
      <c r="S21" s="100">
        <v>32.224</v>
      </c>
      <c r="T21" s="101">
        <v>151</v>
      </c>
      <c r="U21" s="101"/>
      <c r="V21" s="103">
        <v>1.5</v>
      </c>
      <c r="W21" s="102">
        <f>0.057/3</f>
        <v>0.019</v>
      </c>
      <c r="X21" s="100">
        <v>32.615</v>
      </c>
      <c r="Y21" s="99">
        <v>154</v>
      </c>
      <c r="Z21" s="101"/>
      <c r="AA21" s="103">
        <f>121/AA19</f>
        <v>1.5579231982489457</v>
      </c>
      <c r="AB21" s="101"/>
      <c r="AC21" s="100">
        <v>32.3</v>
      </c>
      <c r="AD21" s="101">
        <v>153</v>
      </c>
      <c r="AE21" s="105">
        <f>12.2/153</f>
        <v>0.07973856209150326</v>
      </c>
      <c r="AF21" s="103">
        <v>1.5</v>
      </c>
      <c r="AG21" s="102">
        <f>0.064/3</f>
        <v>0.021333333333333333</v>
      </c>
      <c r="AH21" s="100">
        <v>31.932</v>
      </c>
      <c r="AI21" s="101">
        <v>155</v>
      </c>
      <c r="AJ21" s="105">
        <f>13.6/155</f>
        <v>0.08774193548387096</v>
      </c>
      <c r="AK21" s="103">
        <v>1.6</v>
      </c>
      <c r="AL21" s="102">
        <v>0.015</v>
      </c>
      <c r="AM21" s="101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</row>
    <row r="22" spans="1:113" s="96" customFormat="1" ht="12.75">
      <c r="A22" s="95" t="s">
        <v>105</v>
      </c>
      <c r="C22" s="97"/>
      <c r="D22" s="91"/>
      <c r="E22" s="31"/>
      <c r="F22" s="98">
        <f>AH22</f>
        <v>10.161</v>
      </c>
      <c r="G22" s="99">
        <v>0</v>
      </c>
      <c r="H22" s="103"/>
      <c r="I22" s="100">
        <v>7.468</v>
      </c>
      <c r="J22" s="101"/>
      <c r="K22" s="101"/>
      <c r="L22" s="101"/>
      <c r="M22" s="102"/>
      <c r="N22" s="100">
        <v>8.185</v>
      </c>
      <c r="O22" s="101"/>
      <c r="P22" s="101"/>
      <c r="Q22" s="101"/>
      <c r="R22" s="101"/>
      <c r="S22" s="100">
        <v>8.743</v>
      </c>
      <c r="T22" s="101"/>
      <c r="U22" s="101"/>
      <c r="V22" s="101"/>
      <c r="W22" s="101"/>
      <c r="X22" s="100">
        <v>9.717</v>
      </c>
      <c r="Y22" s="101"/>
      <c r="Z22" s="101"/>
      <c r="AA22" s="101"/>
      <c r="AB22" s="101"/>
      <c r="AC22" s="100">
        <v>10.71</v>
      </c>
      <c r="AD22" s="101"/>
      <c r="AE22" s="101"/>
      <c r="AF22" s="101"/>
      <c r="AG22" s="102"/>
      <c r="AH22" s="100">
        <v>10.161</v>
      </c>
      <c r="AI22" s="101"/>
      <c r="AJ22" s="101"/>
      <c r="AK22" s="101"/>
      <c r="AL22" s="101"/>
      <c r="AM22" s="101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</row>
    <row r="23" spans="1:113" s="96" customFormat="1" ht="12.75">
      <c r="A23" s="95" t="s">
        <v>106</v>
      </c>
      <c r="B23" s="104" t="s">
        <v>107</v>
      </c>
      <c r="C23" s="97"/>
      <c r="D23" s="91"/>
      <c r="E23" s="31"/>
      <c r="F23" s="98">
        <f>AH23</f>
        <v>27.45</v>
      </c>
      <c r="G23" s="99">
        <f>AD23</f>
        <v>176.788468156154</v>
      </c>
      <c r="H23" s="103">
        <f>AA23</f>
        <v>1.8283065632343</v>
      </c>
      <c r="I23" s="100">
        <v>25.289</v>
      </c>
      <c r="J23" s="99">
        <f>13324/L19</f>
        <v>169.67952677189922</v>
      </c>
      <c r="L23" s="103">
        <f>157/L19</f>
        <v>1.9993759909327662</v>
      </c>
      <c r="M23" s="102"/>
      <c r="N23" s="100">
        <v>26.289</v>
      </c>
      <c r="O23" s="99">
        <f>12163/Q19</f>
        <v>156.0899862684958</v>
      </c>
      <c r="Q23" s="103">
        <f>149/Q19</f>
        <v>1.9121440396288643</v>
      </c>
      <c r="S23" s="100">
        <v>27.368</v>
      </c>
      <c r="T23" s="99">
        <f>12952/V19</f>
        <v>166.51881564906594</v>
      </c>
      <c r="U23" s="105">
        <v>0.09</v>
      </c>
      <c r="V23" s="103">
        <f>144/V19</f>
        <v>1.8513518725652793</v>
      </c>
      <c r="X23" s="100">
        <v>28.373</v>
      </c>
      <c r="Y23" s="99">
        <f>13409/AA19</f>
        <v>172.64621624231498</v>
      </c>
      <c r="Z23" s="105">
        <v>0.1</v>
      </c>
      <c r="AA23" s="103">
        <f>142/AA19</f>
        <v>1.8283065632343</v>
      </c>
      <c r="AC23" s="100">
        <v>28.317</v>
      </c>
      <c r="AD23" s="99">
        <f>13871/AF19</f>
        <v>176.788468156154</v>
      </c>
      <c r="AE23" s="105">
        <v>0.1</v>
      </c>
      <c r="AF23" s="103">
        <f>136/AF19</f>
        <v>1.7333452288398057</v>
      </c>
      <c r="AG23" s="102"/>
      <c r="AH23" s="100">
        <v>27.45</v>
      </c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</row>
    <row r="24" spans="1:113" s="78" customFormat="1" ht="12.75">
      <c r="A24" s="77" t="s">
        <v>108</v>
      </c>
      <c r="C24" s="79">
        <f>POPS!$C$16</f>
        <v>11.323</v>
      </c>
      <c r="D24" s="80">
        <f>POPS!E16</f>
        <v>481.5</v>
      </c>
      <c r="E24" s="81">
        <f>F24/C24</f>
        <v>1.3878199871311236</v>
      </c>
      <c r="F24" s="82">
        <f>I24</f>
        <v>15.714285714285714</v>
      </c>
      <c r="G24" s="82"/>
      <c r="H24" s="83">
        <f>D24*AG24</f>
        <v>-16.146107784431138</v>
      </c>
      <c r="I24" s="83">
        <f>3.3/0.21</f>
        <v>15.714285714285714</v>
      </c>
      <c r="L24" s="78">
        <v>0.8375</v>
      </c>
      <c r="M24" s="84">
        <f>0.7928/L24-1</f>
        <v>-0.05337313432835811</v>
      </c>
      <c r="Q24" s="78">
        <v>0.9282</v>
      </c>
      <c r="R24" s="84">
        <f>0.8375/Q24-1</f>
        <v>-0.09771600948071535</v>
      </c>
      <c r="V24" s="78">
        <v>0.9015000000000001</v>
      </c>
      <c r="W24" s="84">
        <f>0.9282/V24-1</f>
        <v>0.02961730449251232</v>
      </c>
      <c r="AA24" s="78">
        <v>0.8877</v>
      </c>
      <c r="AB24" s="84">
        <f>0.9015/AA24-1</f>
        <v>0.01554579249746535</v>
      </c>
      <c r="AF24" s="78">
        <v>0.9185000000000001</v>
      </c>
      <c r="AG24" s="84">
        <f>0.8877/AF24-1</f>
        <v>-0.033532934131736525</v>
      </c>
      <c r="AK24" s="78">
        <v>0.8777</v>
      </c>
      <c r="AL24" s="84">
        <f>0.9185/AK24-1</f>
        <v>0.046485131593938744</v>
      </c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</row>
    <row r="25" spans="1:113" s="78" customFormat="1" ht="12.75">
      <c r="A25" s="77" t="s">
        <v>109</v>
      </c>
      <c r="B25" s="88" t="s">
        <v>110</v>
      </c>
      <c r="C25" s="79"/>
      <c r="D25" s="80"/>
      <c r="E25" s="81"/>
      <c r="F25" s="82">
        <f>S25</f>
        <v>5.429</v>
      </c>
      <c r="G25" s="85">
        <f>T25</f>
        <v>420.4104270660011</v>
      </c>
      <c r="H25" s="86">
        <f>V25</f>
        <v>26.896557149230517</v>
      </c>
      <c r="M25" s="84"/>
      <c r="S25" s="83">
        <f>4.229+1.2</f>
        <v>5.429</v>
      </c>
      <c r="T25" s="85">
        <f>(295+84)/V24</f>
        <v>420.4104270660011</v>
      </c>
      <c r="V25" s="86">
        <f>(4.229*22.7+1.2*29.7)/((4.229+1.2)*V24)</f>
        <v>26.896557149230517</v>
      </c>
      <c r="W25" s="84">
        <f>(4.229*0.209+1.2*0.1)/(12*(4.229+1.2))</f>
        <v>0.015408930435316513</v>
      </c>
      <c r="AG25" s="84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</row>
    <row r="26" spans="1:113" s="78" customFormat="1" ht="12.75">
      <c r="A26" s="77" t="s">
        <v>111</v>
      </c>
      <c r="B26" s="78" t="s">
        <v>112</v>
      </c>
      <c r="C26" s="79"/>
      <c r="D26" s="80"/>
      <c r="E26" s="81"/>
      <c r="F26" s="82">
        <f>S26</f>
        <v>3.224</v>
      </c>
      <c r="G26" s="85">
        <f>T26</f>
        <v>187.465335551858</v>
      </c>
      <c r="H26" s="86">
        <f>V26</f>
        <v>16.638935108153078</v>
      </c>
      <c r="I26" s="78">
        <v>3.3</v>
      </c>
      <c r="M26" s="84"/>
      <c r="S26" s="83">
        <v>3.224</v>
      </c>
      <c r="T26" s="85">
        <f>169/V24</f>
        <v>187.465335551858</v>
      </c>
      <c r="V26" s="86">
        <f>15/V24</f>
        <v>16.638935108153078</v>
      </c>
      <c r="AG26" s="84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</row>
    <row r="27" spans="1:113" s="78" customFormat="1" ht="12.75">
      <c r="A27" s="77" t="s">
        <v>113</v>
      </c>
      <c r="B27" s="78" t="s">
        <v>114</v>
      </c>
      <c r="C27" s="79"/>
      <c r="D27" s="80"/>
      <c r="E27" s="81"/>
      <c r="F27" s="82">
        <f>AC27</f>
        <v>5.82</v>
      </c>
      <c r="G27" s="85">
        <f>AD27</f>
        <v>318.9983669025585</v>
      </c>
      <c r="H27" s="86">
        <f>AF27</f>
        <v>26.020685900925418</v>
      </c>
      <c r="I27" s="83">
        <v>3.915</v>
      </c>
      <c r="J27" s="85">
        <f>244/L81</f>
        <v>291.34328358208955</v>
      </c>
      <c r="M27" s="84"/>
      <c r="N27" s="83">
        <f>3.891+1.712</f>
        <v>5.603</v>
      </c>
      <c r="O27" s="85">
        <f>(247+32)/Q81</f>
        <v>300.58177117000645</v>
      </c>
      <c r="Q27" s="86">
        <f>23.7/Q81</f>
        <v>25.53329023917259</v>
      </c>
      <c r="S27" s="83">
        <f>3.95+1.992</f>
        <v>5.942</v>
      </c>
      <c r="T27" s="85">
        <f>(248+30)/V81</f>
        <v>308.3749306711037</v>
      </c>
      <c r="V27" s="86">
        <f>23.6/V81</f>
        <v>26.178591236827508</v>
      </c>
      <c r="X27" s="83">
        <f>3.974+1.699</f>
        <v>5.673</v>
      </c>
      <c r="Y27" s="85">
        <f>(258+26)/AA81</f>
        <v>319.9279035710262</v>
      </c>
      <c r="AA27" s="86">
        <f>23.9/AA81</f>
        <v>26.923510194885658</v>
      </c>
      <c r="AC27" s="83">
        <f>4.033+1.787</f>
        <v>5.82</v>
      </c>
      <c r="AD27" s="78">
        <f>(253+40)/AF81</f>
        <v>318.9983669025585</v>
      </c>
      <c r="AF27" s="86">
        <f>23.9/AF81</f>
        <v>26.020685900925418</v>
      </c>
      <c r="AG27" s="84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</row>
    <row r="28" spans="1:113" s="27" customFormat="1" ht="12.75">
      <c r="A28" s="26" t="s">
        <v>16</v>
      </c>
      <c r="B28" s="104" t="s">
        <v>115</v>
      </c>
      <c r="C28" s="28">
        <f>POPS!$C$23</f>
        <v>204.259</v>
      </c>
      <c r="D28" s="91">
        <f>POPS!E23</f>
        <v>3264</v>
      </c>
      <c r="E28" s="31">
        <f>F28/C28</f>
        <v>1.2621769420196907</v>
      </c>
      <c r="F28" s="38">
        <f>AH28</f>
        <v>257.811</v>
      </c>
      <c r="G28" s="92">
        <f>SUM(G29:G32)</f>
        <v>4242.814395556472</v>
      </c>
      <c r="H28" s="92">
        <f>D28*AG28</f>
        <v>-273.3256900426776</v>
      </c>
      <c r="I28" s="30">
        <v>280.473</v>
      </c>
      <c r="L28" s="27">
        <v>2.6946</v>
      </c>
      <c r="M28" s="106">
        <f>2.4398/L28-1</f>
        <v>-0.09455948934906844</v>
      </c>
      <c r="N28" s="30">
        <v>282.558</v>
      </c>
      <c r="Q28" s="27">
        <v>3.1931</v>
      </c>
      <c r="R28" s="106">
        <f>2.6946/Q28-1</f>
        <v>-0.1561178791769754</v>
      </c>
      <c r="S28" s="30">
        <v>282.455</v>
      </c>
      <c r="V28" s="27">
        <v>3.1124</v>
      </c>
      <c r="W28" s="106">
        <f>3.1931/V28-1</f>
        <v>0.025928543888960265</v>
      </c>
      <c r="X28" s="30">
        <v>275.89</v>
      </c>
      <c r="AA28" s="27">
        <v>3.6283000000000003</v>
      </c>
      <c r="AB28" s="106">
        <f>3.1124/AA28-1</f>
        <v>-0.14218780144971477</v>
      </c>
      <c r="AC28" s="30">
        <v>257.795</v>
      </c>
      <c r="AF28" s="27">
        <v>3.9599</v>
      </c>
      <c r="AG28" s="106">
        <f>3.6283/AF28-1</f>
        <v>-0.08373948837091838</v>
      </c>
      <c r="AH28" s="30">
        <v>257.811</v>
      </c>
      <c r="AK28" s="27">
        <v>3.5535</v>
      </c>
      <c r="AL28" s="106">
        <f>3.9599/AK28-1</f>
        <v>0.11436611791191775</v>
      </c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</row>
    <row r="29" spans="1:113" s="27" customFormat="1" ht="12.75">
      <c r="A29" s="26" t="s">
        <v>116</v>
      </c>
      <c r="C29" s="28"/>
      <c r="D29" s="91"/>
      <c r="E29" s="31"/>
      <c r="F29" s="38">
        <f>AH29</f>
        <v>73.2698862</v>
      </c>
      <c r="G29" s="92">
        <f>AI29</f>
        <v>1594.2</v>
      </c>
      <c r="H29" s="93">
        <f>AK29</f>
        <v>7.570001407063458</v>
      </c>
      <c r="I29" s="30">
        <f>79.932</f>
        <v>79.932</v>
      </c>
      <c r="J29" s="92">
        <f>1960/L203</f>
        <v>2340.2985074626863</v>
      </c>
      <c r="K29" s="107">
        <f>2.8/7.4</f>
        <v>0.37837837837837834</v>
      </c>
      <c r="L29" s="93">
        <f>7.4/L203</f>
        <v>8.835820895522389</v>
      </c>
      <c r="M29" s="106">
        <v>0.04</v>
      </c>
      <c r="N29" s="30">
        <f>N28*0.2875</f>
        <v>81.235425</v>
      </c>
      <c r="O29" s="92">
        <f>1942/Q203</f>
        <v>2092.22150398621</v>
      </c>
      <c r="P29" s="107">
        <f>3/7.2</f>
        <v>0.41666666666666663</v>
      </c>
      <c r="Q29" s="93">
        <f>7.2/Q203</f>
        <v>7.756948933419522</v>
      </c>
      <c r="R29" s="106">
        <f>0.029</f>
        <v>0.029</v>
      </c>
      <c r="S29" s="30">
        <f>82.6486</f>
        <v>82.6486</v>
      </c>
      <c r="T29" s="92">
        <f>1831/Q203</f>
        <v>1972.6352079293256</v>
      </c>
      <c r="U29" s="107">
        <f>3/6.5</f>
        <v>0.46153846153846156</v>
      </c>
      <c r="V29" s="93">
        <f>6.5/Q203</f>
        <v>7.002801120448179</v>
      </c>
      <c r="W29" s="106">
        <f>0.032</f>
        <v>0.032</v>
      </c>
      <c r="X29" s="30">
        <f>X28*0.2878</f>
        <v>79.401142</v>
      </c>
      <c r="Y29" s="92">
        <f>1606/AA203</f>
        <v>1809.169764560099</v>
      </c>
      <c r="Z29" s="107">
        <f>2.8/5.7</f>
        <v>0.49122807017543857</v>
      </c>
      <c r="AA29" s="93">
        <f>5.7/AA203</f>
        <v>6.421088205474822</v>
      </c>
      <c r="AB29" s="106">
        <v>0.036000000000000004</v>
      </c>
      <c r="AC29" s="30">
        <f>73.2613</f>
        <v>73.2613</v>
      </c>
      <c r="AD29" s="92">
        <f>1526/AF203</f>
        <v>1661.4044637996733</v>
      </c>
      <c r="AE29" s="107">
        <f>3/5.7</f>
        <v>0.5263157894736842</v>
      </c>
      <c r="AF29" s="93">
        <f>5.7/AF203</f>
        <v>6.205770277626565</v>
      </c>
      <c r="AG29" s="106">
        <v>0.061</v>
      </c>
      <c r="AH29" s="30">
        <f>AH28*0.2842</f>
        <v>73.2698862</v>
      </c>
      <c r="AI29" s="92">
        <v>1594.2</v>
      </c>
      <c r="AJ29" s="107">
        <v>0.52</v>
      </c>
      <c r="AK29" s="27">
        <f>26.9/AK28</f>
        <v>7.570001407063458</v>
      </c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</row>
    <row r="30" spans="1:113" s="27" customFormat="1" ht="12.75">
      <c r="A30" s="26" t="s">
        <v>117</v>
      </c>
      <c r="B30" s="27" t="s">
        <v>118</v>
      </c>
      <c r="C30" s="28"/>
      <c r="D30" s="91"/>
      <c r="E30" s="31"/>
      <c r="F30" s="38">
        <f>AH30</f>
        <v>65.289</v>
      </c>
      <c r="G30" s="92">
        <f>AI30</f>
        <v>845.926551287463</v>
      </c>
      <c r="H30" s="93">
        <f>AK30</f>
        <v>3.939777683973547</v>
      </c>
      <c r="I30" s="30">
        <f>71.107</f>
        <v>71.107</v>
      </c>
      <c r="J30" s="92">
        <f>3593/L28</f>
        <v>1333.4075558524457</v>
      </c>
      <c r="L30" s="93">
        <f>15/L28</f>
        <v>5.566688933422401</v>
      </c>
      <c r="M30" s="106">
        <f>0.032/3</f>
        <v>0.010666666666666666</v>
      </c>
      <c r="N30" s="30">
        <f>71.942</f>
        <v>71.942</v>
      </c>
      <c r="O30" s="92">
        <f>3035/Q28</f>
        <v>950.4869875669413</v>
      </c>
      <c r="Q30" s="93">
        <f>13/Q28</f>
        <v>4.071278694685415</v>
      </c>
      <c r="R30" s="106">
        <f>0.031/3</f>
        <v>0.010333333333333333</v>
      </c>
      <c r="S30" s="30">
        <v>71.202</v>
      </c>
      <c r="T30" s="92">
        <f>3057/V28</f>
        <v>982.2002313327336</v>
      </c>
      <c r="V30" s="93">
        <f>13/V28</f>
        <v>4.176841023004755</v>
      </c>
      <c r="W30" s="106">
        <v>0.034</v>
      </c>
      <c r="X30" s="30">
        <f>X28*0.255</f>
        <v>70.35195</v>
      </c>
      <c r="Y30" s="92">
        <f>2930/AA28</f>
        <v>807.5407215500371</v>
      </c>
      <c r="AA30" s="93">
        <f>13/AA28</f>
        <v>3.582945180938731</v>
      </c>
      <c r="AB30" s="106">
        <f>0.035/3</f>
        <v>0.011666666666666667</v>
      </c>
      <c r="AC30" s="30">
        <f>65.978</f>
        <v>65.978</v>
      </c>
      <c r="AD30" s="92">
        <f>(9205-6201)/AF28</f>
        <v>758.6050152781636</v>
      </c>
      <c r="AF30" s="93">
        <f>13/AF28</f>
        <v>3.282911184625874</v>
      </c>
      <c r="AG30" s="106">
        <f>0.051/3</f>
        <v>0.017</v>
      </c>
      <c r="AH30" s="30">
        <f>65.289</f>
        <v>65.289</v>
      </c>
      <c r="AI30" s="92">
        <f>3006/AK28</f>
        <v>845.926551287463</v>
      </c>
      <c r="AK30" s="93">
        <f>14/AK28</f>
        <v>3.939777683973547</v>
      </c>
      <c r="AL30" s="106">
        <v>0.036000000000000004</v>
      </c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</row>
    <row r="31" spans="1:113" s="27" customFormat="1" ht="12.75">
      <c r="A31" s="26" t="s">
        <v>119</v>
      </c>
      <c r="B31" s="108" t="s">
        <v>120</v>
      </c>
      <c r="C31" s="28"/>
      <c r="D31" s="91"/>
      <c r="E31" s="31"/>
      <c r="F31" s="38">
        <f>AH31</f>
        <v>67.2628899</v>
      </c>
      <c r="G31" s="92">
        <f>Y31</f>
        <v>1134.6911776865197</v>
      </c>
      <c r="H31" s="93">
        <f>AA31</f>
        <v>0</v>
      </c>
      <c r="I31" s="30">
        <f>I28*0.2683</f>
        <v>75.25090590000002</v>
      </c>
      <c r="J31" s="92">
        <f>1627/L124</f>
        <v>1942.686567164179</v>
      </c>
      <c r="L31" s="93">
        <f>18/L28</f>
        <v>6.680026720106881</v>
      </c>
      <c r="M31" s="106"/>
      <c r="N31" s="30">
        <f>N28*0.2684</f>
        <v>75.8385672</v>
      </c>
      <c r="O31" s="92">
        <f>1141/Q124</f>
        <v>1229.260935143288</v>
      </c>
      <c r="S31" s="30">
        <f>0.2641*S28</f>
        <v>74.59636549999999</v>
      </c>
      <c r="T31" s="92">
        <f>4353/V28</f>
        <v>1398.5991517799769</v>
      </c>
      <c r="V31" s="93">
        <f>16.4/V28</f>
        <v>5.269245598252152</v>
      </c>
      <c r="X31" s="30">
        <f>X28*0.2631</f>
        <v>72.586659</v>
      </c>
      <c r="Y31" s="92">
        <f>4117/AA28</f>
        <v>1134.6911776865197</v>
      </c>
      <c r="AC31" s="30">
        <f>AC28*0.2569</f>
        <v>66.2275355</v>
      </c>
      <c r="AG31" s="106"/>
      <c r="AH31" s="30">
        <f>AH28*0.2609</f>
        <v>67.2628899</v>
      </c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</row>
    <row r="32" spans="1:113" s="27" customFormat="1" ht="12.75">
      <c r="A32" s="26" t="s">
        <v>121</v>
      </c>
      <c r="B32" s="108" t="s">
        <v>122</v>
      </c>
      <c r="C32" s="28"/>
      <c r="D32" s="91"/>
      <c r="E32" s="31"/>
      <c r="F32" s="38">
        <f>AH32</f>
        <v>47.7465972</v>
      </c>
      <c r="G32" s="92">
        <f>AD32</f>
        <v>667.9966665824894</v>
      </c>
      <c r="H32" s="93"/>
      <c r="I32" s="30">
        <f>I28*0.1837</f>
        <v>51.522890100000005</v>
      </c>
      <c r="M32" s="106"/>
      <c r="N32" s="30">
        <f>N28*0.1784</f>
        <v>50.4083472</v>
      </c>
      <c r="S32" s="30">
        <f>0.1778*S28</f>
        <v>50.220499000000004</v>
      </c>
      <c r="X32" s="30">
        <f>X28*0.1793</f>
        <v>49.467077</v>
      </c>
      <c r="AC32" s="30">
        <f>AC28*0.1864</f>
        <v>48.052988000000006</v>
      </c>
      <c r="AD32" s="27">
        <f>(2050+0.3*1984)/AF28</f>
        <v>667.9966665824894</v>
      </c>
      <c r="AG32" s="106"/>
      <c r="AH32" s="30">
        <f>AH28*0.1852</f>
        <v>47.7465972</v>
      </c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</row>
    <row r="33" spans="1:113" s="27" customFormat="1" ht="12.75">
      <c r="A33" s="26" t="s">
        <v>123</v>
      </c>
      <c r="B33" s="109" t="s">
        <v>124</v>
      </c>
      <c r="C33" s="28"/>
      <c r="D33" s="91"/>
      <c r="E33" s="31"/>
      <c r="F33" s="38"/>
      <c r="G33" s="38"/>
      <c r="H33" s="38"/>
      <c r="M33" s="106"/>
      <c r="AG33" s="106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</row>
    <row r="34" spans="1:113" s="78" customFormat="1" ht="12.75">
      <c r="A34" s="77" t="s">
        <v>125</v>
      </c>
      <c r="C34" s="79">
        <f>POPS!$C$25</f>
        <v>7.186</v>
      </c>
      <c r="D34" s="80">
        <f>POPS!E25</f>
        <v>128.6</v>
      </c>
      <c r="E34" s="81">
        <f>F34/C34</f>
        <v>1.5487800833226382</v>
      </c>
      <c r="F34" s="82">
        <f>X34</f>
        <v>11.129533678756477</v>
      </c>
      <c r="G34" s="82"/>
      <c r="H34" s="83">
        <f>D34*AG34</f>
        <v>-4.5859690051658095</v>
      </c>
      <c r="I34" s="83">
        <f>4.221/0.376</f>
        <v>11.226063829787234</v>
      </c>
      <c r="L34" s="78">
        <v>1.6381000000000001</v>
      </c>
      <c r="M34" s="84">
        <f>1.5593/L34-1</f>
        <v>-0.0481045113240951</v>
      </c>
      <c r="Q34" s="78">
        <v>1.8157</v>
      </c>
      <c r="R34" s="84">
        <f>1.6381/Q34-1</f>
        <v>-0.0978135154485873</v>
      </c>
      <c r="V34" s="78">
        <v>1.7631000000000001</v>
      </c>
      <c r="W34" s="84">
        <f>1.8157/V34-1</f>
        <v>0.029833815438715883</v>
      </c>
      <c r="X34" s="83">
        <f>4.296/0.386</f>
        <v>11.129533678756477</v>
      </c>
      <c r="AA34" s="78">
        <v>1.7361</v>
      </c>
      <c r="AB34" s="84">
        <f>1.7631/AA34-1</f>
        <v>0.015552099533437058</v>
      </c>
      <c r="AF34" s="78">
        <v>1.8003</v>
      </c>
      <c r="AG34" s="84">
        <f>1.7361/AF34-1</f>
        <v>-0.035660723212797896</v>
      </c>
      <c r="AK34" s="78">
        <v>1.7166000000000001</v>
      </c>
      <c r="AL34" s="84">
        <f>1.8003/AK34-1</f>
        <v>0.04875917511359651</v>
      </c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</row>
    <row r="35" spans="1:113" s="78" customFormat="1" ht="12.75">
      <c r="A35" s="77" t="s">
        <v>126</v>
      </c>
      <c r="B35" s="78" t="s">
        <v>127</v>
      </c>
      <c r="C35" s="79"/>
      <c r="D35" s="80"/>
      <c r="E35" s="81"/>
      <c r="F35" s="82">
        <f>X35</f>
        <v>3.762</v>
      </c>
      <c r="G35" s="85">
        <f>Y35</f>
        <v>212.84887550562598</v>
      </c>
      <c r="H35" s="86">
        <f>AA35</f>
        <v>6.62148008138401</v>
      </c>
      <c r="I35" s="83">
        <v>3.901</v>
      </c>
      <c r="J35" s="85">
        <f>(606/0.3586)/L160</f>
        <v>221.37432527315747</v>
      </c>
      <c r="L35" s="86">
        <f>50/L160</f>
        <v>6.549903716415368</v>
      </c>
      <c r="M35" s="84"/>
      <c r="X35" s="83">
        <v>3.762</v>
      </c>
      <c r="Y35" s="85">
        <f>634/(0.3586*AA160)</f>
        <v>212.84887550562598</v>
      </c>
      <c r="AA35" s="86">
        <f>55/(AA160)</f>
        <v>6.62148008138401</v>
      </c>
      <c r="AG35" s="84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</row>
    <row r="36" spans="1:113" s="78" customFormat="1" ht="12.75">
      <c r="A36" s="77" t="s">
        <v>128</v>
      </c>
      <c r="B36" s="94" t="s">
        <v>98</v>
      </c>
      <c r="C36" s="79"/>
      <c r="D36" s="80"/>
      <c r="E36" s="81"/>
      <c r="F36" s="82">
        <f>X36</f>
        <v>4.296</v>
      </c>
      <c r="G36" s="85">
        <f>Y36</f>
        <v>80.88318125492846</v>
      </c>
      <c r="H36" s="86"/>
      <c r="I36" s="83">
        <v>4.221</v>
      </c>
      <c r="J36" s="85">
        <f>371.26/(4*L15)</f>
        <v>110.82388059701492</v>
      </c>
      <c r="M36" s="84"/>
      <c r="X36" s="83">
        <v>4.296</v>
      </c>
      <c r="Y36" s="85">
        <f>71.8/AA15</f>
        <v>80.88318125492846</v>
      </c>
      <c r="AG36" s="84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</row>
    <row r="37" spans="1:113" s="27" customFormat="1" ht="12.75">
      <c r="A37" s="26" t="s">
        <v>17</v>
      </c>
      <c r="C37" s="28">
        <f>POPS!$C$31</f>
        <v>35.099</v>
      </c>
      <c r="D37" s="91">
        <f>POPS!E31</f>
        <v>1592</v>
      </c>
      <c r="E37" s="31">
        <f>F37/C37</f>
        <v>0.857403344824639</v>
      </c>
      <c r="F37" s="38">
        <f>F38+F39+F41+3.6</f>
        <v>30.094</v>
      </c>
      <c r="G37" s="92">
        <f>G38+G39+G41</f>
        <v>4072.081764389457</v>
      </c>
      <c r="H37" s="92">
        <f>D37*AG37</f>
        <v>-74.71313905560764</v>
      </c>
      <c r="L37" s="27">
        <v>1.1808</v>
      </c>
      <c r="M37" s="106">
        <f>1.1215/L37-1</f>
        <v>-0.05022018970189712</v>
      </c>
      <c r="Q37" s="27">
        <v>1.2663</v>
      </c>
      <c r="R37" s="106">
        <f>1.1808/Q37-1</f>
        <v>-0.06751954513148539</v>
      </c>
      <c r="V37" s="27">
        <v>1.2541</v>
      </c>
      <c r="W37" s="106">
        <f>1.2663/V37-1</f>
        <v>0.009728091858703491</v>
      </c>
      <c r="AA37" s="27">
        <v>1.318</v>
      </c>
      <c r="AB37" s="106">
        <f>1.2541/AA37-1</f>
        <v>-0.04848254931714724</v>
      </c>
      <c r="AF37" s="27">
        <v>1.3829</v>
      </c>
      <c r="AG37" s="106">
        <f>1.318/AF37-1</f>
        <v>-0.04693036372839676</v>
      </c>
      <c r="AK37" s="27">
        <v>1.3013</v>
      </c>
      <c r="AL37" s="106">
        <f>1.3829/AK37-1</f>
        <v>0.0627065242449858</v>
      </c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</row>
    <row r="38" spans="1:113" s="27" customFormat="1" ht="12.75">
      <c r="A38" s="26" t="s">
        <v>129</v>
      </c>
      <c r="B38" s="27" t="s">
        <v>130</v>
      </c>
      <c r="C38" s="28"/>
      <c r="D38" s="91"/>
      <c r="E38" s="31"/>
      <c r="F38" s="38">
        <f>AH38</f>
        <v>8.235</v>
      </c>
      <c r="G38" s="92">
        <f>AI38</f>
        <v>1301.0066856220703</v>
      </c>
      <c r="H38" s="93">
        <f>AK38</f>
        <v>48.42849458234074</v>
      </c>
      <c r="I38" s="30">
        <v>7.97</v>
      </c>
      <c r="J38" s="92">
        <f>1649/L37</f>
        <v>1396.510840108401</v>
      </c>
      <c r="K38" s="107">
        <v>0.5</v>
      </c>
      <c r="L38" s="93">
        <f>61.12/L37</f>
        <v>51.761517615176146</v>
      </c>
      <c r="M38" s="106"/>
      <c r="N38" s="30">
        <v>8.102</v>
      </c>
      <c r="O38" s="92">
        <f>1637/Q37</f>
        <v>1292.7426360262182</v>
      </c>
      <c r="Q38" s="93">
        <f>60.83/Q37</f>
        <v>48.0375898286346</v>
      </c>
      <c r="S38" s="30">
        <v>8.124</v>
      </c>
      <c r="T38" s="27">
        <f>(1697+149)/V37</f>
        <v>1471.971932062834</v>
      </c>
      <c r="V38" s="93">
        <f>62.48/V37</f>
        <v>49.82058846981899</v>
      </c>
      <c r="X38" s="30">
        <v>8.183</v>
      </c>
      <c r="Y38" s="92">
        <f>1772/AA37</f>
        <v>1344.4613050075873</v>
      </c>
      <c r="AA38" s="93">
        <f>65.34/AA37</f>
        <v>49.57511380880121</v>
      </c>
      <c r="AC38" s="30">
        <v>8.245831</v>
      </c>
      <c r="AD38" s="27">
        <f>(1588+171)/AF37</f>
        <v>1271.964711837443</v>
      </c>
      <c r="AF38" s="93">
        <f>63.67/AF37</f>
        <v>46.04092848362138</v>
      </c>
      <c r="AG38" s="106"/>
      <c r="AH38" s="30">
        <v>8.235</v>
      </c>
      <c r="AI38" s="27">
        <f>1693/AK37</f>
        <v>1301.0066856220703</v>
      </c>
      <c r="AK38" s="93">
        <f>63.02/AK37</f>
        <v>48.42849458234074</v>
      </c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</row>
    <row r="39" spans="1:113" s="27" customFormat="1" ht="12.75">
      <c r="A39" s="26" t="s">
        <v>131</v>
      </c>
      <c r="B39" s="27" t="s">
        <v>132</v>
      </c>
      <c r="C39" s="28"/>
      <c r="D39" s="91"/>
      <c r="E39" s="31"/>
      <c r="F39" s="38">
        <f>AH39</f>
        <v>9.872</v>
      </c>
      <c r="G39" s="92">
        <f>AI39</f>
        <v>1452.393760086068</v>
      </c>
      <c r="H39" s="93">
        <f>AK39</f>
        <v>44.985783447321914</v>
      </c>
      <c r="I39" s="30">
        <f>8.073+1.377</f>
        <v>9.450000000000001</v>
      </c>
      <c r="J39" s="92">
        <f>1898/L37</f>
        <v>1607.3848238482383</v>
      </c>
      <c r="L39" s="93">
        <f>59.86/L37</f>
        <v>50.69444444444444</v>
      </c>
      <c r="M39" s="106">
        <f>(8.073*0.0146+1.377*0.0309)/(8.073+1.377)</f>
        <v>0.016975142857142855</v>
      </c>
      <c r="N39" s="30">
        <f>8.139+1.34</f>
        <v>9.479</v>
      </c>
      <c r="O39" s="92">
        <f>1794/Q37</f>
        <v>1416.7258943378347</v>
      </c>
      <c r="Q39" s="93">
        <f>58.75/Q37</f>
        <v>46.39500908157625</v>
      </c>
      <c r="R39" s="106">
        <f>(8.139*0.0124+1.34*0.0399)/(8.139+1.34)</f>
        <v>0.01628754087983965</v>
      </c>
      <c r="S39" s="30">
        <f>8.163+1.348</f>
        <v>9.511000000000001</v>
      </c>
      <c r="T39" s="92">
        <f>1903/V37</f>
        <v>1517.422853042022</v>
      </c>
      <c r="V39" s="93">
        <f>60.01/V37</f>
        <v>47.851048560720834</v>
      </c>
      <c r="W39" s="106">
        <f>(8.163*0.0119+1.348*0.0363)/(8.163+1.348)</f>
        <v>0.015358227315739669</v>
      </c>
      <c r="X39" s="30">
        <f>8.24+1.579</f>
        <v>9.819</v>
      </c>
      <c r="Y39" s="27">
        <f>1973/AA37</f>
        <v>1496.9650986342942</v>
      </c>
      <c r="AA39" s="93">
        <f>61.02/AA37</f>
        <v>46.29742033383915</v>
      </c>
      <c r="AB39" s="106">
        <f>(8.24*0.0131+1.579*0.0308)/9.819</f>
        <v>0.015946348915368166</v>
      </c>
      <c r="AC39" s="30">
        <f>8.271+1.607</f>
        <v>9.878</v>
      </c>
      <c r="AD39" s="92">
        <f>1981/AF37</f>
        <v>1432.4969267481379</v>
      </c>
      <c r="AG39" s="106">
        <f>(8.2*0.0135+1.6*0.0317)/9.8</f>
        <v>0.01647142857142857</v>
      </c>
      <c r="AH39" s="30">
        <f>8.285+1.587</f>
        <v>9.872</v>
      </c>
      <c r="AI39" s="92">
        <f>1890/AK37</f>
        <v>1452.393760086068</v>
      </c>
      <c r="AK39" s="93">
        <f>58.54/AK37</f>
        <v>44.985783447321914</v>
      </c>
      <c r="AL39" s="106">
        <v>0.0365</v>
      </c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</row>
    <row r="40" spans="1:113" s="27" customFormat="1" ht="12.75">
      <c r="A40" s="26" t="s">
        <v>133</v>
      </c>
      <c r="C40" s="28"/>
      <c r="D40" s="91"/>
      <c r="E40" s="31"/>
      <c r="F40" s="38">
        <f>AH40</f>
        <v>2.064</v>
      </c>
      <c r="G40" s="92">
        <f>AI40</f>
        <v>657.8037347268117</v>
      </c>
      <c r="H40" s="93"/>
      <c r="I40" s="30">
        <v>2.011</v>
      </c>
      <c r="J40" s="92">
        <f>871/L37</f>
        <v>737.6355013550135</v>
      </c>
      <c r="K40" s="27" t="s">
        <v>134</v>
      </c>
      <c r="M40" s="106"/>
      <c r="N40" s="30">
        <v>2.004</v>
      </c>
      <c r="O40" s="92">
        <f>870/Q37</f>
        <v>687.0409855484482</v>
      </c>
      <c r="P40" s="27" t="s">
        <v>135</v>
      </c>
      <c r="S40" s="30">
        <v>2.008</v>
      </c>
      <c r="T40" s="92">
        <f>869/V37</f>
        <v>692.9271987879755</v>
      </c>
      <c r="U40" s="27" t="s">
        <v>136</v>
      </c>
      <c r="X40" s="30">
        <v>2.032</v>
      </c>
      <c r="Y40" s="92">
        <f>871/AA37</f>
        <v>660.8497723823975</v>
      </c>
      <c r="Z40" s="27" t="s">
        <v>137</v>
      </c>
      <c r="AC40" s="30">
        <v>2.048</v>
      </c>
      <c r="AD40" s="92">
        <f>855/AF37</f>
        <v>618.2659628317305</v>
      </c>
      <c r="AE40" s="27" t="s">
        <v>138</v>
      </c>
      <c r="AG40" s="106"/>
      <c r="AH40" s="30">
        <v>2.064</v>
      </c>
      <c r="AI40" s="92">
        <f>856/AK37</f>
        <v>657.8037347268117</v>
      </c>
      <c r="AJ40" s="27" t="s">
        <v>139</v>
      </c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</row>
    <row r="41" spans="1:113" s="27" customFormat="1" ht="12.75">
      <c r="A41" s="26" t="s">
        <v>140</v>
      </c>
      <c r="B41" s="27" t="s">
        <v>141</v>
      </c>
      <c r="C41" s="28"/>
      <c r="D41" s="91"/>
      <c r="E41" s="31"/>
      <c r="F41" s="38">
        <f>AH41</f>
        <v>8.387</v>
      </c>
      <c r="G41" s="92">
        <f>AI41</f>
        <v>1318.6813186813188</v>
      </c>
      <c r="H41" s="93">
        <f>AK41</f>
        <v>48.47460232075617</v>
      </c>
      <c r="I41" s="27">
        <v>8.1</v>
      </c>
      <c r="J41" s="92">
        <f>1440/L37</f>
        <v>1219.5121951219512</v>
      </c>
      <c r="L41" s="93">
        <f>64.2/L37</f>
        <v>54.36991869918699</v>
      </c>
      <c r="M41" s="106">
        <v>0.013300000000000001</v>
      </c>
      <c r="N41" s="30">
        <v>8.289</v>
      </c>
      <c r="O41" s="92">
        <f>1686/Q37</f>
        <v>1331.4380478559583</v>
      </c>
      <c r="Q41" s="27">
        <f>62.34/Q37</f>
        <v>49.230040274816396</v>
      </c>
      <c r="R41" s="106">
        <v>0.0128</v>
      </c>
      <c r="S41" s="30">
        <v>8.352</v>
      </c>
      <c r="T41" s="92">
        <f>1736/V37</f>
        <v>1384.2596284187864</v>
      </c>
      <c r="U41" s="107">
        <v>0.55</v>
      </c>
      <c r="V41" s="93">
        <f>63.48/V37</f>
        <v>50.61797304840124</v>
      </c>
      <c r="W41" s="106">
        <v>0.011699999999999999</v>
      </c>
      <c r="X41" s="30">
        <v>8.421</v>
      </c>
      <c r="Y41" s="92">
        <f>1783/AA37</f>
        <v>1352.8072837632776</v>
      </c>
      <c r="Z41" s="107">
        <v>0.55</v>
      </c>
      <c r="AA41" s="93">
        <f>64.22/AA37</f>
        <v>48.72534142640364</v>
      </c>
      <c r="AB41" s="106">
        <v>0.0128</v>
      </c>
      <c r="AC41" s="30">
        <v>8.457</v>
      </c>
      <c r="AD41" s="92">
        <f>1789/AF37</f>
        <v>1293.6582543929424</v>
      </c>
      <c r="AE41" s="107">
        <v>0.56</v>
      </c>
      <c r="AF41" s="93">
        <f>63.74/AF37</f>
        <v>46.09154674958421</v>
      </c>
      <c r="AG41" s="106">
        <v>0.0126</v>
      </c>
      <c r="AH41" s="30">
        <v>8.387</v>
      </c>
      <c r="AI41" s="27">
        <f>1716/AK37</f>
        <v>1318.6813186813188</v>
      </c>
      <c r="AJ41" s="107">
        <v>0.56</v>
      </c>
      <c r="AK41" s="93">
        <f>63.08/AK37</f>
        <v>48.47460232075617</v>
      </c>
      <c r="AL41" s="106">
        <v>0.0126</v>
      </c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</row>
    <row r="42" spans="1:113" s="78" customFormat="1" ht="12.75">
      <c r="A42" s="77" t="s">
        <v>142</v>
      </c>
      <c r="B42" s="94" t="s">
        <v>143</v>
      </c>
      <c r="C42" s="79">
        <f>POPS!$C$34</f>
        <v>17.508</v>
      </c>
      <c r="D42" s="80">
        <f>POPS!E34</f>
        <v>409.3</v>
      </c>
      <c r="E42" s="81">
        <f>F42/C42</f>
        <v>1.4927233264793238</v>
      </c>
      <c r="F42" s="82">
        <f>SUM(F43:F45)</f>
        <v>26.1346</v>
      </c>
      <c r="G42" s="82"/>
      <c r="H42" s="83">
        <f>D42*AG42</f>
        <v>-9.215177342994776</v>
      </c>
      <c r="L42" s="78">
        <v>613.995</v>
      </c>
      <c r="M42" s="84">
        <f>598.15/L42-1</f>
        <v>-0.025806399074911113</v>
      </c>
      <c r="Q42" s="78">
        <v>624.295</v>
      </c>
      <c r="R42" s="84">
        <f>613.995/Q42-1</f>
        <v>-0.01649861043256784</v>
      </c>
      <c r="S42" s="83">
        <v>23.324</v>
      </c>
      <c r="V42" s="78">
        <v>639.995</v>
      </c>
      <c r="W42" s="84">
        <f>624.3/V42-1</f>
        <v>-0.024523629090852372</v>
      </c>
      <c r="X42" s="83">
        <f>17.438+7.129</f>
        <v>24.567</v>
      </c>
      <c r="Y42" s="78">
        <f>7200*0.53</f>
        <v>3816</v>
      </c>
      <c r="AA42" s="78">
        <v>692.695</v>
      </c>
      <c r="AB42" s="84">
        <f>640/AA42-1</f>
        <v>-0.0760724416951184</v>
      </c>
      <c r="AF42" s="78">
        <v>708.655</v>
      </c>
      <c r="AG42" s="84">
        <f>692.7/AF42-1</f>
        <v>-0.022514481658917118</v>
      </c>
      <c r="AK42" s="78">
        <v>669.005</v>
      </c>
      <c r="AL42" s="84">
        <f>708.66/AK42-1</f>
        <v>0.05927459436028126</v>
      </c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</row>
    <row r="43" spans="1:113" s="78" customFormat="1" ht="12.75">
      <c r="A43" s="77" t="s">
        <v>144</v>
      </c>
      <c r="B43" s="78" t="s">
        <v>84</v>
      </c>
      <c r="C43" s="79"/>
      <c r="D43" s="80"/>
      <c r="E43" s="81"/>
      <c r="F43" s="82">
        <f>AC43</f>
        <v>9.9156</v>
      </c>
      <c r="G43" s="85">
        <f>AD43</f>
        <v>327.70821992378876</v>
      </c>
      <c r="H43" s="86">
        <f>AF43</f>
        <v>9.580838323353293</v>
      </c>
      <c r="I43" s="83">
        <v>10.66</v>
      </c>
      <c r="J43" s="85">
        <f>326/L203</f>
        <v>389.25373134328356</v>
      </c>
      <c r="K43" s="87">
        <f>2.7/9</f>
        <v>0.30000000000000004</v>
      </c>
      <c r="L43" s="86">
        <f>9/L203</f>
        <v>10.746268656716417</v>
      </c>
      <c r="M43" s="84">
        <v>0.033</v>
      </c>
      <c r="N43" s="83">
        <v>10.619</v>
      </c>
      <c r="O43" s="85">
        <f>339/Q203</f>
        <v>365.2230122818358</v>
      </c>
      <c r="P43" s="87">
        <f>3.1/9.4</f>
        <v>0.32978723404255317</v>
      </c>
      <c r="Q43" s="86">
        <f>9.4/Q203</f>
        <v>10.127127774186597</v>
      </c>
      <c r="R43" s="84">
        <f>0.032</f>
        <v>0.032</v>
      </c>
      <c r="S43" s="83">
        <v>10.3451</v>
      </c>
      <c r="T43" s="85">
        <f>347/Q203</f>
        <v>373.84184443007973</v>
      </c>
      <c r="U43" s="87">
        <f>3.3/9.5</f>
        <v>0.34736842105263155</v>
      </c>
      <c r="V43" s="86">
        <f>9.5/Q203</f>
        <v>10.234863176039646</v>
      </c>
      <c r="W43" s="84">
        <f>0.037</f>
        <v>0.037</v>
      </c>
      <c r="X43" s="83">
        <v>10.129</v>
      </c>
      <c r="Y43" s="85">
        <f>305/AA203</f>
        <v>343.58454432803876</v>
      </c>
      <c r="Z43" s="87">
        <f>3.3/9.4</f>
        <v>0.351063829787234</v>
      </c>
      <c r="AA43" s="86">
        <f>9.4/AA203</f>
        <v>10.589163005519882</v>
      </c>
      <c r="AB43" s="84">
        <v>0.034</v>
      </c>
      <c r="AC43" s="83">
        <v>9.9156</v>
      </c>
      <c r="AD43" s="85">
        <f>301/AF203</f>
        <v>327.70821992378876</v>
      </c>
      <c r="AE43" s="87">
        <f>3.5/8.8</f>
        <v>0.3977272727272727</v>
      </c>
      <c r="AF43" s="86">
        <f>8.8/AF203</f>
        <v>9.580838323353293</v>
      </c>
      <c r="AG43" s="84">
        <v>0.034</v>
      </c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</row>
    <row r="44" spans="1:113" s="78" customFormat="1" ht="12.75">
      <c r="A44" s="77" t="s">
        <v>145</v>
      </c>
      <c r="B44" s="78" t="s">
        <v>146</v>
      </c>
      <c r="C44" s="79"/>
      <c r="D44" s="80"/>
      <c r="E44" s="81"/>
      <c r="F44" s="82">
        <f>X44</f>
        <v>9.754</v>
      </c>
      <c r="G44" s="85">
        <f>Y44</f>
        <v>402.4118358969917</v>
      </c>
      <c r="H44" s="86">
        <f>V44</f>
        <v>13.593856202001579</v>
      </c>
      <c r="I44" s="83">
        <v>10.102</v>
      </c>
      <c r="J44" s="85">
        <f>389443*0.94/L42</f>
        <v>596.2205229684281</v>
      </c>
      <c r="L44" s="86">
        <v>8.7</v>
      </c>
      <c r="M44" s="84">
        <f>0.0315</f>
        <v>0.0315</v>
      </c>
      <c r="S44" s="83">
        <v>8.18</v>
      </c>
      <c r="T44" s="85">
        <f>289215/V42</f>
        <v>451.9019679841249</v>
      </c>
      <c r="U44" s="87">
        <v>0.71</v>
      </c>
      <c r="V44" s="86">
        <f>8700/V42</f>
        <v>13.593856202001579</v>
      </c>
      <c r="W44" s="84">
        <v>0.0277</v>
      </c>
      <c r="X44" s="83">
        <v>9.754</v>
      </c>
      <c r="Y44" s="85">
        <f>1319000*0.634/(3*AA42)</f>
        <v>402.4118358969917</v>
      </c>
      <c r="AG44" s="84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</row>
    <row r="45" spans="1:113" s="78" customFormat="1" ht="12.75">
      <c r="A45" s="77" t="s">
        <v>147</v>
      </c>
      <c r="C45" s="79"/>
      <c r="D45" s="80"/>
      <c r="E45" s="81"/>
      <c r="F45" s="82">
        <f>AH45</f>
        <v>6.465</v>
      </c>
      <c r="G45" s="85">
        <f>AI45</f>
        <v>176.7071994977616</v>
      </c>
      <c r="H45" s="86">
        <f>AK45</f>
        <v>8.168847766459145</v>
      </c>
      <c r="I45" s="83">
        <v>5.754</v>
      </c>
      <c r="J45" s="85">
        <f>134302/L42</f>
        <v>218.73468024983916</v>
      </c>
      <c r="L45" s="86">
        <f>5861/L42</f>
        <v>9.545680339416444</v>
      </c>
      <c r="M45" s="84">
        <f>0.064/3</f>
        <v>0.021333333333333333</v>
      </c>
      <c r="N45" s="83">
        <v>5.854</v>
      </c>
      <c r="O45" s="85">
        <f>116914/Q42</f>
        <v>187.27364467118912</v>
      </c>
      <c r="Q45" s="86">
        <f>5710/Q42</f>
        <v>9.146317045627468</v>
      </c>
      <c r="R45" s="84">
        <f>0.055/3</f>
        <v>0.018333333333333333</v>
      </c>
      <c r="S45" s="83">
        <v>6.005</v>
      </c>
      <c r="T45" s="85">
        <f>131056/V42</f>
        <v>204.77659981718608</v>
      </c>
      <c r="V45" s="86">
        <f>5626/V42</f>
        <v>8.790693677294353</v>
      </c>
      <c r="W45" s="84">
        <f>0.054/3</f>
        <v>0.018000000000000002</v>
      </c>
      <c r="X45" s="83">
        <v>6.152</v>
      </c>
      <c r="Y45" s="85">
        <f>122797/AA42</f>
        <v>177.2742693393196</v>
      </c>
      <c r="AA45" s="86">
        <f>5617/AA42</f>
        <v>8.108907960935188</v>
      </c>
      <c r="AB45" s="84">
        <f>0.053/3</f>
        <v>0.017666666666666667</v>
      </c>
      <c r="AC45" s="83">
        <v>6.366</v>
      </c>
      <c r="AD45" s="85">
        <f>(198543-68736)/AF42</f>
        <v>183.1737587401486</v>
      </c>
      <c r="AF45" s="86">
        <f>5691/AF42</f>
        <v>8.030706055838172</v>
      </c>
      <c r="AG45" s="84">
        <f>0.056/3</f>
        <v>0.018666666666666668</v>
      </c>
      <c r="AH45" s="83">
        <v>6.465</v>
      </c>
      <c r="AI45" s="85">
        <f>118218/AK42</f>
        <v>176.7071994977616</v>
      </c>
      <c r="AK45" s="86">
        <f>5465/AK42</f>
        <v>8.168847766459145</v>
      </c>
      <c r="AL45" s="84">
        <v>0.052000000000000005</v>
      </c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</row>
    <row r="46" spans="1:113" s="27" customFormat="1" ht="12.75">
      <c r="A46" s="26" t="s">
        <v>148</v>
      </c>
      <c r="B46" s="108" t="s">
        <v>149</v>
      </c>
      <c r="C46" s="28">
        <f>POPS!$C$35</f>
        <v>7.141</v>
      </c>
      <c r="D46" s="91">
        <f>POPS!E35</f>
        <v>397.5</v>
      </c>
      <c r="E46" s="31">
        <f>F46/C46</f>
        <v>2.3164822853942026</v>
      </c>
      <c r="F46" s="38">
        <f>AC46</f>
        <v>16.542</v>
      </c>
      <c r="G46" s="38"/>
      <c r="H46" s="30">
        <f>D46*AG46</f>
        <v>-0.010257799798757405</v>
      </c>
      <c r="I46" s="30">
        <v>17.371</v>
      </c>
      <c r="L46" s="27">
        <v>7.7561</v>
      </c>
      <c r="M46" s="106">
        <f>7.7664/L46-1</f>
        <v>0.0013279870037776753</v>
      </c>
      <c r="Q46" s="27">
        <v>7.7546</v>
      </c>
      <c r="R46" s="106">
        <f>7.7561/Q46-1</f>
        <v>0.00019343357491030666</v>
      </c>
      <c r="V46" s="27">
        <v>7.7522</v>
      </c>
      <c r="W46" s="106">
        <f>7.7546/V46-1</f>
        <v>0.00030958953587356675</v>
      </c>
      <c r="X46" s="30">
        <v>16.63</v>
      </c>
      <c r="AA46" s="27">
        <v>7.75</v>
      </c>
      <c r="AB46" s="106">
        <f>7.7522/AA46-1</f>
        <v>0.0002838709677419615</v>
      </c>
      <c r="AC46" s="30">
        <v>16.542</v>
      </c>
      <c r="AF46" s="27">
        <v>7.7502</v>
      </c>
      <c r="AG46" s="106">
        <f>7.75/AF46-1</f>
        <v>-2.5805785657251334E-05</v>
      </c>
      <c r="AK46" s="27">
        <v>7.7543</v>
      </c>
      <c r="AL46" s="106">
        <f>7.7502/AK46-1</f>
        <v>-0.0005287388932591064</v>
      </c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</row>
    <row r="47" spans="1:113" s="27" customFormat="1" ht="12.75">
      <c r="A47" s="26" t="s">
        <v>150</v>
      </c>
      <c r="B47" s="108" t="s">
        <v>151</v>
      </c>
      <c r="C47" s="28"/>
      <c r="D47" s="91"/>
      <c r="E47" s="31"/>
      <c r="F47" s="38">
        <f>S47</f>
        <v>2.9</v>
      </c>
      <c r="G47" s="92">
        <f>T47</f>
        <v>710.7659761100075</v>
      </c>
      <c r="H47" s="93"/>
      <c r="I47" s="30">
        <v>3.197</v>
      </c>
      <c r="J47" s="92">
        <f>16296/(4*L46)</f>
        <v>525.2639857660422</v>
      </c>
      <c r="M47" s="106"/>
      <c r="S47" s="27">
        <v>2.9</v>
      </c>
      <c r="T47" s="92">
        <f>11020/(2*V46)</f>
        <v>710.7659761100075</v>
      </c>
      <c r="AG47" s="106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</row>
    <row r="48" spans="1:113" s="27" customFormat="1" ht="12.75">
      <c r="A48" s="26" t="s">
        <v>152</v>
      </c>
      <c r="B48" s="104" t="s">
        <v>153</v>
      </c>
      <c r="C48" s="28"/>
      <c r="D48" s="91"/>
      <c r="E48" s="31"/>
      <c r="F48" s="38">
        <f>S48</f>
        <v>1.96</v>
      </c>
      <c r="G48" s="92">
        <f>T48</f>
        <v>576.1712804107221</v>
      </c>
      <c r="H48" s="93">
        <f>V48</f>
        <v>37.924718144526715</v>
      </c>
      <c r="I48" s="30">
        <f>1.04*1.88</f>
        <v>1.9552</v>
      </c>
      <c r="J48" s="92">
        <f>8673/(2*L46)</f>
        <v>559.108314745813</v>
      </c>
      <c r="L48" s="93">
        <f>293/L46</f>
        <v>37.77671768027746</v>
      </c>
      <c r="M48" s="106"/>
      <c r="S48" s="30">
        <v>1.96</v>
      </c>
      <c r="T48" s="92">
        <f>8673*1.03/(2*V46)</f>
        <v>576.1712804107221</v>
      </c>
      <c r="V48" s="93">
        <f>294/V46</f>
        <v>37.924718144526715</v>
      </c>
      <c r="AG48" s="106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</row>
    <row r="49" spans="1:113" s="27" customFormat="1" ht="12.75">
      <c r="A49" s="26" t="s">
        <v>154</v>
      </c>
      <c r="B49" s="104" t="s">
        <v>155</v>
      </c>
      <c r="C49" s="28"/>
      <c r="D49" s="91"/>
      <c r="E49" s="31"/>
      <c r="F49" s="38">
        <f>S49</f>
        <v>4.6530000000000005</v>
      </c>
      <c r="G49" s="92">
        <f>T49</f>
        <v>387.5</v>
      </c>
      <c r="H49" s="92"/>
      <c r="I49" s="30">
        <f>3.178+1.407</f>
        <v>4.585</v>
      </c>
      <c r="J49" s="92">
        <f>6048/(2*L46)</f>
        <v>389.8866698469592</v>
      </c>
      <c r="M49" s="106"/>
      <c r="S49" s="30">
        <v>4.6530000000000005</v>
      </c>
      <c r="T49" s="92">
        <f>775/2</f>
        <v>387.5</v>
      </c>
      <c r="U49" s="107">
        <v>0.69</v>
      </c>
      <c r="AG49" s="106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</row>
    <row r="50" spans="1:113" s="27" customFormat="1" ht="12.75">
      <c r="A50" s="26" t="s">
        <v>156</v>
      </c>
      <c r="B50" s="109" t="s">
        <v>157</v>
      </c>
      <c r="C50" s="28"/>
      <c r="D50" s="91"/>
      <c r="E50" s="31"/>
      <c r="F50" s="38"/>
      <c r="G50" s="92"/>
      <c r="H50" s="92"/>
      <c r="M50" s="106"/>
      <c r="AG50" s="106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</row>
    <row r="51" spans="1:113" s="78" customFormat="1" ht="12.75">
      <c r="A51" s="77" t="s">
        <v>18</v>
      </c>
      <c r="B51" s="94" t="s">
        <v>158</v>
      </c>
      <c r="C51" s="79">
        <f>POPS!$C$36</f>
        <v>1367.485</v>
      </c>
      <c r="D51" s="80">
        <f>POPS!E36</f>
        <v>17620</v>
      </c>
      <c r="E51" s="81">
        <f>F51/C51</f>
        <v>0.9473017985572053</v>
      </c>
      <c r="F51" s="82">
        <f>SUM(F52:F54)</f>
        <v>1295.4209999999998</v>
      </c>
      <c r="G51" s="85">
        <f>SUM(G52:G54)</f>
        <v>35847.78316003826</v>
      </c>
      <c r="H51" s="85">
        <f>D51*AG51</f>
        <v>-614.2503273511527</v>
      </c>
      <c r="L51" s="78">
        <v>6.2392</v>
      </c>
      <c r="M51" s="84">
        <f>6.1383/L51-1</f>
        <v>-0.016171945121169373</v>
      </c>
      <c r="Q51" s="78">
        <v>6.1964</v>
      </c>
      <c r="R51" s="84">
        <f>6.2392/Q51-1</f>
        <v>0.006907236459880117</v>
      </c>
      <c r="V51" s="78">
        <v>6.2019</v>
      </c>
      <c r="W51" s="84">
        <f>6.1964/V51-1</f>
        <v>-0.0008868250052403992</v>
      </c>
      <c r="AA51" s="78">
        <v>6.3652</v>
      </c>
      <c r="AB51" s="84">
        <f>6.2019/AA51-1</f>
        <v>-0.025655124740777913</v>
      </c>
      <c r="AC51" s="78">
        <f>SUM(AC52:AC54)</f>
        <v>1310.798</v>
      </c>
      <c r="AF51" s="78">
        <v>6.4915</v>
      </c>
      <c r="AG51" s="84">
        <f>6.2652/AF51-1</f>
        <v>-0.03486097204036054</v>
      </c>
      <c r="AK51" s="78">
        <v>6.4822</v>
      </c>
      <c r="AL51" s="84">
        <f>6.4915/AK51-1</f>
        <v>0.0014346980963253486</v>
      </c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</row>
    <row r="52" spans="1:113" s="78" customFormat="1" ht="12.75">
      <c r="A52" s="77" t="s">
        <v>159</v>
      </c>
      <c r="B52" s="88" t="s">
        <v>160</v>
      </c>
      <c r="C52" s="79"/>
      <c r="D52" s="80"/>
      <c r="E52" s="81"/>
      <c r="F52" s="82">
        <f>AH52</f>
        <v>833.852</v>
      </c>
      <c r="G52" s="85">
        <f>AI52</f>
        <v>27382.678720187592</v>
      </c>
      <c r="H52" s="86">
        <f>AK52</f>
        <v>8.885872080466509</v>
      </c>
      <c r="I52" s="83">
        <v>806.634</v>
      </c>
      <c r="J52" s="78">
        <f>641448/(4*L51)</f>
        <v>25702.333632516988</v>
      </c>
      <c r="K52" s="87">
        <v>0.259</v>
      </c>
      <c r="L52" s="86">
        <f>61/L51</f>
        <v>9.776894473650467</v>
      </c>
      <c r="M52" s="84">
        <f>0.0313/3</f>
        <v>0.010433333333333334</v>
      </c>
      <c r="N52" s="83">
        <v>815.384</v>
      </c>
      <c r="O52" s="78">
        <f>160857/Q51</f>
        <v>25959.75082305855</v>
      </c>
      <c r="Q52" s="86">
        <f>57/Q51</f>
        <v>9.198889677877478</v>
      </c>
      <c r="S52" s="83">
        <v>817.196</v>
      </c>
      <c r="T52" s="78">
        <f>179870/V51</f>
        <v>29002.40248955965</v>
      </c>
      <c r="X52" s="83">
        <v>822.906</v>
      </c>
      <c r="Y52" s="78">
        <f>172012/AA51</f>
        <v>27023.817004964494</v>
      </c>
      <c r="AC52" s="83">
        <v>826.241</v>
      </c>
      <c r="AD52" s="78">
        <f>(145607)/AF51</f>
        <v>22430.40899637988</v>
      </c>
      <c r="AE52" s="87">
        <v>0.52</v>
      </c>
      <c r="AG52" s="84"/>
      <c r="AH52" s="83">
        <v>833.852</v>
      </c>
      <c r="AI52" s="78">
        <f>177500/AK51</f>
        <v>27382.678720187592</v>
      </c>
      <c r="AK52" s="86">
        <f>57.6/AK51</f>
        <v>8.885872080466509</v>
      </c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</row>
    <row r="53" spans="1:113" s="78" customFormat="1" ht="12.75">
      <c r="A53" s="77" t="s">
        <v>161</v>
      </c>
      <c r="B53" s="88" t="s">
        <v>162</v>
      </c>
      <c r="C53" s="79"/>
      <c r="D53" s="80"/>
      <c r="E53" s="81"/>
      <c r="F53" s="82">
        <f>AH53</f>
        <v>258.929</v>
      </c>
      <c r="G53" s="85">
        <f>AI53</f>
        <v>6313.057295362686</v>
      </c>
      <c r="H53" s="86">
        <f>AA53</f>
        <v>6.6478603457101295</v>
      </c>
      <c r="I53" s="78">
        <v>299.098</v>
      </c>
      <c r="J53" s="85">
        <f>(299.1*44.1*3)/L51</f>
        <v>6342.308308757534</v>
      </c>
      <c r="K53" s="87">
        <v>0.519</v>
      </c>
      <c r="L53" s="86">
        <f>44.1/L51</f>
        <v>7.068213873573535</v>
      </c>
      <c r="M53" s="84"/>
      <c r="N53" s="83">
        <v>294.751</v>
      </c>
      <c r="O53" s="85">
        <f>74752/(2*Q51)</f>
        <v>6031.889484216642</v>
      </c>
      <c r="P53" s="87">
        <f>0.519</f>
        <v>0.519</v>
      </c>
      <c r="Q53" s="86">
        <f>44.1/Q51</f>
        <v>7.117035698147312</v>
      </c>
      <c r="S53" s="83">
        <v>289.307</v>
      </c>
      <c r="T53" s="85">
        <f>38281/V51</f>
        <v>6172.463277382737</v>
      </c>
      <c r="V53" s="86">
        <f>42.1/V51</f>
        <v>6.788242312839614</v>
      </c>
      <c r="X53" s="83">
        <v>287.571</v>
      </c>
      <c r="Y53" s="85">
        <f>109517/(3*AA51)</f>
        <v>5735.195542428623</v>
      </c>
      <c r="AA53" s="86">
        <f>Y53/(3*X53)</f>
        <v>6.6478603457101295</v>
      </c>
      <c r="AC53" s="83">
        <v>286.657</v>
      </c>
      <c r="AG53" s="84"/>
      <c r="AH53" s="83">
        <v>258.929</v>
      </c>
      <c r="AI53" s="78">
        <f>(36173+9499/2)/AK51</f>
        <v>6313.057295362686</v>
      </c>
      <c r="AK53" s="86">
        <f>47/AK51</f>
        <v>7.250624787880658</v>
      </c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</row>
    <row r="54" spans="1:113" s="78" customFormat="1" ht="12.75">
      <c r="A54" s="77" t="s">
        <v>163</v>
      </c>
      <c r="B54" s="88" t="s">
        <v>164</v>
      </c>
      <c r="C54" s="79"/>
      <c r="D54" s="80"/>
      <c r="E54" s="81"/>
      <c r="F54" s="82">
        <f>AH54</f>
        <v>202.64</v>
      </c>
      <c r="G54" s="85">
        <f>AI54</f>
        <v>2152.0471444879827</v>
      </c>
      <c r="H54" s="86"/>
      <c r="I54" s="83">
        <v>185.62</v>
      </c>
      <c r="J54" s="78">
        <f>5692</f>
        <v>5692</v>
      </c>
      <c r="K54" s="87">
        <f>65583/151611</f>
        <v>0.4325741535904387</v>
      </c>
      <c r="M54" s="84"/>
      <c r="N54" s="83">
        <v>188.82</v>
      </c>
      <c r="O54" s="85">
        <f>0.474*81453/Q51</f>
        <v>6230.831127751599</v>
      </c>
      <c r="S54" s="83">
        <v>191.44</v>
      </c>
      <c r="T54" s="78">
        <f>39661/V51</f>
        <v>6394.975733243038</v>
      </c>
      <c r="X54" s="83">
        <v>193.16</v>
      </c>
      <c r="AC54" s="83">
        <v>197.9</v>
      </c>
      <c r="AG54" s="84"/>
      <c r="AH54" s="83">
        <v>202.64</v>
      </c>
      <c r="AI54" s="78">
        <f>(5119+8831)/AK51</f>
        <v>2152.0471444879827</v>
      </c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</row>
    <row r="55" spans="1:113" s="27" customFormat="1" ht="12.75">
      <c r="A55" s="26" t="s">
        <v>165</v>
      </c>
      <c r="C55" s="28">
        <f>POPS!$C$37</f>
        <v>23.415</v>
      </c>
      <c r="D55" s="91">
        <f>POPS!E37</f>
        <v>1075</v>
      </c>
      <c r="E55" s="31">
        <f>F55/C55</f>
        <v>1.111552423660047</v>
      </c>
      <c r="F55" s="38">
        <f>SUM(F56:F58)</f>
        <v>26.026999999999997</v>
      </c>
      <c r="G55" s="38"/>
      <c r="H55" s="30">
        <f>D55*AG55</f>
        <v>-17.26396478445647</v>
      </c>
      <c r="L55" s="27">
        <v>31.819</v>
      </c>
      <c r="M55" s="106">
        <f>30.486/L55-1</f>
        <v>-0.041893208460353826</v>
      </c>
      <c r="Q55" s="27">
        <v>31.271</v>
      </c>
      <c r="R55" s="106">
        <f>31.819/Q55-1</f>
        <v>0.01752422372165907</v>
      </c>
      <c r="V55" s="27">
        <v>30.9325</v>
      </c>
      <c r="W55" s="106">
        <f>31.271/V55-1</f>
        <v>0.010943182736603996</v>
      </c>
      <c r="AA55" s="27">
        <v>32.411</v>
      </c>
      <c r="AB55" s="106">
        <f>30.933/AA55-1</f>
        <v>-0.04560180185739415</v>
      </c>
      <c r="AF55" s="27">
        <v>32.94</v>
      </c>
      <c r="AG55" s="106">
        <f>32.411/AF55-1</f>
        <v>-0.016059502125075786</v>
      </c>
      <c r="AK55" s="27">
        <v>32.305</v>
      </c>
      <c r="AL55" s="106">
        <f>32.94/AK55-1</f>
        <v>0.019656399938090097</v>
      </c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</row>
    <row r="56" spans="1:113" s="27" customFormat="1" ht="12.75">
      <c r="A56" s="26" t="s">
        <v>166</v>
      </c>
      <c r="B56" s="104" t="s">
        <v>167</v>
      </c>
      <c r="C56" s="28"/>
      <c r="D56" s="91"/>
      <c r="E56" s="31"/>
      <c r="F56" s="38">
        <f>AC56</f>
        <v>7.453</v>
      </c>
      <c r="G56" s="92">
        <f>AD56</f>
        <v>665.7559198542806</v>
      </c>
      <c r="H56" s="93">
        <f>AF56</f>
        <v>22.434729811778993</v>
      </c>
      <c r="I56" s="30">
        <v>7.43</v>
      </c>
      <c r="J56" s="92">
        <f>13583/L55</f>
        <v>426.88330871491877</v>
      </c>
      <c r="L56" s="93">
        <f>730/L55</f>
        <v>22.94226719884346</v>
      </c>
      <c r="M56" s="106"/>
      <c r="N56" s="30">
        <v>7.396</v>
      </c>
      <c r="O56" s="92">
        <f>0.72*(10580+9465+9671)/Q55</f>
        <v>684.1968597102747</v>
      </c>
      <c r="S56" s="30">
        <v>7.246</v>
      </c>
      <c r="T56" s="92">
        <f>(20480-81)/V55</f>
        <v>659.4681968803038</v>
      </c>
      <c r="V56" s="93">
        <f>793/V55</f>
        <v>25.636466499636303</v>
      </c>
      <c r="W56" s="106">
        <v>0.021</v>
      </c>
      <c r="X56" s="30">
        <v>7.507</v>
      </c>
      <c r="Y56" s="92">
        <f>0.72*(8498+9298+9320)/AA55</f>
        <v>602.3732683348246</v>
      </c>
      <c r="AB56" s="106">
        <v>0.019</v>
      </c>
      <c r="AC56" s="30">
        <v>7.453</v>
      </c>
      <c r="AD56" s="92">
        <f>(7749+7255+6926)/AF55</f>
        <v>665.7559198542806</v>
      </c>
      <c r="AF56" s="93">
        <f>739/AF55</f>
        <v>22.434729811778993</v>
      </c>
      <c r="AG56" s="106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</row>
    <row r="57" spans="1:113" s="27" customFormat="1" ht="12.75">
      <c r="A57" s="26" t="s">
        <v>168</v>
      </c>
      <c r="B57" s="104" t="s">
        <v>169</v>
      </c>
      <c r="C57" s="28"/>
      <c r="D57" s="91"/>
      <c r="E57" s="31"/>
      <c r="F57" s="38">
        <f>AC57</f>
        <v>7.394</v>
      </c>
      <c r="G57" s="92">
        <f>AD57</f>
        <v>493.8381906496661</v>
      </c>
      <c r="H57" s="93">
        <f>AF57</f>
        <v>22.10078931390407</v>
      </c>
      <c r="I57" s="30">
        <v>7.389</v>
      </c>
      <c r="J57" s="92">
        <f>(6245-843+6083-814+6244-850)/L55</f>
        <v>504.8870171909865</v>
      </c>
      <c r="L57" s="93">
        <f>724/L55</f>
        <v>22.75370061912694</v>
      </c>
      <c r="M57" s="106"/>
      <c r="N57" s="30">
        <v>7.359</v>
      </c>
      <c r="O57" s="92">
        <f>(24784-6661)/Q55</f>
        <v>579.5465447219468</v>
      </c>
      <c r="X57" s="30">
        <v>7.447</v>
      </c>
      <c r="Y57" s="92">
        <f>(7885+7516+7883-1731-1432-1540)/AA55</f>
        <v>573.2930178025979</v>
      </c>
      <c r="AA57" s="93">
        <f>723/AA55</f>
        <v>22.30724136867113</v>
      </c>
      <c r="AB57" s="106">
        <v>0.023</v>
      </c>
      <c r="AC57" s="30">
        <v>7.394</v>
      </c>
      <c r="AD57" s="92">
        <f>(16267.03)/AF55</f>
        <v>493.8381906496661</v>
      </c>
      <c r="AF57" s="93">
        <f>728/AF55</f>
        <v>22.10078931390407</v>
      </c>
      <c r="AG57" s="106">
        <v>0.026000000000000002</v>
      </c>
      <c r="AI57" s="92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</row>
    <row r="58" spans="1:113" s="27" customFormat="1" ht="12.75">
      <c r="A58" s="26" t="s">
        <v>170</v>
      </c>
      <c r="B58" s="104" t="s">
        <v>171</v>
      </c>
      <c r="C58" s="28"/>
      <c r="D58" s="91"/>
      <c r="E58" s="31"/>
      <c r="F58" s="38">
        <f>AC58</f>
        <v>11.18</v>
      </c>
      <c r="G58" s="92">
        <f>AD58</f>
        <v>943.5336976320583</v>
      </c>
      <c r="H58" s="93">
        <f>AA58</f>
        <v>18.69735583598161</v>
      </c>
      <c r="I58" s="30">
        <v>11.126</v>
      </c>
      <c r="J58" s="92">
        <f>(9327+9699+9875.358)/L55</f>
        <v>908.3050378704548</v>
      </c>
      <c r="L58" s="93">
        <f>589/L55</f>
        <v>18.5109525755052</v>
      </c>
      <c r="M58" s="106">
        <v>0.013300000000000001</v>
      </c>
      <c r="N58" s="30">
        <v>11.213</v>
      </c>
      <c r="O58" s="92">
        <f>(9875+19070)/L55</f>
        <v>909.6766083157862</v>
      </c>
      <c r="R58" s="106">
        <v>0.0102</v>
      </c>
      <c r="S58" s="30">
        <v>11.15</v>
      </c>
      <c r="T58" s="92">
        <f>(56920*0.501)/V55</f>
        <v>921.9080255394811</v>
      </c>
      <c r="X58" s="30">
        <v>11.249</v>
      </c>
      <c r="Y58" s="92">
        <f>(8997.708+9264.055+9024.051)/AA55</f>
        <v>841.8689333868131</v>
      </c>
      <c r="AA58" s="93">
        <f>606/AA55</f>
        <v>18.69735583598161</v>
      </c>
      <c r="AB58" s="106">
        <v>0.0131</v>
      </c>
      <c r="AC58" s="30">
        <v>11.18</v>
      </c>
      <c r="AD58" s="92">
        <f>31080/AF55</f>
        <v>943.5336976320583</v>
      </c>
      <c r="AG58" s="106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</row>
    <row r="59" spans="1:113" s="27" customFormat="1" ht="12.75">
      <c r="A59" s="26" t="s">
        <v>123</v>
      </c>
      <c r="B59" s="110" t="s">
        <v>172</v>
      </c>
      <c r="C59" s="28"/>
      <c r="D59" s="91"/>
      <c r="E59" s="31"/>
      <c r="F59" s="38"/>
      <c r="G59" s="38"/>
      <c r="H59" s="38"/>
      <c r="M59" s="106"/>
      <c r="AG59" s="106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</row>
    <row r="60" spans="1:113" s="78" customFormat="1" ht="12.75">
      <c r="A60" s="77" t="s">
        <v>173</v>
      </c>
      <c r="B60" s="78" t="s">
        <v>174</v>
      </c>
      <c r="C60" s="79">
        <f>POPS!$C$38</f>
        <v>45.736</v>
      </c>
      <c r="D60" s="111">
        <f>POPS!E38</f>
        <v>640.1</v>
      </c>
      <c r="E60" s="81">
        <f>F60/C60</f>
        <v>1.1017513556060872</v>
      </c>
      <c r="F60" s="82">
        <f>SUM(F61:F63)</f>
        <v>50.3897</v>
      </c>
      <c r="G60" s="82"/>
      <c r="H60" s="83">
        <f>D60*AG60</f>
        <v>-24.14149600413644</v>
      </c>
      <c r="L60" s="78">
        <v>2377.5</v>
      </c>
      <c r="M60" s="84">
        <f>2024.9/L60-1</f>
        <v>-0.14830704521556248</v>
      </c>
      <c r="Q60" s="78">
        <v>2599.95</v>
      </c>
      <c r="R60" s="84">
        <f>2377.5/Q60-1</f>
        <v>-0.08555933767957069</v>
      </c>
      <c r="V60" s="78">
        <v>2604.74</v>
      </c>
      <c r="W60" s="84">
        <f>2600/V60-1</f>
        <v>-0.0018197593617788055</v>
      </c>
      <c r="AA60" s="78">
        <v>3054.6001</v>
      </c>
      <c r="AB60" s="84">
        <f>2604.7/AA60-1</f>
        <v>-0.1472860882837005</v>
      </c>
      <c r="AF60" s="78">
        <v>3174.3201</v>
      </c>
      <c r="AG60" s="84">
        <f>3054.6/AF60-1</f>
        <v>-0.037715194507321415</v>
      </c>
      <c r="AK60" s="78">
        <v>3035.8701</v>
      </c>
      <c r="AL60" s="84">
        <f>3174/AK60-1</f>
        <v>0.045499278773488916</v>
      </c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</row>
    <row r="61" spans="1:113" s="78" customFormat="1" ht="12.75">
      <c r="A61" s="77" t="s">
        <v>175</v>
      </c>
      <c r="C61" s="79"/>
      <c r="D61" s="80"/>
      <c r="E61" s="81"/>
      <c r="F61" s="82">
        <f>AH61</f>
        <v>28.34</v>
      </c>
      <c r="G61" s="85">
        <f>AI61</f>
        <v>663.7306385408256</v>
      </c>
      <c r="H61" s="86">
        <f>AK61</f>
        <v>5.681402507966332</v>
      </c>
      <c r="I61" s="83">
        <v>29.776</v>
      </c>
      <c r="J61" s="85">
        <f>2433000/L60</f>
        <v>1023.3438485804417</v>
      </c>
      <c r="L61" s="86">
        <f>20119/L60</f>
        <v>8.462250262881177</v>
      </c>
      <c r="M61" s="84">
        <f>0.043/3</f>
        <v>0.014333333333333335</v>
      </c>
      <c r="N61" s="83">
        <v>29.834</v>
      </c>
      <c r="O61" s="85">
        <f>2228000/Q60</f>
        <v>856.9395565299334</v>
      </c>
      <c r="Q61" s="86">
        <f>19067/Q60</f>
        <v>7.333602569280179</v>
      </c>
      <c r="R61" s="84">
        <v>0.013000000000000001</v>
      </c>
      <c r="S61" s="83">
        <v>29.37</v>
      </c>
      <c r="T61" s="85">
        <f>2153000/V60</f>
        <v>826.5700223438809</v>
      </c>
      <c r="V61" s="86">
        <f>17682/V60</f>
        <v>6.788393467294241</v>
      </c>
      <c r="W61" s="84">
        <f>0.043/3</f>
        <v>0.014333333333333332</v>
      </c>
      <c r="X61" s="83">
        <v>28.931</v>
      </c>
      <c r="Y61" s="85">
        <f>2143000/AA60</f>
        <v>701.5648300410911</v>
      </c>
      <c r="AA61" s="86">
        <f>18087/AA60</f>
        <v>5.921233355554463</v>
      </c>
      <c r="AB61" s="84">
        <f>0.015</f>
        <v>0.015</v>
      </c>
      <c r="AC61" s="83">
        <v>28.973</v>
      </c>
      <c r="AD61" s="85">
        <f>(2872000-700000)/AF60</f>
        <v>684.2410127447449</v>
      </c>
      <c r="AF61" s="86">
        <f>17898/AF60</f>
        <v>5.638372765241917</v>
      </c>
      <c r="AG61" s="84">
        <f>0.044/3</f>
        <v>0.014666666666666666</v>
      </c>
      <c r="AH61" s="83">
        <v>28.34</v>
      </c>
      <c r="AI61" s="85">
        <f>2015000/AK60</f>
        <v>663.7306385408256</v>
      </c>
      <c r="AK61" s="86">
        <f>17248/AK60</f>
        <v>5.681402507966332</v>
      </c>
      <c r="AL61" s="84">
        <v>0.047</v>
      </c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</row>
    <row r="62" spans="1:113" s="78" customFormat="1" ht="12.75">
      <c r="A62" s="77" t="s">
        <v>176</v>
      </c>
      <c r="C62" s="79"/>
      <c r="D62" s="80"/>
      <c r="E62" s="81"/>
      <c r="F62" s="82">
        <f>AC62</f>
        <v>12.8967</v>
      </c>
      <c r="G62" s="85">
        <f>AD62</f>
        <v>243.87588459444746</v>
      </c>
      <c r="H62" s="86">
        <f>AF62</f>
        <v>5.008165487207402</v>
      </c>
      <c r="I62" s="83">
        <v>12.842</v>
      </c>
      <c r="J62" s="85">
        <f>281/L203</f>
        <v>335.5223880597015</v>
      </c>
      <c r="K62" s="87">
        <f>1.7/6.2</f>
        <v>0.2741935483870968</v>
      </c>
      <c r="L62" s="86">
        <f>6.2/L203</f>
        <v>7.402985074626866</v>
      </c>
      <c r="M62" s="84">
        <v>0.03</v>
      </c>
      <c r="N62" s="83">
        <v>12.8849</v>
      </c>
      <c r="O62" s="85">
        <f>251/Q203</f>
        <v>270.41585865115275</v>
      </c>
      <c r="P62" s="87">
        <f>1.7/5.5</f>
        <v>0.30909090909090914</v>
      </c>
      <c r="Q62" s="86">
        <f>5.5/Q203</f>
        <v>5.92544710191769</v>
      </c>
      <c r="R62" s="84">
        <f>0.03</f>
        <v>0.03</v>
      </c>
      <c r="S62" s="83">
        <v>12.413</v>
      </c>
      <c r="T62" s="85">
        <f>249/Q203</f>
        <v>268.2611506140918</v>
      </c>
      <c r="U62" s="87">
        <f>1.8/5.5</f>
        <v>0.32727272727272727</v>
      </c>
      <c r="V62" s="86">
        <f>5.5/Q203</f>
        <v>5.92544710191769</v>
      </c>
      <c r="W62" s="84">
        <v>0.045</v>
      </c>
      <c r="X62" s="83">
        <v>12.655</v>
      </c>
      <c r="Y62" s="85">
        <f>219/AA203</f>
        <v>246.70496789455896</v>
      </c>
      <c r="Z62" s="87">
        <f>1.7/5.2</f>
        <v>0.3269230769230769</v>
      </c>
      <c r="AA62" s="86">
        <f>5.2/AA203</f>
        <v>5.857834854117382</v>
      </c>
      <c r="AB62" s="84">
        <v>0.036000000000000004</v>
      </c>
      <c r="AC62" s="83">
        <v>12.8967</v>
      </c>
      <c r="AD62" s="85">
        <f>224/AF203</f>
        <v>243.87588459444746</v>
      </c>
      <c r="AE62" s="87">
        <f>1.6/4.6</f>
        <v>0.3478260869565218</v>
      </c>
      <c r="AF62" s="86">
        <f>4.6/AF203</f>
        <v>5.008165487207402</v>
      </c>
      <c r="AG62" s="84">
        <v>0.033</v>
      </c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</row>
    <row r="63" spans="1:113" s="78" customFormat="1" ht="12.75">
      <c r="A63" s="77" t="s">
        <v>177</v>
      </c>
      <c r="C63" s="79"/>
      <c r="D63" s="80"/>
      <c r="E63" s="81"/>
      <c r="F63" s="82">
        <f>X63</f>
        <v>9.152999999999999</v>
      </c>
      <c r="G63" s="85">
        <f>Y63</f>
        <v>465</v>
      </c>
      <c r="H63" s="86">
        <f>AA63</f>
        <v>8.5</v>
      </c>
      <c r="I63" s="83">
        <v>8.012</v>
      </c>
      <c r="J63" s="78">
        <v>319</v>
      </c>
      <c r="L63" s="86">
        <v>11.1</v>
      </c>
      <c r="M63" s="84"/>
      <c r="O63" s="78">
        <v>525</v>
      </c>
      <c r="R63" s="83">
        <v>9.082</v>
      </c>
      <c r="T63" s="78">
        <v>533</v>
      </c>
      <c r="X63" s="83">
        <f>9.072+0.081</f>
        <v>9.152999999999999</v>
      </c>
      <c r="Y63" s="78">
        <v>465</v>
      </c>
      <c r="AA63" s="86">
        <v>8.5</v>
      </c>
      <c r="AG63" s="84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</row>
    <row r="64" spans="1:113" s="27" customFormat="1" ht="12.75">
      <c r="A64" s="26" t="s">
        <v>178</v>
      </c>
      <c r="C64" s="28">
        <f>POPS!$C$46</f>
        <v>10.644</v>
      </c>
      <c r="D64" s="91">
        <f>POPS!E46</f>
        <v>314.6</v>
      </c>
      <c r="E64" s="31">
        <f>F64/C64</f>
        <v>0.8878241262683201</v>
      </c>
      <c r="F64" s="38">
        <f>SUM(F65:F66)</f>
        <v>9.45</v>
      </c>
      <c r="G64" s="38"/>
      <c r="H64" s="30">
        <f>D64*AG64</f>
        <v>-11.365753094357816</v>
      </c>
      <c r="L64" s="27">
        <v>23.186</v>
      </c>
      <c r="M64" s="106">
        <f>21.8/L64-1</f>
        <v>-0.05977745191063566</v>
      </c>
      <c r="Q64" s="27">
        <v>25.5725</v>
      </c>
      <c r="R64" s="106">
        <f>23.186/Q64-1</f>
        <v>-0.09332290546485489</v>
      </c>
      <c r="V64" s="27">
        <v>24.574</v>
      </c>
      <c r="W64" s="106">
        <f>25.573/V64-1</f>
        <v>0.040652722389517226</v>
      </c>
      <c r="AA64" s="27">
        <v>23.985</v>
      </c>
      <c r="AB64" s="106">
        <f>24.574/AA64-1</f>
        <v>0.02455701480091732</v>
      </c>
      <c r="AF64" s="27">
        <v>24.884</v>
      </c>
      <c r="AG64" s="106">
        <f>23.985/AF64-1</f>
        <v>-0.036127632213470484</v>
      </c>
      <c r="AK64" s="27">
        <v>23.7265</v>
      </c>
      <c r="AL64" s="106">
        <f>24.884/AK64-1</f>
        <v>0.04878511369144212</v>
      </c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</row>
    <row r="65" spans="1:113" s="27" customFormat="1" ht="12.75">
      <c r="A65" s="26" t="s">
        <v>179</v>
      </c>
      <c r="B65" s="27" t="s">
        <v>180</v>
      </c>
      <c r="C65" s="28"/>
      <c r="D65" s="91"/>
      <c r="E65" s="31"/>
      <c r="F65" s="38">
        <f>AH65</f>
        <v>6.024</v>
      </c>
      <c r="G65" s="92">
        <f>AI65</f>
        <v>202.80277999316394</v>
      </c>
      <c r="H65" s="93">
        <f>AK65</f>
        <v>10.254073145721772</v>
      </c>
      <c r="I65" s="30">
        <v>6</v>
      </c>
      <c r="J65" s="92">
        <f>169/L86</f>
        <v>201.7910447761194</v>
      </c>
      <c r="K65" s="107">
        <v>0.39</v>
      </c>
      <c r="L65" s="93">
        <f>9/L86</f>
        <v>10.746268656716417</v>
      </c>
      <c r="M65" s="106">
        <v>0.014</v>
      </c>
      <c r="N65" s="30">
        <v>5.993</v>
      </c>
      <c r="O65" s="92">
        <f>160/Q81</f>
        <v>172.37664296487824</v>
      </c>
      <c r="P65" s="107">
        <v>0.41</v>
      </c>
      <c r="Q65" s="93">
        <f>9/Q81</f>
        <v>9.696186166774401</v>
      </c>
      <c r="R65" s="106">
        <v>0.015</v>
      </c>
      <c r="S65" s="30">
        <v>5.996</v>
      </c>
      <c r="T65" s="92">
        <f>181/V86</f>
        <v>200.77648363838045</v>
      </c>
      <c r="U65" s="107">
        <v>0.45</v>
      </c>
      <c r="V65" s="93">
        <f>9/V86</f>
        <v>9.983361064891845</v>
      </c>
      <c r="W65" s="106">
        <v>0.016</v>
      </c>
      <c r="X65" s="30">
        <v>5.981</v>
      </c>
      <c r="Y65" s="92">
        <f>191/AA86</f>
        <v>215.16278021854228</v>
      </c>
      <c r="Z65" s="107">
        <v>0.47</v>
      </c>
      <c r="AA65" s="93">
        <f>10/AA86</f>
        <v>11.265067027148811</v>
      </c>
      <c r="AB65" s="106">
        <v>0.015</v>
      </c>
      <c r="AC65" s="30">
        <v>6.019</v>
      </c>
      <c r="AD65" s="92">
        <f>189/AF86</f>
        <v>205.77027762656502</v>
      </c>
      <c r="AE65" s="107">
        <v>0.47</v>
      </c>
      <c r="AF65" s="93">
        <f>9/AF86</f>
        <v>9.798584648884049</v>
      </c>
      <c r="AG65" s="106">
        <v>0.013000000000000001</v>
      </c>
      <c r="AH65" s="30">
        <v>6.024</v>
      </c>
      <c r="AI65" s="92">
        <f>178/AK86</f>
        <v>202.80277999316394</v>
      </c>
      <c r="AJ65" s="107">
        <v>0.48</v>
      </c>
      <c r="AK65" s="93">
        <f>9/AK86</f>
        <v>10.254073145721772</v>
      </c>
      <c r="AL65" s="106">
        <v>0.013000000000000001</v>
      </c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</row>
    <row r="66" spans="1:113" s="27" customFormat="1" ht="12.75">
      <c r="A66" s="26" t="s">
        <v>181</v>
      </c>
      <c r="B66" s="27" t="s">
        <v>182</v>
      </c>
      <c r="C66" s="28"/>
      <c r="D66" s="91"/>
      <c r="E66" s="31"/>
      <c r="F66" s="38">
        <f>AC66</f>
        <v>3.426</v>
      </c>
      <c r="G66" s="92"/>
      <c r="H66" s="92"/>
      <c r="I66" s="30">
        <v>3.238</v>
      </c>
      <c r="M66" s="106"/>
      <c r="N66" s="30">
        <v>3.267</v>
      </c>
      <c r="S66" s="30">
        <f>3.267+0.058+0.003</f>
        <v>3.328</v>
      </c>
      <c r="X66" s="30">
        <v>3.398</v>
      </c>
      <c r="AC66" s="30">
        <v>3.426</v>
      </c>
      <c r="AG66" s="106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</row>
    <row r="67" spans="1:113" s="78" customFormat="1" ht="12.75">
      <c r="A67" s="77" t="s">
        <v>183</v>
      </c>
      <c r="C67" s="79">
        <f>POPS!$C$47</f>
        <v>5.5809999999999995</v>
      </c>
      <c r="D67" s="80">
        <f>POPS!E47</f>
        <v>249.5</v>
      </c>
      <c r="E67" s="81">
        <f>F67/C67</f>
        <v>0.8519978498476978</v>
      </c>
      <c r="F67" s="82">
        <f>SUM(F68:F70)</f>
        <v>4.755000000000001</v>
      </c>
      <c r="G67" s="82"/>
      <c r="H67" s="83">
        <f>D67*AG67</f>
        <v>-8.999396170410868</v>
      </c>
      <c r="L67" s="78">
        <v>6.2328</v>
      </c>
      <c r="M67" s="84">
        <f>5.9014/L67-1</f>
        <v>-0.05317032473366712</v>
      </c>
      <c r="Q67" s="78">
        <v>6.9362</v>
      </c>
      <c r="R67" s="84">
        <f>6.2328/Q67-1</f>
        <v>-0.10140999394481132</v>
      </c>
      <c r="V67" s="78">
        <v>6.7255</v>
      </c>
      <c r="W67" s="84">
        <f>6.9362/V67-1</f>
        <v>0.03132852576016654</v>
      </c>
      <c r="AA67" s="78">
        <v>6.6249</v>
      </c>
      <c r="AB67" s="84">
        <f>6.7255/AA67-1</f>
        <v>0.015185134869960315</v>
      </c>
      <c r="AF67" s="78">
        <v>6.8728</v>
      </c>
      <c r="AG67" s="84">
        <f>6.6249/AF67-1</f>
        <v>-0.03606972412990328</v>
      </c>
      <c r="AK67" s="78">
        <v>6.5415</v>
      </c>
      <c r="AL67" s="84">
        <f>6.8728/AK67-1</f>
        <v>0.05064587632805928</v>
      </c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</row>
    <row r="68" spans="1:113" s="78" customFormat="1" ht="12.75">
      <c r="A68" s="77" t="s">
        <v>184</v>
      </c>
      <c r="C68" s="79"/>
      <c r="D68" s="80"/>
      <c r="E68" s="81"/>
      <c r="F68" s="82">
        <f>X68</f>
        <v>2.004</v>
      </c>
      <c r="G68" s="85">
        <f>Y68</f>
        <v>134.11506928475976</v>
      </c>
      <c r="H68" s="86">
        <f>AA68</f>
        <v>16.61389547692715</v>
      </c>
      <c r="M68" s="84"/>
      <c r="X68" s="83">
        <v>2.004</v>
      </c>
      <c r="Y68" s="85">
        <f>1114/AA160</f>
        <v>134.11506928475976</v>
      </c>
      <c r="AA68" s="86">
        <f>138/AA160</f>
        <v>16.61389547692715</v>
      </c>
      <c r="AG68" s="84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</row>
    <row r="69" spans="1:113" s="78" customFormat="1" ht="12.75">
      <c r="A69" s="77" t="s">
        <v>185</v>
      </c>
      <c r="C69" s="79"/>
      <c r="D69" s="80"/>
      <c r="E69" s="81"/>
      <c r="F69" s="82">
        <f>X69</f>
        <v>1.6360000000000001</v>
      </c>
      <c r="G69" s="85">
        <f>Y69</f>
        <v>138.48871814937337</v>
      </c>
      <c r="H69" s="86">
        <f>AA69</f>
        <v>19.471992030068378</v>
      </c>
      <c r="I69" s="83">
        <v>1.581</v>
      </c>
      <c r="J69" s="85">
        <f>(829+445)/L211</f>
        <v>159.93572441844407</v>
      </c>
      <c r="L69" s="86">
        <f>134/L67</f>
        <v>21.499165704017457</v>
      </c>
      <c r="M69" s="84">
        <f>0.42/12</f>
        <v>0.034999999999999996</v>
      </c>
      <c r="X69" s="83">
        <v>1.6360000000000001</v>
      </c>
      <c r="Y69" s="85">
        <f>(839+329)/AA211</f>
        <v>138.48871814937337</v>
      </c>
      <c r="AA69" s="86">
        <f>129/AA67</f>
        <v>19.471992030068378</v>
      </c>
      <c r="AB69" s="84">
        <f>0.39/12</f>
        <v>0.0325</v>
      </c>
      <c r="AG69" s="84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</row>
    <row r="70" spans="1:113" s="78" customFormat="1" ht="12.75">
      <c r="A70" s="77" t="s">
        <v>186</v>
      </c>
      <c r="C70" s="79"/>
      <c r="D70" s="80"/>
      <c r="E70" s="81"/>
      <c r="F70" s="82">
        <f>S70</f>
        <v>1.115</v>
      </c>
      <c r="G70" s="85">
        <f>T70</f>
        <v>75.16169801501746</v>
      </c>
      <c r="H70" s="86">
        <f>V70</f>
        <v>22.1723291948554</v>
      </c>
      <c r="I70" s="78">
        <v>1.09</v>
      </c>
      <c r="J70" s="85">
        <f>(2046-1008)/(2*L67)</f>
        <v>83.26915671929149</v>
      </c>
      <c r="L70" s="86">
        <f>153.6/L67</f>
        <v>24.64381979206777</v>
      </c>
      <c r="M70" s="84"/>
      <c r="S70" s="83">
        <v>1.115</v>
      </c>
      <c r="T70" s="85">
        <f>1011/(2*V67)</f>
        <v>75.16169801501746</v>
      </c>
      <c r="V70" s="86">
        <f>149.12/V67</f>
        <v>22.1723291948554</v>
      </c>
      <c r="W70" s="84">
        <v>0.03</v>
      </c>
      <c r="AG70" s="84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</row>
    <row r="71" spans="1:113" s="27" customFormat="1" ht="12.75">
      <c r="A71" s="26" t="s">
        <v>187</v>
      </c>
      <c r="C71" s="28">
        <f>POPS!$C$50</f>
        <v>15.868</v>
      </c>
      <c r="D71" s="91">
        <f>POPS!E50</f>
        <v>180.2</v>
      </c>
      <c r="E71" s="31">
        <f>F71/C71</f>
        <v>0.7981472145197882</v>
      </c>
      <c r="F71" s="38">
        <f>SUM(F72:F73)</f>
        <v>12.665</v>
      </c>
      <c r="G71" s="38"/>
      <c r="H71" s="38">
        <f>D71*AG71</f>
        <v>0</v>
      </c>
      <c r="L71" s="27">
        <v>1</v>
      </c>
      <c r="M71" s="106">
        <f>1/L71-1</f>
        <v>0</v>
      </c>
      <c r="Q71" s="27">
        <v>1</v>
      </c>
      <c r="R71" s="106">
        <f>1/Q71-1</f>
        <v>0</v>
      </c>
      <c r="V71" s="27">
        <v>1</v>
      </c>
      <c r="W71" s="27">
        <f>1/V71-1</f>
        <v>0</v>
      </c>
      <c r="AA71" s="27">
        <v>25000</v>
      </c>
      <c r="AB71" s="106">
        <f>25000/AA71-1</f>
        <v>0</v>
      </c>
      <c r="AF71" s="27">
        <v>25000</v>
      </c>
      <c r="AG71" s="106">
        <f>25000/AF71-1</f>
        <v>0</v>
      </c>
      <c r="AK71" s="27">
        <v>25000</v>
      </c>
      <c r="AL71" s="27">
        <f>25000/AK71-1</f>
        <v>0</v>
      </c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</row>
    <row r="72" spans="1:113" s="27" customFormat="1" ht="12.75">
      <c r="A72" s="26" t="s">
        <v>188</v>
      </c>
      <c r="C72" s="28"/>
      <c r="D72" s="91"/>
      <c r="E72" s="31"/>
      <c r="F72" s="38">
        <f>AC72</f>
        <v>4</v>
      </c>
      <c r="G72" s="92">
        <f>AD72</f>
        <v>170.93086554164395</v>
      </c>
      <c r="H72" s="93">
        <f>AF72</f>
        <v>10.99618943930321</v>
      </c>
      <c r="I72" s="30">
        <v>5.002</v>
      </c>
      <c r="J72" s="92">
        <f>138/L203</f>
        <v>164.77611940298507</v>
      </c>
      <c r="K72" s="107">
        <f>2.6/7.8</f>
        <v>0.33333333333333337</v>
      </c>
      <c r="L72" s="93">
        <f>7.8/L203</f>
        <v>9.313432835820896</v>
      </c>
      <c r="M72" s="106">
        <v>0.032</v>
      </c>
      <c r="N72" s="30">
        <v>4.6753</v>
      </c>
      <c r="O72" s="92">
        <f>149/Q203</f>
        <v>160.52574876104288</v>
      </c>
      <c r="P72" s="107">
        <f>3/8.3</f>
        <v>0.36144578313253006</v>
      </c>
      <c r="Q72" s="93">
        <f>8.3/Q203</f>
        <v>8.94203835380306</v>
      </c>
      <c r="R72" s="106">
        <v>0.057</v>
      </c>
      <c r="S72" s="30">
        <v>4.5015</v>
      </c>
      <c r="T72" s="92">
        <f>149/Q203</f>
        <v>160.52574876104288</v>
      </c>
      <c r="U72" s="107">
        <f>3.6/8.9</f>
        <v>0.4044943820224719</v>
      </c>
      <c r="V72" s="93">
        <f>8.9/Q203</f>
        <v>9.588450764921353</v>
      </c>
      <c r="W72" s="106">
        <v>0.046</v>
      </c>
      <c r="AC72" s="30">
        <v>4</v>
      </c>
      <c r="AD72" s="92">
        <f>157/AF203</f>
        <v>170.93086554164395</v>
      </c>
      <c r="AE72" s="107">
        <f>4.3/10.1</f>
        <v>0.42574257425742573</v>
      </c>
      <c r="AF72" s="93">
        <f>10.1/AF203</f>
        <v>10.99618943930321</v>
      </c>
      <c r="AG72" s="106">
        <v>0.046</v>
      </c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</row>
    <row r="73" spans="1:113" s="27" customFormat="1" ht="12.75">
      <c r="A73" s="26" t="s">
        <v>189</v>
      </c>
      <c r="C73" s="28"/>
      <c r="D73" s="91"/>
      <c r="E73" s="31"/>
      <c r="F73" s="38">
        <f>AH73</f>
        <v>8.665</v>
      </c>
      <c r="G73" s="92">
        <f>AI73</f>
        <v>352</v>
      </c>
      <c r="H73" s="93">
        <f>AK73</f>
        <v>12</v>
      </c>
      <c r="I73" s="30">
        <v>11.772</v>
      </c>
      <c r="J73" s="27">
        <v>425</v>
      </c>
      <c r="L73" s="93">
        <v>10</v>
      </c>
      <c r="M73" s="106">
        <f>0.044/3</f>
        <v>0.014666666666666666</v>
      </c>
      <c r="N73" s="30">
        <v>10.505</v>
      </c>
      <c r="O73" s="27">
        <v>397</v>
      </c>
      <c r="Q73" s="93">
        <v>11</v>
      </c>
      <c r="R73" s="106">
        <v>0.023</v>
      </c>
      <c r="S73" s="30">
        <v>9.923</v>
      </c>
      <c r="T73" s="27">
        <v>393</v>
      </c>
      <c r="V73" s="93">
        <v>11</v>
      </c>
      <c r="W73" s="106">
        <f>0.055/3</f>
        <v>0.018333333333333333</v>
      </c>
      <c r="X73" s="30">
        <v>9.273</v>
      </c>
      <c r="Y73" s="27">
        <v>383</v>
      </c>
      <c r="AA73" s="93">
        <v>12</v>
      </c>
      <c r="AB73" s="106">
        <f>0.059/3</f>
        <v>0.01966666666666667</v>
      </c>
      <c r="AC73" s="93">
        <v>8.659</v>
      </c>
      <c r="AD73" s="27">
        <f>392-16</f>
        <v>376</v>
      </c>
      <c r="AF73" s="93">
        <f>12</f>
        <v>12</v>
      </c>
      <c r="AG73" s="106">
        <f>0.062/3</f>
        <v>0.020666666666666667</v>
      </c>
      <c r="AH73" s="27">
        <v>8.665</v>
      </c>
      <c r="AI73" s="27">
        <v>352</v>
      </c>
      <c r="AK73" s="93">
        <v>12</v>
      </c>
      <c r="AL73" s="106">
        <v>0.037000000000000005</v>
      </c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</row>
    <row r="74" spans="1:113" s="78" customFormat="1" ht="12.75">
      <c r="A74" s="77" t="s">
        <v>20</v>
      </c>
      <c r="B74" s="94" t="s">
        <v>190</v>
      </c>
      <c r="C74" s="79">
        <f>POPS!$C$51</f>
        <v>88.487</v>
      </c>
      <c r="D74" s="80">
        <f>POPS!E51</f>
        <v>943.1</v>
      </c>
      <c r="E74" s="81">
        <f>F74/C74</f>
        <v>1.064777876976279</v>
      </c>
      <c r="F74" s="82">
        <f>SUM(F75:F77)</f>
        <v>94.219</v>
      </c>
      <c r="G74" s="82"/>
      <c r="H74" s="83">
        <f>D74*AG74</f>
        <v>-0.7105193262932031</v>
      </c>
      <c r="I74" s="78">
        <v>95</v>
      </c>
      <c r="L74" s="78">
        <v>7.1506</v>
      </c>
      <c r="M74" s="84">
        <f>7.149/L74-1</f>
        <v>-0.00022375744692748611</v>
      </c>
      <c r="Q74" s="78">
        <v>7.6311</v>
      </c>
      <c r="R74" s="84">
        <f>7.1506/Q74-1</f>
        <v>-0.06296602062612211</v>
      </c>
      <c r="V74" s="78">
        <v>7.6311</v>
      </c>
      <c r="W74" s="78">
        <f>7.6311/V74-1</f>
        <v>0</v>
      </c>
      <c r="AA74" s="78">
        <v>7.8254</v>
      </c>
      <c r="AB74" s="84">
        <f>7.6311/AA74-1</f>
        <v>-0.024829401691926267</v>
      </c>
      <c r="AC74" s="78">
        <v>94.02</v>
      </c>
      <c r="AF74" s="78">
        <v>7.8313</v>
      </c>
      <c r="AG74" s="84">
        <f>7.8254/AF74-1</f>
        <v>-0.0007533870494043082</v>
      </c>
      <c r="AH74" s="78">
        <v>94.16</v>
      </c>
      <c r="AK74" s="78">
        <v>8.8802</v>
      </c>
      <c r="AL74" s="84">
        <f>7.8313/AK74-1</f>
        <v>-0.11811670908312877</v>
      </c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</row>
    <row r="75" spans="1:113" s="78" customFormat="1" ht="12.75">
      <c r="A75" s="77" t="s">
        <v>191</v>
      </c>
      <c r="B75" s="94" t="s">
        <v>192</v>
      </c>
      <c r="C75" s="79"/>
      <c r="D75" s="80"/>
      <c r="E75" s="81"/>
      <c r="F75" s="82">
        <f>AC75</f>
        <v>33.065</v>
      </c>
      <c r="G75" s="85">
        <f>AD75</f>
        <v>318.9983669025585</v>
      </c>
      <c r="H75" s="86">
        <f>AF75</f>
        <v>3.1573217201959713</v>
      </c>
      <c r="M75" s="84"/>
      <c r="O75" s="85">
        <f>2624/Q74</f>
        <v>343.8560626908309</v>
      </c>
      <c r="T75" s="85">
        <f>(5292-2624)/V74</f>
        <v>349.6219417908296</v>
      </c>
      <c r="X75" s="83">
        <v>32.628</v>
      </c>
      <c r="Y75" s="85">
        <f>295/AA81</f>
        <v>332.3194773008899</v>
      </c>
      <c r="AA75" s="86">
        <f>2.9/AA81</f>
        <v>3.266869437873155</v>
      </c>
      <c r="AC75" s="83">
        <v>33.065</v>
      </c>
      <c r="AD75" s="78">
        <f>293/AF81</f>
        <v>318.9983669025585</v>
      </c>
      <c r="AF75" s="86">
        <f>2.9/AF81</f>
        <v>3.1573217201959713</v>
      </c>
      <c r="AG75" s="84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</row>
    <row r="76" spans="1:113" s="78" customFormat="1" ht="12.75">
      <c r="A76" s="77" t="s">
        <v>193</v>
      </c>
      <c r="B76" s="78" t="s">
        <v>194</v>
      </c>
      <c r="C76" s="79"/>
      <c r="D76" s="80"/>
      <c r="E76" s="81"/>
      <c r="F76" s="82">
        <f>X76</f>
        <v>22.8</v>
      </c>
      <c r="G76" s="85">
        <f>AI76</f>
        <v>317.1794173699973</v>
      </c>
      <c r="H76" s="86"/>
      <c r="I76" s="83">
        <f>0.23*95</f>
        <v>21.85</v>
      </c>
      <c r="J76" s="85">
        <f>1293/(0.66*3.672)</f>
        <v>533.5214894038422</v>
      </c>
      <c r="M76" s="84"/>
      <c r="T76" s="85">
        <f>2159/(0.66*2*3.6719)</f>
        <v>445.4386177744657</v>
      </c>
      <c r="X76" s="83">
        <f>0.24*95</f>
        <v>22.8</v>
      </c>
      <c r="Y76" s="85">
        <f>1138/3.6719</f>
        <v>309.9212941528909</v>
      </c>
      <c r="AC76" s="83">
        <f>94.02*0.24</f>
        <v>22.564799999999998</v>
      </c>
      <c r="AG76" s="84"/>
      <c r="AH76" s="83">
        <f>94.16*0.24</f>
        <v>22.598399999999998</v>
      </c>
      <c r="AI76" s="85">
        <f>(1165)/3.673</f>
        <v>317.1794173699973</v>
      </c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</row>
    <row r="77" spans="1:113" s="78" customFormat="1" ht="12.75">
      <c r="A77" s="77" t="s">
        <v>195</v>
      </c>
      <c r="C77" s="79"/>
      <c r="D77" s="80"/>
      <c r="E77" s="81"/>
      <c r="F77" s="82">
        <f>AC77</f>
        <v>38.354</v>
      </c>
      <c r="G77" s="85">
        <f>AD77</f>
        <v>421.34831460674155</v>
      </c>
      <c r="H77" s="86">
        <f>AF77</f>
        <v>3.5498576226169347</v>
      </c>
      <c r="I77" s="83">
        <v>39.209</v>
      </c>
      <c r="J77" s="85">
        <f>281/L234</f>
        <v>429.53225313359826</v>
      </c>
      <c r="L77" s="86">
        <f>25.2/L74</f>
        <v>3.524179789108606</v>
      </c>
      <c r="M77" s="84"/>
      <c r="N77" s="83">
        <v>39.717</v>
      </c>
      <c r="S77" s="83">
        <f>39.717-0.553</f>
        <v>39.164</v>
      </c>
      <c r="T77" s="85">
        <f>284/V234</f>
        <v>444.3749022062275</v>
      </c>
      <c r="V77" s="86">
        <f>26.3/V74</f>
        <v>3.4464231893173984</v>
      </c>
      <c r="X77" s="83">
        <v>38.336</v>
      </c>
      <c r="Y77" s="85">
        <f>287/AA234</f>
        <v>440.7248157248157</v>
      </c>
      <c r="AA77" s="86">
        <f>28.1/AA74</f>
        <v>3.5908707542106475</v>
      </c>
      <c r="AC77" s="83">
        <v>38.354</v>
      </c>
      <c r="AD77" s="85">
        <f>285/AF234</f>
        <v>421.34831460674155</v>
      </c>
      <c r="AF77" s="86">
        <f>27.8/AF74</f>
        <v>3.5498576226169347</v>
      </c>
      <c r="AG77" s="84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</row>
    <row r="78" spans="1:113" s="27" customFormat="1" ht="12.75">
      <c r="A78" s="26" t="s">
        <v>196</v>
      </c>
      <c r="C78" s="28">
        <f>POPS!$C$59</f>
        <v>5.476</v>
      </c>
      <c r="D78" s="91">
        <f>POPS!E59</f>
        <v>221</v>
      </c>
      <c r="E78" s="31">
        <f>F78/C78</f>
        <v>1.6880934989043097</v>
      </c>
      <c r="F78" s="38">
        <f>SUM(F79:F80)+1.84</f>
        <v>9.244</v>
      </c>
      <c r="G78" s="38"/>
      <c r="H78" s="30">
        <f>D78*AG78</f>
        <v>-7.410778443113772</v>
      </c>
      <c r="L78" s="27">
        <v>0.8375</v>
      </c>
      <c r="M78" s="106">
        <f>0.7928/L78-1</f>
        <v>-0.05337313432835811</v>
      </c>
      <c r="Q78" s="27">
        <v>0.9282</v>
      </c>
      <c r="R78" s="106">
        <f>0.8375/Q78-1</f>
        <v>-0.09771600948071535</v>
      </c>
      <c r="V78" s="27">
        <v>0.9015000000000001</v>
      </c>
      <c r="W78" s="106">
        <f>0.9282/V78-1</f>
        <v>0.02961730449251232</v>
      </c>
      <c r="AA78" s="27">
        <v>0.8877</v>
      </c>
      <c r="AB78" s="106">
        <f>0.9015/AA78-1</f>
        <v>0.01554579249746535</v>
      </c>
      <c r="AF78" s="27">
        <v>0.9185000000000001</v>
      </c>
      <c r="AG78" s="106">
        <f>0.8877/AF78-1</f>
        <v>-0.033532934131736525</v>
      </c>
      <c r="AK78" s="27">
        <v>0.8777</v>
      </c>
      <c r="AL78" s="106">
        <f>0.9185/AK78-1</f>
        <v>0.046485131593938744</v>
      </c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</row>
    <row r="79" spans="1:113" s="27" customFormat="1" ht="12.75">
      <c r="A79" s="26" t="s">
        <v>197</v>
      </c>
      <c r="B79" s="27" t="s">
        <v>198</v>
      </c>
      <c r="C79" s="28"/>
      <c r="D79" s="91"/>
      <c r="E79" s="31"/>
      <c r="F79" s="38">
        <f>X79</f>
        <v>3.326</v>
      </c>
      <c r="G79" s="92">
        <f>Y79</f>
        <v>245.5566226775276</v>
      </c>
      <c r="H79" s="93">
        <f>AA79</f>
        <v>18.362059254252564</v>
      </c>
      <c r="I79" s="30">
        <v>3.365</v>
      </c>
      <c r="J79" s="92">
        <f>(1561+341)/L211</f>
        <v>238.77374242062845</v>
      </c>
      <c r="L79" s="93">
        <f>16/L78</f>
        <v>19.104477611940297</v>
      </c>
      <c r="M79" s="106">
        <f>0.21/12</f>
        <v>0.017499999999999998</v>
      </c>
      <c r="X79" s="30">
        <v>3.326</v>
      </c>
      <c r="Y79" s="92">
        <f>(1599+472)/AA211</f>
        <v>245.5566226775276</v>
      </c>
      <c r="AA79" s="93">
        <f>16.3/AA78</f>
        <v>18.362059254252564</v>
      </c>
      <c r="AB79" s="106">
        <f>0.22/12</f>
        <v>0.018333333333333333</v>
      </c>
      <c r="AG79" s="106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</row>
    <row r="80" spans="1:113" s="27" customFormat="1" ht="12.75">
      <c r="A80" s="26" t="s">
        <v>199</v>
      </c>
      <c r="B80" s="104" t="s">
        <v>200</v>
      </c>
      <c r="C80" s="28"/>
      <c r="D80" s="91"/>
      <c r="E80" s="31"/>
      <c r="F80" s="38">
        <f>X80</f>
        <v>4.078</v>
      </c>
      <c r="G80" s="92">
        <f>Y80</f>
        <v>282.86583305170666</v>
      </c>
      <c r="H80" s="93">
        <f>AA80</f>
        <v>17.91145657316661</v>
      </c>
      <c r="M80" s="106"/>
      <c r="X80" s="30">
        <f>3.686+0.392</f>
        <v>4.078</v>
      </c>
      <c r="Y80" s="92">
        <f>251.1/AA78</f>
        <v>282.86583305170666</v>
      </c>
      <c r="AA80" s="93">
        <f>15.9/AA78</f>
        <v>17.91145657316661</v>
      </c>
      <c r="AG80" s="106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</row>
    <row r="81" spans="1:113" s="78" customFormat="1" ht="12.75">
      <c r="A81" s="77" t="s">
        <v>21</v>
      </c>
      <c r="B81" s="88" t="s">
        <v>201</v>
      </c>
      <c r="C81" s="79">
        <f>POPS!$C$60</f>
        <v>66.553</v>
      </c>
      <c r="D81" s="80">
        <f>POPS!E60</f>
        <v>2581</v>
      </c>
      <c r="E81" s="81">
        <f>F81/C81</f>
        <v>1.0757291181464397</v>
      </c>
      <c r="F81" s="82">
        <f>SUM(F82:F85)</f>
        <v>71.593</v>
      </c>
      <c r="G81" s="85">
        <f>SUM(G82:G85)</f>
        <v>5892.061804744684</v>
      </c>
      <c r="H81" s="85">
        <f>D81*AG81</f>
        <v>-86.54850299401197</v>
      </c>
      <c r="L81" s="78">
        <v>0.8375</v>
      </c>
      <c r="M81" s="84">
        <f>0.7928/L81-1</f>
        <v>-0.05337313432835811</v>
      </c>
      <c r="N81" s="83">
        <v>71.311</v>
      </c>
      <c r="O81" s="85">
        <f>3486/Q81</f>
        <v>3755.656108597285</v>
      </c>
      <c r="Q81" s="78">
        <v>0.9282</v>
      </c>
      <c r="R81" s="84">
        <f>0.8375/Q81-1</f>
        <v>-0.09771600948071535</v>
      </c>
      <c r="S81" s="83">
        <f>28.345/0.341</f>
        <v>83.12316715542521</v>
      </c>
      <c r="V81" s="78">
        <v>0.9015000000000001</v>
      </c>
      <c r="W81" s="84">
        <f>0.9282/V81-1</f>
        <v>0.02961730449251232</v>
      </c>
      <c r="AA81" s="78">
        <v>0.8877</v>
      </c>
      <c r="AB81" s="84">
        <f>0.9015/AA81-1</f>
        <v>0.01554579249746535</v>
      </c>
      <c r="AC81" s="83">
        <f>11.68/0.17</f>
        <v>68.70588235294117</v>
      </c>
      <c r="AF81" s="78">
        <v>0.9185000000000001</v>
      </c>
      <c r="AG81" s="84">
        <f>0.8877/AF81-1</f>
        <v>-0.033532934131736525</v>
      </c>
      <c r="AK81" s="78">
        <v>0.8777</v>
      </c>
      <c r="AL81" s="84">
        <f>0.9185/AK81-1</f>
        <v>0.046485131593938744</v>
      </c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</row>
    <row r="82" spans="1:113" s="78" customFormat="1" ht="12.75">
      <c r="A82" s="77" t="s">
        <v>202</v>
      </c>
      <c r="B82" s="78" t="s">
        <v>203</v>
      </c>
      <c r="C82" s="79"/>
      <c r="D82" s="80"/>
      <c r="E82" s="81"/>
      <c r="F82" s="82">
        <f>AC82</f>
        <v>29.217</v>
      </c>
      <c r="G82" s="85">
        <f>AD82</f>
        <v>2300.489929232444</v>
      </c>
      <c r="H82" s="86">
        <f>AF82</f>
        <v>24.496461622210123</v>
      </c>
      <c r="I82" s="83">
        <v>27.087</v>
      </c>
      <c r="J82" s="78">
        <f>(1873+230)/L81</f>
        <v>2511.0447761194027</v>
      </c>
      <c r="L82" s="86">
        <f>22.8/L81</f>
        <v>27.223880597014926</v>
      </c>
      <c r="M82" s="84">
        <f>0.248/12</f>
        <v>0.020666666666666667</v>
      </c>
      <c r="N82" s="83">
        <f>27.28+0.978</f>
        <v>28.258000000000003</v>
      </c>
      <c r="O82" s="85">
        <f>(1854+149)/Q81</f>
        <v>2157.94009911657</v>
      </c>
      <c r="Q82" s="86">
        <f>22.6/Q81</f>
        <v>24.348200818789056</v>
      </c>
      <c r="R82" s="84">
        <f>0.242/12</f>
        <v>0.020166666666666666</v>
      </c>
      <c r="S82" s="83">
        <f>27.507+0.838</f>
        <v>28.345000000000002</v>
      </c>
      <c r="T82" s="85">
        <f>(1876+164)/V81</f>
        <v>2262.8951747088186</v>
      </c>
      <c r="V82" s="86">
        <f>22.5/V81</f>
        <v>24.958402662229616</v>
      </c>
      <c r="W82" s="84">
        <f>0.247/12</f>
        <v>0.020583333333333332</v>
      </c>
      <c r="X82" s="83">
        <f>28.226+0.75</f>
        <v>28.976</v>
      </c>
      <c r="Y82" s="85">
        <f>(1906+174)/AA81</f>
        <v>2343.1339416469527</v>
      </c>
      <c r="AA82" s="86">
        <f>22.6/AA81</f>
        <v>25.459051481356315</v>
      </c>
      <c r="AB82" s="84">
        <f>0.135/12</f>
        <v>0.011250000000000001</v>
      </c>
      <c r="AC82" s="83">
        <f>28.424+0.793</f>
        <v>29.217</v>
      </c>
      <c r="AD82" s="78">
        <f>(1869+244)/AF81</f>
        <v>2300.489929232444</v>
      </c>
      <c r="AF82" s="86">
        <f>22.5/AF81</f>
        <v>24.496461622210123</v>
      </c>
      <c r="AG82" s="84">
        <f>0.225/12</f>
        <v>0.01875</v>
      </c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</row>
    <row r="83" spans="1:113" s="78" customFormat="1" ht="12.75">
      <c r="A83" s="77" t="s">
        <v>204</v>
      </c>
      <c r="B83" s="94" t="s">
        <v>205</v>
      </c>
      <c r="C83" s="79"/>
      <c r="D83" s="80"/>
      <c r="E83" s="81"/>
      <c r="F83" s="82">
        <f>X83</f>
        <v>21.807000000000002</v>
      </c>
      <c r="G83" s="85">
        <f>Y83</f>
        <v>1709.7749239607974</v>
      </c>
      <c r="H83" s="86">
        <f>AA83</f>
        <v>26.13495550298524</v>
      </c>
      <c r="M83" s="84"/>
      <c r="R83" s="84"/>
      <c r="X83" s="83">
        <f>15.083+6.724</f>
        <v>21.807000000000002</v>
      </c>
      <c r="Y83" s="85">
        <f>X83*3*AA83</f>
        <v>1709.7749239607974</v>
      </c>
      <c r="AA83" s="86">
        <f>23.2/AA81</f>
        <v>26.13495550298524</v>
      </c>
      <c r="AG83" s="84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</row>
    <row r="84" spans="1:113" s="78" customFormat="1" ht="12.75">
      <c r="A84" s="77" t="s">
        <v>206</v>
      </c>
      <c r="B84" s="94" t="s">
        <v>207</v>
      </c>
      <c r="C84" s="79"/>
      <c r="D84" s="80"/>
      <c r="E84" s="81"/>
      <c r="F84" s="82">
        <f>AC84</f>
        <v>11.68</v>
      </c>
      <c r="G84" s="85">
        <f>AD84</f>
        <v>528.7969515514426</v>
      </c>
      <c r="H84" s="86"/>
      <c r="M84" s="84"/>
      <c r="R84" s="84"/>
      <c r="X84" s="83">
        <v>11.3</v>
      </c>
      <c r="Y84" s="85">
        <f>463/AA81</f>
        <v>521.5726033569899</v>
      </c>
      <c r="AA84" s="86"/>
      <c r="AC84" s="83">
        <v>11.68</v>
      </c>
      <c r="AD84" s="85">
        <f>(1828.7-1343)/(AF81)</f>
        <v>528.7969515514426</v>
      </c>
      <c r="AG84" s="84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</row>
    <row r="85" spans="1:113" s="78" customFormat="1" ht="12.75">
      <c r="A85" s="77" t="s">
        <v>208</v>
      </c>
      <c r="B85" s="94" t="s">
        <v>209</v>
      </c>
      <c r="C85" s="79"/>
      <c r="D85" s="80"/>
      <c r="E85" s="81"/>
      <c r="F85" s="82">
        <f>S85</f>
        <v>8.889</v>
      </c>
      <c r="G85" s="85">
        <f>J85</f>
        <v>1353</v>
      </c>
      <c r="H85" s="86">
        <f>V85</f>
        <v>26.622296173044923</v>
      </c>
      <c r="J85" s="78">
        <v>1353</v>
      </c>
      <c r="M85" s="84"/>
      <c r="R85" s="84"/>
      <c r="S85" s="83">
        <v>8.889</v>
      </c>
      <c r="V85" s="86">
        <f>24/V81</f>
        <v>26.622296173044923</v>
      </c>
      <c r="AG85" s="84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</row>
    <row r="86" spans="1:113" s="27" customFormat="1" ht="12.75">
      <c r="A86" s="26" t="s">
        <v>22</v>
      </c>
      <c r="C86" s="28">
        <f>POPS!$C$64</f>
        <v>80.854</v>
      </c>
      <c r="D86" s="91">
        <f>POPS!E64</f>
        <v>3722</v>
      </c>
      <c r="E86" s="31">
        <f>F86/C86</f>
        <v>1.411121280332451</v>
      </c>
      <c r="F86" s="38">
        <f>SUM(F87:F89)</f>
        <v>114.0948</v>
      </c>
      <c r="G86" s="92">
        <f>SUM(G87:G89)</f>
        <v>5780.244697395191</v>
      </c>
      <c r="H86" s="92">
        <f>D86*AG86</f>
        <v>-124.80958083832334</v>
      </c>
      <c r="L86" s="27">
        <v>0.8375</v>
      </c>
      <c r="M86" s="106">
        <f>0.7928/L86-1</f>
        <v>-0.05337313432835811</v>
      </c>
      <c r="Q86" s="27">
        <v>0.9282</v>
      </c>
      <c r="R86" s="106">
        <f>0.8375/Q86-1</f>
        <v>-0.09771600948071535</v>
      </c>
      <c r="V86" s="27">
        <v>0.9015000000000001</v>
      </c>
      <c r="W86" s="106">
        <f>0.9282/V86-1</f>
        <v>0.02961730449251232</v>
      </c>
      <c r="AA86" s="27">
        <v>0.8877</v>
      </c>
      <c r="AB86" s="106">
        <f>0.9015/AA86-1</f>
        <v>0.01554579249746535</v>
      </c>
      <c r="AF86" s="27">
        <v>0.9185000000000001</v>
      </c>
      <c r="AG86" s="106">
        <f>0.8877/AF86-1</f>
        <v>-0.033532934131736525</v>
      </c>
      <c r="AK86" s="27">
        <v>0.8777</v>
      </c>
      <c r="AL86" s="106">
        <f>0.9185/AK86-1</f>
        <v>0.046485131593938744</v>
      </c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</row>
    <row r="87" spans="1:113" s="27" customFormat="1" ht="12.75">
      <c r="A87" s="26" t="s">
        <v>210</v>
      </c>
      <c r="B87" s="27" t="s">
        <v>93</v>
      </c>
      <c r="C87" s="28"/>
      <c r="D87" s="91"/>
      <c r="E87" s="31"/>
      <c r="F87" s="38">
        <f>AC87</f>
        <v>30.389</v>
      </c>
      <c r="G87" s="92">
        <f>AD87</f>
        <v>1618.8645771732702</v>
      </c>
      <c r="H87" s="93">
        <f>AF87</f>
        <v>16.657593903102885</v>
      </c>
      <c r="I87" s="30">
        <v>31.515</v>
      </c>
      <c r="J87" s="92">
        <f>(1974-757)/L234</f>
        <v>1860.2873738917763</v>
      </c>
      <c r="L87" s="93">
        <f>15.1/L86</f>
        <v>18.029850746268657</v>
      </c>
      <c r="M87" s="106"/>
      <c r="N87" s="30">
        <v>30.943</v>
      </c>
      <c r="O87" s="92">
        <f>1115/Q234</f>
        <v>1656.7607726597325</v>
      </c>
      <c r="R87" s="106"/>
      <c r="S87" s="30">
        <f>30.943+0.104-0.732</f>
        <v>30.315</v>
      </c>
      <c r="T87" s="92">
        <f>(1762-668)/V234</f>
        <v>1711.7821937099045</v>
      </c>
      <c r="V87" s="93">
        <f>15.3/V86</f>
        <v>16.97171381031614</v>
      </c>
      <c r="W87" s="106">
        <f>0.291/12</f>
        <v>0.024249999999999997</v>
      </c>
      <c r="X87" s="30">
        <v>30.216</v>
      </c>
      <c r="Y87" s="92">
        <f>(1762-667)/AA234</f>
        <v>1681.5110565110565</v>
      </c>
      <c r="AA87" s="93">
        <f>15.5/AA86</f>
        <v>17.460853892080657</v>
      </c>
      <c r="AB87" s="106">
        <f>0.263/12</f>
        <v>0.021916666666666668</v>
      </c>
      <c r="AC87" s="30">
        <v>30.389</v>
      </c>
      <c r="AD87" s="27">
        <f>(1776-681)/AF234</f>
        <v>1618.8645771732702</v>
      </c>
      <c r="AF87" s="93">
        <f>15.3/AF86</f>
        <v>16.657593903102885</v>
      </c>
      <c r="AG87" s="106">
        <f>0.266/12</f>
        <v>0.022166666666666668</v>
      </c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</row>
    <row r="88" spans="1:113" s="27" customFormat="1" ht="12.75">
      <c r="A88" s="26" t="s">
        <v>211</v>
      </c>
      <c r="B88" s="27" t="s">
        <v>212</v>
      </c>
      <c r="C88" s="28"/>
      <c r="D88" s="91"/>
      <c r="E88" s="31"/>
      <c r="F88" s="38">
        <f>AH88</f>
        <v>40.643</v>
      </c>
      <c r="G88" s="92">
        <f>AI88</f>
        <v>2211.4617750939956</v>
      </c>
      <c r="H88" s="93">
        <f>AK88</f>
        <v>15.950780448900534</v>
      </c>
      <c r="I88" s="30">
        <v>38.989</v>
      </c>
      <c r="J88" s="92">
        <f>2098/L86</f>
        <v>2505.0746268656717</v>
      </c>
      <c r="K88" s="107">
        <v>0.5</v>
      </c>
      <c r="L88" s="93">
        <f>14/L86</f>
        <v>16.71641791044776</v>
      </c>
      <c r="M88" s="106">
        <f>0.027</f>
        <v>0.027</v>
      </c>
      <c r="N88" s="27">
        <v>39.2</v>
      </c>
      <c r="O88" s="92">
        <f>2061/Q81</f>
        <v>2220.426632191338</v>
      </c>
      <c r="P88" s="107">
        <v>0.51</v>
      </c>
      <c r="Q88" s="93">
        <f>14/Q81</f>
        <v>15.082956259426847</v>
      </c>
      <c r="R88" s="106">
        <v>0.017</v>
      </c>
      <c r="S88" s="30">
        <v>39.465</v>
      </c>
      <c r="T88" s="92">
        <f>2047/V86</f>
        <v>2270.6600110926233</v>
      </c>
      <c r="U88" s="107">
        <v>0.52</v>
      </c>
      <c r="V88" s="27">
        <f>14/V86</f>
        <v>15.529672767609538</v>
      </c>
      <c r="W88" s="106">
        <v>0.017</v>
      </c>
      <c r="X88" s="30">
        <v>39.892</v>
      </c>
      <c r="Y88" s="92">
        <f>2056/AA86</f>
        <v>2316.0977807817953</v>
      </c>
      <c r="Z88" s="107">
        <f>776/2056</f>
        <v>0.377431906614786</v>
      </c>
      <c r="AA88" s="93">
        <f>14/AA86</f>
        <v>15.771093838008335</v>
      </c>
      <c r="AB88" s="106">
        <v>0.018000000000000002</v>
      </c>
      <c r="AC88" s="30">
        <v>40.373</v>
      </c>
      <c r="AD88" s="112">
        <f>2072/AF86</f>
        <v>2255.8519324986387</v>
      </c>
      <c r="AE88" s="107">
        <v>0.52</v>
      </c>
      <c r="AF88" s="93">
        <f>14/AF86</f>
        <v>15.242242787152966</v>
      </c>
      <c r="AG88" s="106">
        <v>0.018000000000000002</v>
      </c>
      <c r="AH88" s="30">
        <v>40.643</v>
      </c>
      <c r="AI88" s="27">
        <f>1941/AK86</f>
        <v>2211.4617750939956</v>
      </c>
      <c r="AJ88" s="107">
        <v>0.52</v>
      </c>
      <c r="AK88" s="93">
        <f>14/AK86</f>
        <v>15.950780448900534</v>
      </c>
      <c r="AL88" s="106">
        <v>0.016</v>
      </c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</row>
    <row r="89" spans="1:113" s="27" customFormat="1" ht="12.75">
      <c r="A89" s="26" t="s">
        <v>213</v>
      </c>
      <c r="C89" s="28"/>
      <c r="D89" s="91"/>
      <c r="E89" s="31"/>
      <c r="F89" s="38">
        <f>AC89</f>
        <v>43.0628</v>
      </c>
      <c r="G89" s="92">
        <f>AD89</f>
        <v>1949.9183451279257</v>
      </c>
      <c r="H89" s="93">
        <f>AF89</f>
        <v>11.431682090364724</v>
      </c>
      <c r="I89" s="30">
        <v>42.124</v>
      </c>
      <c r="J89" s="27">
        <f>1742/L203</f>
        <v>2080</v>
      </c>
      <c r="K89" s="107">
        <f>6.2/12.7</f>
        <v>0.4881889763779528</v>
      </c>
      <c r="L89" s="93">
        <f>12.7/L203</f>
        <v>15.164179104477611</v>
      </c>
      <c r="M89" s="106">
        <v>0.029</v>
      </c>
      <c r="N89" s="30">
        <v>42.179</v>
      </c>
      <c r="O89" s="92">
        <f>1636/Q203</f>
        <v>1762.5511743158802</v>
      </c>
      <c r="P89" s="107">
        <f>5.5/10.6</f>
        <v>0.5188679245283019</v>
      </c>
      <c r="Q89" s="27">
        <f>10.6/Q203</f>
        <v>11.419952596423183</v>
      </c>
      <c r="R89" s="106">
        <f>0.024</f>
        <v>0.024</v>
      </c>
      <c r="S89" s="30">
        <v>42.617</v>
      </c>
      <c r="T89" s="92">
        <f>1685/Q203</f>
        <v>1815.3415212238742</v>
      </c>
      <c r="U89" s="107">
        <f>5.6/10.8</f>
        <v>0.5185185185185185</v>
      </c>
      <c r="V89" s="93">
        <f>10.8/Q203</f>
        <v>11.635423400129284</v>
      </c>
      <c r="W89" s="106">
        <f>0.023</f>
        <v>0.023</v>
      </c>
      <c r="X89" s="30">
        <v>43.289</v>
      </c>
      <c r="Y89" s="92">
        <f>1720/AA86</f>
        <v>1937.5915286695954</v>
      </c>
      <c r="Z89" s="107">
        <f>5.6/10.9</f>
        <v>0.5137614678899082</v>
      </c>
      <c r="AA89" s="93">
        <f>10.9/AA86</f>
        <v>12.278923059592204</v>
      </c>
      <c r="AB89" s="106">
        <v>0.021</v>
      </c>
      <c r="AC89" s="30">
        <v>43.0628</v>
      </c>
      <c r="AD89" s="27">
        <f>1791/AF203</f>
        <v>1949.9183451279257</v>
      </c>
      <c r="AE89" s="107">
        <f>5.5/10.5</f>
        <v>0.5238095238095238</v>
      </c>
      <c r="AF89" s="27">
        <f>10.5/AF203</f>
        <v>11.431682090364724</v>
      </c>
      <c r="AG89" s="106">
        <v>0.028</v>
      </c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</row>
    <row r="90" spans="1:113" s="78" customFormat="1" ht="12.75">
      <c r="A90" s="77" t="s">
        <v>214</v>
      </c>
      <c r="C90" s="79">
        <f>POPS!$C$66</f>
        <v>10.775</v>
      </c>
      <c r="D90" s="80">
        <f>POPS!E66</f>
        <v>284.3</v>
      </c>
      <c r="E90" s="81">
        <f>F90/C90</f>
        <v>1.2292343387470999</v>
      </c>
      <c r="F90" s="82">
        <f>SUM(F91:F92)</f>
        <v>13.245000000000001</v>
      </c>
      <c r="G90" s="82"/>
      <c r="H90" s="83">
        <f>D90*AG90</f>
        <v>-9.533413173652695</v>
      </c>
      <c r="L90" s="78">
        <v>0.8375</v>
      </c>
      <c r="M90" s="84">
        <f>0.7928/L90-1</f>
        <v>-0.05337313432835811</v>
      </c>
      <c r="Q90" s="78">
        <v>0.9282</v>
      </c>
      <c r="R90" s="84">
        <f>0.8375/Q90-1</f>
        <v>-0.09771600948071535</v>
      </c>
      <c r="V90" s="78">
        <v>0.9015000000000001</v>
      </c>
      <c r="W90" s="84">
        <f>0.9282/V90-1</f>
        <v>0.02961730449251232</v>
      </c>
      <c r="AA90" s="78">
        <v>0.8877</v>
      </c>
      <c r="AB90" s="84">
        <f>0.9015/AA90-1</f>
        <v>0.01554579249746535</v>
      </c>
      <c r="AF90" s="78">
        <v>0.9185000000000001</v>
      </c>
      <c r="AG90" s="84">
        <f>0.8877/AF90-1</f>
        <v>-0.033532934131736525</v>
      </c>
      <c r="AK90" s="78">
        <v>0.8777</v>
      </c>
      <c r="AL90" s="84">
        <f>0.9185/AK90-1</f>
        <v>0.046485131593938744</v>
      </c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</row>
    <row r="91" spans="1:113" s="78" customFormat="1" ht="12.75">
      <c r="A91" s="77" t="s">
        <v>215</v>
      </c>
      <c r="B91" s="88" t="s">
        <v>216</v>
      </c>
      <c r="C91" s="79"/>
      <c r="D91" s="80"/>
      <c r="E91" s="81"/>
      <c r="F91" s="82">
        <f>AH91</f>
        <v>7.477</v>
      </c>
      <c r="G91" s="85">
        <f>AI91</f>
        <v>315.59758459610345</v>
      </c>
      <c r="H91" s="86">
        <f>AK91</f>
        <v>11.393414606357524</v>
      </c>
      <c r="I91" s="83">
        <v>7.28</v>
      </c>
      <c r="J91" s="85">
        <f>314/L86</f>
        <v>374.92537313432837</v>
      </c>
      <c r="K91" s="87">
        <v>0.26</v>
      </c>
      <c r="L91" s="86">
        <f>11/L86</f>
        <v>13.134328358208954</v>
      </c>
      <c r="M91" s="84">
        <v>0.018000000000000002</v>
      </c>
      <c r="N91" s="83">
        <v>7.308</v>
      </c>
      <c r="O91" s="85">
        <f>294/Q81</f>
        <v>316.7420814479638</v>
      </c>
      <c r="P91" s="87">
        <v>0.27</v>
      </c>
      <c r="Q91" s="86">
        <f>10/Q81</f>
        <v>10.77354018530489</v>
      </c>
      <c r="R91" s="84">
        <v>0.015</v>
      </c>
      <c r="S91" s="83">
        <v>7.3870000000000005</v>
      </c>
      <c r="T91" s="85">
        <f>303/V86</f>
        <v>336.1064891846921</v>
      </c>
      <c r="U91" s="87">
        <v>0.27</v>
      </c>
      <c r="V91" s="86">
        <f>11/V86</f>
        <v>12.201885745978922</v>
      </c>
      <c r="W91" s="84">
        <v>0.015</v>
      </c>
      <c r="X91" s="83">
        <v>7.428</v>
      </c>
      <c r="Y91" s="85">
        <f>319/AA86</f>
        <v>359.3556381660471</v>
      </c>
      <c r="Z91" s="87">
        <v>0.31</v>
      </c>
      <c r="AA91" s="86">
        <f>12/AA86</f>
        <v>13.518080432578573</v>
      </c>
      <c r="AB91" s="84">
        <v>0.017</v>
      </c>
      <c r="AC91" s="83">
        <v>7.399</v>
      </c>
      <c r="AD91" s="85">
        <f>312/AF86</f>
        <v>339.68426782798036</v>
      </c>
      <c r="AE91" s="87">
        <v>0.28</v>
      </c>
      <c r="AF91" s="86">
        <f>11/AF86</f>
        <v>11.976047904191615</v>
      </c>
      <c r="AG91" s="84">
        <v>0.017</v>
      </c>
      <c r="AH91" s="83">
        <v>7.477</v>
      </c>
      <c r="AI91" s="85">
        <f>277/AK86</f>
        <v>315.59758459610345</v>
      </c>
      <c r="AJ91" s="87">
        <v>0.29</v>
      </c>
      <c r="AK91" s="86">
        <f>10/AK86</f>
        <v>11.393414606357524</v>
      </c>
      <c r="AL91" s="84">
        <v>0.016</v>
      </c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</row>
    <row r="92" spans="1:113" s="78" customFormat="1" ht="12.75">
      <c r="A92" s="77" t="s">
        <v>217</v>
      </c>
      <c r="C92" s="79"/>
      <c r="D92" s="80"/>
      <c r="E92" s="81"/>
      <c r="F92" s="82">
        <f>AC92</f>
        <v>5.768</v>
      </c>
      <c r="G92" s="85">
        <f>Y92</f>
        <v>227.27272727272728</v>
      </c>
      <c r="H92" s="86">
        <f>AA92</f>
        <v>10.363861664976906</v>
      </c>
      <c r="I92" s="83">
        <v>5.05</v>
      </c>
      <c r="J92" s="85">
        <f>130/L234</f>
        <v>198.71598899419138</v>
      </c>
      <c r="L92" s="86">
        <f>9.4/L90</f>
        <v>11.223880597014926</v>
      </c>
      <c r="M92" s="84"/>
      <c r="N92" s="83">
        <v>5.118</v>
      </c>
      <c r="O92" s="85">
        <f>141/Q234</f>
        <v>209.50965824665676</v>
      </c>
      <c r="R92" s="84"/>
      <c r="S92" s="83">
        <f>5.118+0.035+0.092</f>
        <v>5.245</v>
      </c>
      <c r="T92" s="85">
        <f>143/V234</f>
        <v>223.75215146299485</v>
      </c>
      <c r="V92" s="86">
        <f>8.9/V90</f>
        <v>9.872434830837493</v>
      </c>
      <c r="X92" s="83">
        <v>5.321</v>
      </c>
      <c r="Y92" s="85">
        <f>148/AA234</f>
        <v>227.27272727272728</v>
      </c>
      <c r="AA92" s="86">
        <f>9.2/AA203</f>
        <v>10.363861664976906</v>
      </c>
      <c r="AC92" s="83">
        <v>5.768</v>
      </c>
      <c r="AF92" s="86">
        <f>8.2/AF90</f>
        <v>8.927599346761022</v>
      </c>
      <c r="AG92" s="84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</row>
    <row r="93" spans="1:113" s="27" customFormat="1" ht="12.75">
      <c r="A93" s="26" t="s">
        <v>218</v>
      </c>
      <c r="B93" s="27" t="s">
        <v>219</v>
      </c>
      <c r="C93" s="28">
        <f>POPS!$C$72</f>
        <v>9.897</v>
      </c>
      <c r="D93" s="91">
        <f>POPS!E72</f>
        <v>246.4</v>
      </c>
      <c r="E93" s="31">
        <f>F93/C93</f>
        <v>1.2410831565120743</v>
      </c>
      <c r="F93" s="38">
        <f>SUM(F94:F96)+0.9</f>
        <v>12.283</v>
      </c>
      <c r="G93" s="38"/>
      <c r="H93" s="30">
        <f>D93*AG93</f>
        <v>-10.262432989690735</v>
      </c>
      <c r="L93" s="27">
        <v>266.745</v>
      </c>
      <c r="M93" s="106">
        <f>246.41/L93-1</f>
        <v>-0.07623385630471047</v>
      </c>
      <c r="Q93" s="27">
        <v>279.08</v>
      </c>
      <c r="R93" s="106">
        <f>266.745/Q93-1</f>
        <v>-0.044198796044145006</v>
      </c>
      <c r="V93" s="27">
        <v>283.43</v>
      </c>
      <c r="W93" s="106">
        <f>279.08/V93-1</f>
        <v>-0.015347704900681047</v>
      </c>
      <c r="AA93" s="27">
        <v>278.875</v>
      </c>
      <c r="AB93" s="106">
        <f>283.43/AA93-1</f>
        <v>0.016333482743164485</v>
      </c>
      <c r="AF93" s="27">
        <v>291</v>
      </c>
      <c r="AG93" s="106">
        <f>278.88/AF93-1</f>
        <v>-0.041649484536082526</v>
      </c>
      <c r="AK93" s="27">
        <v>275.35</v>
      </c>
      <c r="AL93" s="106">
        <f>291/AK93-1</f>
        <v>0.05683675322317039</v>
      </c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</row>
    <row r="94" spans="1:113" s="27" customFormat="1" ht="12.75">
      <c r="A94" s="26" t="s">
        <v>220</v>
      </c>
      <c r="C94" s="28"/>
      <c r="D94" s="91"/>
      <c r="E94" s="31"/>
      <c r="F94" s="38">
        <f>AH94</f>
        <v>5.372</v>
      </c>
      <c r="G94" s="92">
        <f>AI94</f>
        <v>238.12236527287226</v>
      </c>
      <c r="H94" s="93">
        <f>AK94</f>
        <v>12.532756066993278</v>
      </c>
      <c r="I94" s="30">
        <v>4.964</v>
      </c>
      <c r="J94" s="92">
        <f>220/L86</f>
        <v>262.6865671641791</v>
      </c>
      <c r="K94" s="107">
        <v>0.27</v>
      </c>
      <c r="L94" s="93">
        <f>11/L86</f>
        <v>13.134328358208954</v>
      </c>
      <c r="M94" s="106">
        <v>0.016</v>
      </c>
      <c r="N94" s="30">
        <v>4.948</v>
      </c>
      <c r="O94" s="92">
        <f>201/Q81</f>
        <v>216.5481577246283</v>
      </c>
      <c r="P94" s="107">
        <v>0.28</v>
      </c>
      <c r="Q94" s="93">
        <f>11/Q81</f>
        <v>11.85089420383538</v>
      </c>
      <c r="R94" s="106">
        <v>0.015</v>
      </c>
      <c r="S94" s="30">
        <v>4.938</v>
      </c>
      <c r="T94" s="92">
        <f>200/V86</f>
        <v>221.85246810870768</v>
      </c>
      <c r="U94" s="107">
        <v>0.3</v>
      </c>
      <c r="V94" s="93">
        <f>11/V86</f>
        <v>12.201885745978922</v>
      </c>
      <c r="W94" s="106">
        <v>0.015</v>
      </c>
      <c r="X94" s="30">
        <v>4.9350000000000005</v>
      </c>
      <c r="Y94" s="92">
        <f>197/AA86</f>
        <v>221.92182043483157</v>
      </c>
      <c r="Z94" s="107">
        <v>0.31</v>
      </c>
      <c r="AA94" s="93">
        <f>11/AA86</f>
        <v>12.391573729863692</v>
      </c>
      <c r="AB94" s="106">
        <v>0.017</v>
      </c>
      <c r="AC94" s="30">
        <v>4.95</v>
      </c>
      <c r="AD94" s="92">
        <f>206/AF86</f>
        <v>224.27871529667934</v>
      </c>
      <c r="AE94" s="107">
        <v>0.31</v>
      </c>
      <c r="AF94" s="93">
        <f>11/AF86</f>
        <v>11.976047904191615</v>
      </c>
      <c r="AG94" s="106">
        <v>0.013000000000000001</v>
      </c>
      <c r="AH94" s="30">
        <v>5.372</v>
      </c>
      <c r="AI94" s="92">
        <f>209/AK86</f>
        <v>238.12236527287226</v>
      </c>
      <c r="AJ94" s="107">
        <v>0.33</v>
      </c>
      <c r="AK94" s="93">
        <f>11/AK86</f>
        <v>12.532756066993278</v>
      </c>
      <c r="AL94" s="106">
        <v>0.018000000000000002</v>
      </c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</row>
    <row r="95" spans="1:113" s="27" customFormat="1" ht="12.75">
      <c r="A95" s="26" t="s">
        <v>221</v>
      </c>
      <c r="C95" s="28"/>
      <c r="D95" s="91"/>
      <c r="E95" s="31"/>
      <c r="F95" s="38">
        <f>X95</f>
        <v>3.201</v>
      </c>
      <c r="G95" s="92">
        <f>Y95</f>
        <v>122.43718623213705</v>
      </c>
      <c r="H95" s="93">
        <f>AA95</f>
        <v>12.400226334228236</v>
      </c>
      <c r="I95" s="30">
        <v>3.255</v>
      </c>
      <c r="J95" s="92">
        <f>1019/L160</f>
        <v>133.48703774054522</v>
      </c>
      <c r="L95" s="93">
        <f>102/L160</f>
        <v>13.361803581487353</v>
      </c>
      <c r="M95" s="106"/>
      <c r="R95" s="106"/>
      <c r="X95" s="30">
        <v>3.201</v>
      </c>
      <c r="Y95" s="92">
        <f>1017/AA160</f>
        <v>122.43718623213705</v>
      </c>
      <c r="AA95" s="93">
        <f>103/AA160</f>
        <v>12.400226334228236</v>
      </c>
      <c r="AG95" s="106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</row>
    <row r="96" spans="1:113" s="27" customFormat="1" ht="12.75">
      <c r="A96" s="26" t="s">
        <v>222</v>
      </c>
      <c r="B96" s="108" t="s">
        <v>223</v>
      </c>
      <c r="C96" s="28"/>
      <c r="D96" s="91"/>
      <c r="E96" s="31"/>
      <c r="F96" s="38">
        <f>AC96</f>
        <v>2.81</v>
      </c>
      <c r="G96" s="92"/>
      <c r="H96" s="92"/>
      <c r="I96" s="30">
        <v>2.67</v>
      </c>
      <c r="M96" s="106"/>
      <c r="N96" s="30">
        <v>2.741</v>
      </c>
      <c r="R96" s="106"/>
      <c r="S96" s="30">
        <f>2.741+0.038-0.021</f>
        <v>2.758</v>
      </c>
      <c r="X96" s="30">
        <v>2.793</v>
      </c>
      <c r="AC96" s="30">
        <v>2.81</v>
      </c>
      <c r="AG96" s="106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</row>
    <row r="97" spans="1:113" s="78" customFormat="1" ht="12.75">
      <c r="A97" s="77" t="s">
        <v>23</v>
      </c>
      <c r="B97" s="88" t="s">
        <v>224</v>
      </c>
      <c r="C97" s="79">
        <f>POPS!$C$73</f>
        <v>1251.695</v>
      </c>
      <c r="D97" s="80">
        <f>POPS!E73</f>
        <v>7376</v>
      </c>
      <c r="E97" s="81">
        <f>F97/C97</f>
        <v>0.8238173037361337</v>
      </c>
      <c r="F97" s="82">
        <f>F102+F106+F107</f>
        <v>1031.168</v>
      </c>
      <c r="G97" s="85">
        <f>SUM(G98:G105)</f>
        <v>7104.9741435167125</v>
      </c>
      <c r="H97" s="85">
        <f>D97*AG97</f>
        <v>9.74887655300023</v>
      </c>
      <c r="L97" s="78">
        <v>63.39</v>
      </c>
      <c r="M97" s="84">
        <f>61.99/L97-1</f>
        <v>-0.022085502445180594</v>
      </c>
      <c r="Q97" s="78">
        <v>62.3885</v>
      </c>
      <c r="R97" s="84">
        <f>63.39/Q97-1</f>
        <v>0.016052637906024403</v>
      </c>
      <c r="S97" s="83">
        <v>980.81</v>
      </c>
      <c r="V97" s="78">
        <v>63.633</v>
      </c>
      <c r="W97" s="84">
        <f>62.389/V97-1</f>
        <v>-0.01954960476482326</v>
      </c>
      <c r="X97" s="83">
        <f>X106+X107</f>
        <v>923.56</v>
      </c>
      <c r="AA97" s="78">
        <v>66.29</v>
      </c>
      <c r="AB97" s="84">
        <f>63.633/AA97-1</f>
        <v>-0.040081460250414924</v>
      </c>
      <c r="AC97" s="83">
        <f>AC106+AC107</f>
        <v>941.2539999999999</v>
      </c>
      <c r="AF97" s="78">
        <v>66.2025</v>
      </c>
      <c r="AG97" s="84">
        <f>66.29/AF97-1</f>
        <v>0.001321702352630183</v>
      </c>
      <c r="AH97" s="83">
        <f>AH106+AH107</f>
        <v>953.808</v>
      </c>
      <c r="AK97" s="78">
        <v>66.23</v>
      </c>
      <c r="AL97" s="84">
        <f>66.203/AK97-1</f>
        <v>-0.00040767024007248853</v>
      </c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</row>
    <row r="98" spans="1:113" s="78" customFormat="1" ht="12.75">
      <c r="A98" s="77" t="s">
        <v>225</v>
      </c>
      <c r="B98" s="94" t="s">
        <v>226</v>
      </c>
      <c r="C98" s="79"/>
      <c r="D98" s="80"/>
      <c r="E98" s="81"/>
      <c r="F98" s="82">
        <f>AH98</f>
        <v>251.237</v>
      </c>
      <c r="G98" s="85">
        <f>AD98</f>
        <v>2110.9625769419586</v>
      </c>
      <c r="H98" s="86">
        <f>AF98</f>
        <v>2.9001925909142403</v>
      </c>
      <c r="I98" s="83">
        <f>217.215</f>
        <v>217.215</v>
      </c>
      <c r="J98" s="85">
        <f>131635/L97</f>
        <v>2076.5893674081085</v>
      </c>
      <c r="M98" s="84"/>
      <c r="N98" s="83">
        <v>226.017</v>
      </c>
      <c r="O98" s="78">
        <f>134135/Q97</f>
        <v>2149.995592136371</v>
      </c>
      <c r="P98" s="87">
        <v>0.17600000000000002</v>
      </c>
      <c r="Q98" s="86">
        <v>3.2</v>
      </c>
      <c r="R98" s="84">
        <v>0.025</v>
      </c>
      <c r="S98" s="83">
        <f>230.662</f>
        <v>230.662</v>
      </c>
      <c r="T98" s="85">
        <f>137987/V97</f>
        <v>2168.481762607452</v>
      </c>
      <c r="U98" s="87">
        <v>0.192</v>
      </c>
      <c r="V98" s="86">
        <f>198/V97</f>
        <v>3.111593041346471</v>
      </c>
      <c r="W98" s="84">
        <v>0.033</v>
      </c>
      <c r="X98" s="83">
        <f>235.211</f>
        <v>235.211</v>
      </c>
      <c r="Y98" s="78">
        <f>136556/AA97</f>
        <v>2059.9788806758183</v>
      </c>
      <c r="Z98" s="87">
        <v>0.215</v>
      </c>
      <c r="AC98" s="83">
        <f>243.289</f>
        <v>243.289</v>
      </c>
      <c r="AD98" s="78">
        <f>139751/AF97</f>
        <v>2110.9625769419586</v>
      </c>
      <c r="AE98" s="87">
        <v>0.289</v>
      </c>
      <c r="AF98" s="86">
        <f>192/AF97</f>
        <v>2.9001925909142403</v>
      </c>
      <c r="AG98" s="84">
        <v>0.034</v>
      </c>
      <c r="AH98" s="83">
        <v>251.237</v>
      </c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</row>
    <row r="99" spans="1:113" s="78" customFormat="1" ht="12.75">
      <c r="A99" s="77" t="s">
        <v>227</v>
      </c>
      <c r="B99" s="88" t="s">
        <v>228</v>
      </c>
      <c r="C99" s="79"/>
      <c r="D99" s="80"/>
      <c r="E99" s="81"/>
      <c r="F99" s="82">
        <f>AH99</f>
        <v>197.946</v>
      </c>
      <c r="G99" s="85">
        <f>AD99</f>
        <v>1553.8143110585452</v>
      </c>
      <c r="H99" s="86">
        <f>AF99</f>
        <v>2.6434047052603753</v>
      </c>
      <c r="I99" s="83">
        <v>178.675</v>
      </c>
      <c r="J99" s="85">
        <f>(1103-48)/L234</f>
        <v>1612.6566799143993</v>
      </c>
      <c r="L99" s="86">
        <f>189/L97</f>
        <v>2.981542830099385</v>
      </c>
      <c r="M99" s="84"/>
      <c r="N99" s="83">
        <f>183.803</f>
        <v>183.803</v>
      </c>
      <c r="O99" s="85">
        <f>1103/Q234</f>
        <v>1638.930163447251</v>
      </c>
      <c r="R99" s="84"/>
      <c r="S99" s="83">
        <v>185.383</v>
      </c>
      <c r="T99" s="85">
        <f>(1133-48)/V234</f>
        <v>1697.6998904709749</v>
      </c>
      <c r="V99" s="86">
        <f>184/V97</f>
        <v>2.891581412160357</v>
      </c>
      <c r="W99" s="84">
        <f>0.536/12</f>
        <v>0.04466666666666667</v>
      </c>
      <c r="X99" s="83">
        <v>188.17</v>
      </c>
      <c r="Y99" s="85">
        <f>(1080-49)/AA234</f>
        <v>1583.2309582309583</v>
      </c>
      <c r="AA99" s="86">
        <f>178/AA97</f>
        <v>2.6851712173781865</v>
      </c>
      <c r="AB99" s="84">
        <f>0.53/12</f>
        <v>0.04416666666666667</v>
      </c>
      <c r="AC99" s="83">
        <v>193.6</v>
      </c>
      <c r="AD99" s="78">
        <f>(1103-52)/AF234</f>
        <v>1553.8143110585452</v>
      </c>
      <c r="AF99" s="86">
        <f>175/AF97</f>
        <v>2.6434047052603753</v>
      </c>
      <c r="AG99" s="84">
        <f>0.512/12</f>
        <v>0.042666666666666665</v>
      </c>
      <c r="AH99" s="83">
        <v>197.946</v>
      </c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</row>
    <row r="100" spans="1:113" s="78" customFormat="1" ht="12.75">
      <c r="A100" s="77" t="s">
        <v>229</v>
      </c>
      <c r="B100" s="94" t="s">
        <v>230</v>
      </c>
      <c r="C100" s="79"/>
      <c r="D100" s="80"/>
      <c r="E100" s="81"/>
      <c r="F100" s="82">
        <f>AH100</f>
        <v>175.074</v>
      </c>
      <c r="G100" s="85">
        <f>T100</f>
        <v>1382.3802115254664</v>
      </c>
      <c r="H100" s="86">
        <f>V100</f>
        <v>2.8601511794194834</v>
      </c>
      <c r="I100" s="83">
        <v>150.536</v>
      </c>
      <c r="J100" s="85">
        <f>(I100*157*3)/63.39</f>
        <v>1118.5116895409371</v>
      </c>
      <c r="L100" s="86">
        <f>179/L97</f>
        <v>2.823789241205237</v>
      </c>
      <c r="M100" s="84"/>
      <c r="N100" s="83">
        <v>157.807</v>
      </c>
      <c r="O100" s="78">
        <f>1119*1.05</f>
        <v>1174.95</v>
      </c>
      <c r="R100" s="84"/>
      <c r="S100" s="83">
        <v>162.079</v>
      </c>
      <c r="T100" s="85">
        <f>87965/V97</f>
        <v>1382.3802115254664</v>
      </c>
      <c r="U100" s="87">
        <v>0.261</v>
      </c>
      <c r="V100" s="86">
        <f>182/V97</f>
        <v>2.8601511794194834</v>
      </c>
      <c r="W100" s="84">
        <v>0.047</v>
      </c>
      <c r="X100" s="83">
        <v>166.564</v>
      </c>
      <c r="AC100" s="83">
        <v>171.912</v>
      </c>
      <c r="AG100" s="84"/>
      <c r="AH100" s="83">
        <v>175.074</v>
      </c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</row>
    <row r="101" spans="1:113" s="78" customFormat="1" ht="12.75">
      <c r="A101" s="77" t="s">
        <v>231</v>
      </c>
      <c r="B101" s="78" t="s">
        <v>232</v>
      </c>
      <c r="C101" s="79"/>
      <c r="D101" s="80"/>
      <c r="E101" s="81"/>
      <c r="F101" s="82">
        <f>AH101</f>
        <v>103.074</v>
      </c>
      <c r="G101" s="85">
        <f>J101</f>
        <v>757.0121470263448</v>
      </c>
      <c r="H101" s="86">
        <f>L101</f>
        <v>2.2401009622968924</v>
      </c>
      <c r="I101" s="83">
        <v>107.481</v>
      </c>
      <c r="J101" s="85">
        <f>47987/L97</f>
        <v>757.0121470263448</v>
      </c>
      <c r="K101" s="87">
        <f>0.248</f>
        <v>0.248</v>
      </c>
      <c r="L101" s="86">
        <f>142/L97</f>
        <v>2.2401009622968924</v>
      </c>
      <c r="M101" s="84">
        <v>0.049</v>
      </c>
      <c r="N101" s="83">
        <v>109.043</v>
      </c>
      <c r="R101" s="84"/>
      <c r="S101" s="83">
        <v>111.081</v>
      </c>
      <c r="X101" s="83">
        <v>111.548</v>
      </c>
      <c r="AC101" s="83">
        <v>107.979</v>
      </c>
      <c r="AG101" s="84"/>
      <c r="AH101" s="83">
        <v>103.074</v>
      </c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</row>
    <row r="102" spans="1:113" s="78" customFormat="1" ht="12.75">
      <c r="A102" s="77" t="s">
        <v>233</v>
      </c>
      <c r="B102" s="94" t="s">
        <v>234</v>
      </c>
      <c r="C102" s="79"/>
      <c r="D102" s="80"/>
      <c r="E102" s="81"/>
      <c r="F102" s="82">
        <f>S102</f>
        <v>77.36</v>
      </c>
      <c r="G102" s="85">
        <v>0</v>
      </c>
      <c r="H102" s="86"/>
      <c r="M102" s="84"/>
      <c r="R102" s="84"/>
      <c r="S102" s="83">
        <f>77.36</f>
        <v>77.36</v>
      </c>
      <c r="AG102" s="84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</row>
    <row r="103" spans="1:113" s="78" customFormat="1" ht="12.75">
      <c r="A103" s="77" t="s">
        <v>235</v>
      </c>
      <c r="C103" s="79"/>
      <c r="D103" s="80"/>
      <c r="E103" s="81"/>
      <c r="F103" s="82">
        <f>AH103</f>
        <v>61.988</v>
      </c>
      <c r="G103" s="85">
        <f>O103</f>
        <v>1048.9246002558532</v>
      </c>
      <c r="H103" s="85"/>
      <c r="I103" s="83">
        <v>67.781</v>
      </c>
      <c r="M103" s="84"/>
      <c r="N103" s="83">
        <v>68.152</v>
      </c>
      <c r="O103" s="113">
        <f>9715/10528*283669/(4*Q97)</f>
        <v>1048.9246002558532</v>
      </c>
      <c r="R103" s="84"/>
      <c r="S103" s="83">
        <v>63.263</v>
      </c>
      <c r="T103" s="85"/>
      <c r="X103" s="83">
        <v>63.731</v>
      </c>
      <c r="AC103" s="83">
        <v>62.605</v>
      </c>
      <c r="AG103" s="84"/>
      <c r="AH103" s="83">
        <v>61.988</v>
      </c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</row>
    <row r="104" spans="1:113" s="78" customFormat="1" ht="12.75">
      <c r="A104" s="77" t="s">
        <v>236</v>
      </c>
      <c r="B104" s="94" t="s">
        <v>237</v>
      </c>
      <c r="C104" s="79"/>
      <c r="D104" s="80"/>
      <c r="E104" s="81"/>
      <c r="F104" s="82">
        <f>AC104</f>
        <v>85.632</v>
      </c>
      <c r="G104" s="85">
        <v>0</v>
      </c>
      <c r="H104" s="85"/>
      <c r="I104" s="83">
        <v>78.673</v>
      </c>
      <c r="M104" s="84"/>
      <c r="N104" s="83">
        <v>81.395</v>
      </c>
      <c r="R104" s="84"/>
      <c r="S104" s="83">
        <v>83.049</v>
      </c>
      <c r="X104" s="83">
        <v>83.995</v>
      </c>
      <c r="AC104" s="83">
        <v>85.632</v>
      </c>
      <c r="AG104" s="84"/>
      <c r="AH104" s="83">
        <v>87.086</v>
      </c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</row>
    <row r="105" spans="1:113" s="78" customFormat="1" ht="12.75">
      <c r="A105" s="77" t="s">
        <v>238</v>
      </c>
      <c r="B105" s="94" t="s">
        <v>239</v>
      </c>
      <c r="C105" s="79"/>
      <c r="D105" s="80"/>
      <c r="E105" s="81"/>
      <c r="F105" s="82">
        <f>AH105</f>
        <v>52.454</v>
      </c>
      <c r="G105" s="85">
        <f>Y105</f>
        <v>251.88029670854482</v>
      </c>
      <c r="H105" s="86">
        <f>AA105</f>
        <v>1.4446865632110566</v>
      </c>
      <c r="I105" s="83">
        <v>43.63</v>
      </c>
      <c r="J105" s="85">
        <f>1187/(0.6725*L160)</f>
        <v>231.21890591479684</v>
      </c>
      <c r="L105" s="86">
        <f>11/L160</f>
        <v>1.4409788176113811</v>
      </c>
      <c r="M105" s="84"/>
      <c r="N105" s="83">
        <v>45.617</v>
      </c>
      <c r="R105" s="84"/>
      <c r="S105" s="83">
        <v>48.13</v>
      </c>
      <c r="X105" s="83">
        <v>47.784</v>
      </c>
      <c r="Y105" s="85">
        <f>1407/(0.6725*AA160)</f>
        <v>251.88029670854482</v>
      </c>
      <c r="AA105" s="86">
        <f>12/AA160</f>
        <v>1.4446865632110566</v>
      </c>
      <c r="AC105" s="83">
        <v>50.702</v>
      </c>
      <c r="AG105" s="84"/>
      <c r="AH105" s="83">
        <v>52.454</v>
      </c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</row>
    <row r="106" spans="1:113" s="78" customFormat="1" ht="12.75">
      <c r="A106" s="77" t="s">
        <v>240</v>
      </c>
      <c r="B106" s="114" t="s">
        <v>241</v>
      </c>
      <c r="C106" s="115"/>
      <c r="D106" s="80"/>
      <c r="E106" s="81"/>
      <c r="F106" s="82">
        <f>AH106</f>
        <v>179.884</v>
      </c>
      <c r="G106" s="82"/>
      <c r="H106" s="82"/>
      <c r="I106" s="83">
        <f>3.388422+107.481+2.737+9.035+67.781</f>
        <v>190.42242199999998</v>
      </c>
      <c r="M106" s="84"/>
      <c r="N106" s="83">
        <f>3.39+109.043+2.876+8.912+68.152</f>
        <v>192.37300000000002</v>
      </c>
      <c r="R106" s="84"/>
      <c r="S106" s="83">
        <f>3.444+111.081+3.036+8.754+63.263</f>
        <v>189.578</v>
      </c>
      <c r="X106" s="83">
        <f>3.523+111.548+3.2+8.419+63.731</f>
        <v>190.421</v>
      </c>
      <c r="AC106" s="83">
        <v>185.632</v>
      </c>
      <c r="AG106" s="84"/>
      <c r="AH106" s="83">
        <f>3.639+103.074+3.38+7.803+61.988</f>
        <v>179.884</v>
      </c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</row>
    <row r="107" spans="1:113" s="78" customFormat="1" ht="12.75">
      <c r="A107" s="77" t="s">
        <v>242</v>
      </c>
      <c r="C107" s="79"/>
      <c r="D107" s="80"/>
      <c r="E107" s="81"/>
      <c r="F107" s="82">
        <f>AH107</f>
        <v>773.924</v>
      </c>
      <c r="G107" s="116"/>
      <c r="H107" s="116"/>
      <c r="I107" s="83">
        <v>678.545</v>
      </c>
      <c r="M107" s="84"/>
      <c r="N107" s="78">
        <v>705.198</v>
      </c>
      <c r="R107" s="84"/>
      <c r="S107" s="83">
        <v>720.376</v>
      </c>
      <c r="X107" s="83">
        <v>733.139</v>
      </c>
      <c r="AC107" s="83">
        <v>755.622</v>
      </c>
      <c r="AG107" s="84"/>
      <c r="AH107" s="83">
        <v>773.924</v>
      </c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</row>
    <row r="108" spans="1:113" s="27" customFormat="1" ht="12.75">
      <c r="A108" s="26" t="s">
        <v>24</v>
      </c>
      <c r="C108" s="28">
        <f>POPS!$C$74</f>
        <v>255.993</v>
      </c>
      <c r="D108" s="91">
        <f>POPS!E74</f>
        <v>2676</v>
      </c>
      <c r="E108" s="31">
        <f>F108/C108</f>
        <v>1.2341346230615817</v>
      </c>
      <c r="F108" s="38">
        <f>S108</f>
        <v>315.9298245614035</v>
      </c>
      <c r="G108" s="92">
        <f>SUM(G109:G112)</f>
        <v>2401.5183132001757</v>
      </c>
      <c r="H108" s="92">
        <f>D108*AG108</f>
        <v>28.23968196602797</v>
      </c>
      <c r="L108" s="27">
        <v>12660.4502</v>
      </c>
      <c r="M108" s="106">
        <f>12187/L108-1</f>
        <v>-0.03739600034128321</v>
      </c>
      <c r="N108" s="30">
        <f>141.461/0.456</f>
        <v>310.2214912280702</v>
      </c>
      <c r="Q108" s="27">
        <v>13052.5</v>
      </c>
      <c r="R108" s="106">
        <f>12660/Q108-1</f>
        <v>-0.030070867649875543</v>
      </c>
      <c r="S108" s="27">
        <f>144.064/0.456</f>
        <v>315.9298245614035</v>
      </c>
      <c r="V108" s="27">
        <v>13342.5</v>
      </c>
      <c r="W108" s="106">
        <f>13053/V108-1</f>
        <v>-0.02169758291174817</v>
      </c>
      <c r="AA108" s="27">
        <v>13981</v>
      </c>
      <c r="AB108" s="106">
        <f>13343/AA108-1</f>
        <v>-0.045633359559402065</v>
      </c>
      <c r="AF108" s="27">
        <v>13835</v>
      </c>
      <c r="AG108" s="106">
        <f>13981/AF108-1</f>
        <v>0.010552945428261573</v>
      </c>
      <c r="AK108" s="27">
        <v>13147.5</v>
      </c>
      <c r="AL108" s="106">
        <f>13835/AK108-1</f>
        <v>0.05229131013500665</v>
      </c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</row>
    <row r="109" spans="1:113" s="27" customFormat="1" ht="12.75">
      <c r="A109" s="26" t="s">
        <v>243</v>
      </c>
      <c r="B109" s="108" t="s">
        <v>244</v>
      </c>
      <c r="C109" s="28"/>
      <c r="D109" s="91"/>
      <c r="E109" s="31"/>
      <c r="F109" s="38">
        <f>AC109</f>
        <v>152.64</v>
      </c>
      <c r="G109" s="92">
        <f>AD109</f>
        <v>1250</v>
      </c>
      <c r="H109" s="93"/>
      <c r="I109" s="30">
        <v>140.685</v>
      </c>
      <c r="J109" s="92">
        <f>(273/0.35)/L197</f>
        <v>583.7012646860734</v>
      </c>
      <c r="M109" s="106"/>
      <c r="N109" s="30">
        <v>141.461</v>
      </c>
      <c r="P109" s="107">
        <f>64/141</f>
        <v>0.45390070921985815</v>
      </c>
      <c r="R109" s="106"/>
      <c r="S109" s="30">
        <v>144.064</v>
      </c>
      <c r="T109" s="92">
        <f>(248/0.35)/V197</f>
        <v>524.9454945706242</v>
      </c>
      <c r="X109" s="30">
        <v>148.56</v>
      </c>
      <c r="Y109" s="92">
        <f>1059*1.18</f>
        <v>1249.62</v>
      </c>
      <c r="AC109" s="30">
        <v>152.64</v>
      </c>
      <c r="AD109" s="27">
        <v>1250</v>
      </c>
      <c r="AG109" s="106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</row>
    <row r="110" spans="1:113" s="27" customFormat="1" ht="12.75">
      <c r="A110" s="26" t="s">
        <v>245</v>
      </c>
      <c r="B110" s="108" t="s">
        <v>246</v>
      </c>
      <c r="C110" s="28"/>
      <c r="D110" s="91"/>
      <c r="E110" s="31"/>
      <c r="F110" s="38">
        <f>S110</f>
        <v>68.5</v>
      </c>
      <c r="G110" s="92">
        <f>O110</f>
        <v>577.8910612467403</v>
      </c>
      <c r="H110" s="93">
        <f>Q110</f>
        <v>1.838728212986018</v>
      </c>
      <c r="I110" s="27">
        <v>63.2</v>
      </c>
      <c r="M110" s="106"/>
      <c r="N110" s="27">
        <v>66.5</v>
      </c>
      <c r="O110" s="92">
        <f>4902900/(0.65*Q108)</f>
        <v>577.8910612467403</v>
      </c>
      <c r="Q110" s="93">
        <f>24000/Q108</f>
        <v>1.838728212986018</v>
      </c>
      <c r="R110" s="106"/>
      <c r="S110" s="27">
        <v>68.5</v>
      </c>
      <c r="T110" s="92">
        <f>5320700/(0.65*V108)</f>
        <v>613.5051382943457</v>
      </c>
      <c r="V110" s="93">
        <f>25300/V108</f>
        <v>1.8961963649990632</v>
      </c>
      <c r="X110" s="30">
        <v>69</v>
      </c>
      <c r="Y110" s="92">
        <f>5374/(3*3.6384)</f>
        <v>492.3409557314571</v>
      </c>
      <c r="AG110" s="106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</row>
    <row r="111" spans="1:113" s="27" customFormat="1" ht="12.75">
      <c r="A111" s="26" t="s">
        <v>247</v>
      </c>
      <c r="B111" s="109" t="s">
        <v>107</v>
      </c>
      <c r="C111" s="28"/>
      <c r="D111" s="91"/>
      <c r="E111" s="31"/>
      <c r="F111" s="38">
        <f>AC111</f>
        <v>41.902</v>
      </c>
      <c r="G111" s="92">
        <f>AD111</f>
        <v>431.8033971810625</v>
      </c>
      <c r="H111" s="93">
        <f>AF111</f>
        <v>2.9634983736899168</v>
      </c>
      <c r="I111" s="30">
        <f>59.643</f>
        <v>59.643</v>
      </c>
      <c r="J111" s="92">
        <f>5933000/L108</f>
        <v>468.6247255251634</v>
      </c>
      <c r="L111" s="93">
        <f>28000/L108</f>
        <v>2.2116117166196823</v>
      </c>
      <c r="M111" s="106"/>
      <c r="N111" s="30">
        <v>52.147</v>
      </c>
      <c r="O111" s="92">
        <f>5499000/Q108</f>
        <v>421.29860180042135</v>
      </c>
      <c r="P111" s="107">
        <v>0.3</v>
      </c>
      <c r="Q111" s="93">
        <f>28000/Q108</f>
        <v>2.1451829151503543</v>
      </c>
      <c r="R111" s="106"/>
      <c r="S111" s="30">
        <v>45.983</v>
      </c>
      <c r="T111" s="92">
        <f>5632000/V108</f>
        <v>422.1097995128349</v>
      </c>
      <c r="U111" s="107">
        <v>0.26</v>
      </c>
      <c r="V111" s="93">
        <f>32000/V108</f>
        <v>2.398351133595653</v>
      </c>
      <c r="X111" s="30">
        <v>41.469</v>
      </c>
      <c r="Y111" s="92">
        <f>5855000/AA108</f>
        <v>418.78263357413636</v>
      </c>
      <c r="Z111" s="107">
        <v>0.26</v>
      </c>
      <c r="AA111" s="93">
        <f>38000/AA108</f>
        <v>2.7179743938201844</v>
      </c>
      <c r="AC111" s="30">
        <v>41.902</v>
      </c>
      <c r="AD111" s="92">
        <f>5974000/AF108</f>
        <v>431.8033971810625</v>
      </c>
      <c r="AE111" s="107">
        <v>0.3</v>
      </c>
      <c r="AF111" s="93">
        <f>41000/AF108</f>
        <v>2.9634983736899168</v>
      </c>
      <c r="AG111" s="106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</row>
    <row r="112" spans="1:113" s="27" customFormat="1" ht="12.75">
      <c r="A112" s="26" t="s">
        <v>248</v>
      </c>
      <c r="B112" s="117" t="s">
        <v>249</v>
      </c>
      <c r="C112" s="28"/>
      <c r="D112" s="91"/>
      <c r="E112" s="31"/>
      <c r="F112" s="38">
        <f>S112</f>
        <v>57.3</v>
      </c>
      <c r="G112" s="92">
        <f>J112</f>
        <v>141.82385477237273</v>
      </c>
      <c r="H112" s="92"/>
      <c r="I112" s="27">
        <v>43.1</v>
      </c>
      <c r="J112" s="92">
        <f>1100/L46</f>
        <v>141.82385477237273</v>
      </c>
      <c r="M112" s="106"/>
      <c r="R112" s="106"/>
      <c r="S112" s="27">
        <v>57.3</v>
      </c>
      <c r="AG112" s="106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</row>
    <row r="113" spans="1:38" s="33" customFormat="1" ht="12.75">
      <c r="A113" s="32" t="s">
        <v>250</v>
      </c>
      <c r="B113" s="118" t="s">
        <v>251</v>
      </c>
      <c r="C113" s="34">
        <f>POPS!$C$75</f>
        <v>81.824</v>
      </c>
      <c r="D113" s="119">
        <f>POPS!E75</f>
        <v>1334</v>
      </c>
      <c r="E113" s="36">
        <f>F113/C113</f>
        <v>1.4560764567852953</v>
      </c>
      <c r="F113" s="37">
        <f>SUM(F114:F115)</f>
        <v>119.142</v>
      </c>
      <c r="G113" s="120"/>
      <c r="H113" s="120">
        <f>D113*AG113</f>
        <v>-7.615772703133264</v>
      </c>
      <c r="I113" s="35">
        <f>44/0.465</f>
        <v>94.6236559139785</v>
      </c>
      <c r="L113" s="33">
        <v>27203.5</v>
      </c>
      <c r="M113" s="121">
        <f>26693/L113-1</f>
        <v>-0.018765967614461365</v>
      </c>
      <c r="Q113" s="33">
        <v>28085</v>
      </c>
      <c r="R113" s="121">
        <f>27203.5/Q113-1</f>
        <v>-0.031386861313868586</v>
      </c>
      <c r="S113" s="35">
        <f>44.1/0.465</f>
        <v>94.83870967741936</v>
      </c>
      <c r="V113" s="33">
        <v>29360</v>
      </c>
      <c r="W113" s="121">
        <f>28085/V113-1</f>
        <v>-0.04342643051771122</v>
      </c>
      <c r="AA113" s="33">
        <v>29956</v>
      </c>
      <c r="AB113" s="121">
        <f>29360/AA113-1</f>
        <v>-0.0198958472426225</v>
      </c>
      <c r="AF113" s="33">
        <v>30128</v>
      </c>
      <c r="AG113" s="121">
        <f>29956/AF113-1</f>
        <v>-0.005708975039830033</v>
      </c>
      <c r="AK113" s="33">
        <v>30260</v>
      </c>
      <c r="AL113" s="121">
        <f>30128/AK113-1</f>
        <v>-0.004362194315928658</v>
      </c>
    </row>
    <row r="114" spans="1:33" s="33" customFormat="1" ht="12.75">
      <c r="A114" s="32" t="s">
        <v>252</v>
      </c>
      <c r="B114" s="122" t="s">
        <v>253</v>
      </c>
      <c r="C114" s="34"/>
      <c r="D114" s="119"/>
      <c r="E114" s="36"/>
      <c r="F114" s="37">
        <f>X114</f>
        <v>73</v>
      </c>
      <c r="G114" s="120"/>
      <c r="H114" s="120"/>
      <c r="I114" s="35">
        <f>94.6*0.4831</f>
        <v>45.70126</v>
      </c>
      <c r="M114" s="121"/>
      <c r="R114" s="121"/>
      <c r="X114" s="35">
        <v>73</v>
      </c>
      <c r="AG114" s="121"/>
    </row>
    <row r="115" spans="1:33" s="33" customFormat="1" ht="12.75">
      <c r="A115" s="32" t="s">
        <v>254</v>
      </c>
      <c r="B115" s="118"/>
      <c r="C115" s="34"/>
      <c r="D115" s="119"/>
      <c r="E115" s="36"/>
      <c r="F115" s="37">
        <f>AC115</f>
        <v>46.142</v>
      </c>
      <c r="G115" s="120">
        <f>AD115</f>
        <v>466.6016545791544</v>
      </c>
      <c r="H115" s="123">
        <f>AF115</f>
        <v>3.61</v>
      </c>
      <c r="I115" s="35">
        <v>44</v>
      </c>
      <c r="J115" s="120">
        <f>516*1.143</f>
        <v>589.788</v>
      </c>
      <c r="K115" s="124">
        <v>0.17600000000000002</v>
      </c>
      <c r="M115" s="121"/>
      <c r="R115" s="121"/>
      <c r="S115" s="33">
        <v>44.1</v>
      </c>
      <c r="T115" s="120">
        <f>531*1.13</f>
        <v>600.03</v>
      </c>
      <c r="X115" s="35">
        <v>45.464</v>
      </c>
      <c r="Y115" s="120">
        <f>45.464*3*3.87</f>
        <v>527.83704</v>
      </c>
      <c r="Z115" s="124">
        <v>0.285</v>
      </c>
      <c r="AA115" s="123">
        <f>116024/AA113</f>
        <v>3.873147282681266</v>
      </c>
      <c r="AC115" s="35">
        <v>46.142</v>
      </c>
      <c r="AD115" s="120">
        <f>7225/(AF200)</f>
        <v>466.6016545791544</v>
      </c>
      <c r="AF115" s="33">
        <v>3.61</v>
      </c>
      <c r="AG115" s="121"/>
    </row>
    <row r="116" spans="1:38" s="27" customFormat="1" ht="12.75">
      <c r="A116" s="26" t="s">
        <v>255</v>
      </c>
      <c r="C116" s="28">
        <f>POPS!$C$76</f>
        <v>37.056</v>
      </c>
      <c r="D116" s="66">
        <f>POPS!E76</f>
        <v>522.7</v>
      </c>
      <c r="E116" s="31">
        <f>F116/C116</f>
        <v>0.7324821120157909</v>
      </c>
      <c r="F116" s="38">
        <f>X116</f>
        <v>27.142857142857146</v>
      </c>
      <c r="G116" s="38"/>
      <c r="H116" s="30">
        <f>D116*AG116</f>
        <v>17.657826754584086</v>
      </c>
      <c r="L116" s="27">
        <v>1151.7999</v>
      </c>
      <c r="M116" s="106">
        <f>1160.9/L116-1</f>
        <v>0.007900764707480912</v>
      </c>
      <c r="N116" s="30">
        <f>13.5/0.43</f>
        <v>31.3953488372093</v>
      </c>
      <c r="Q116" s="27">
        <v>1164.95</v>
      </c>
      <c r="R116" s="106">
        <f>1151.8/Q116-1</f>
        <v>-0.011288038113223875</v>
      </c>
      <c r="S116" s="30">
        <f>12.8/0.43</f>
        <v>29.76744186046512</v>
      </c>
      <c r="V116" s="27">
        <v>1162.6</v>
      </c>
      <c r="W116" s="106">
        <f>1165/V116-1</f>
        <v>0.0020643385515224377</v>
      </c>
      <c r="X116" s="30">
        <f>11.4/0.42</f>
        <v>27.142857142857146</v>
      </c>
      <c r="AA116" s="27">
        <v>1144.5499</v>
      </c>
      <c r="AB116" s="106">
        <f>1162.6/AA116-1</f>
        <v>0.01577047885810834</v>
      </c>
      <c r="AF116" s="27">
        <v>1107.1</v>
      </c>
      <c r="AG116" s="106">
        <f>1144.5/AF116-1</f>
        <v>0.0337819528497878</v>
      </c>
      <c r="AK116" s="27">
        <v>1107.1</v>
      </c>
      <c r="AL116" s="27">
        <f>1107.1/AK116-1</f>
        <v>0</v>
      </c>
    </row>
    <row r="117" spans="1:33" s="27" customFormat="1" ht="12.75">
      <c r="A117" s="26" t="s">
        <v>256</v>
      </c>
      <c r="B117" s="108" t="s">
        <v>257</v>
      </c>
      <c r="C117" s="28"/>
      <c r="D117" s="66"/>
      <c r="E117" s="31"/>
      <c r="F117" s="38">
        <f>X117</f>
        <v>11.4</v>
      </c>
      <c r="G117" s="92">
        <f>Y117</f>
        <v>400.2886415643852</v>
      </c>
      <c r="H117" s="93">
        <f>AA117</f>
        <v>8</v>
      </c>
      <c r="I117" s="27">
        <v>13.8</v>
      </c>
      <c r="J117" s="92">
        <f>1601/(0.76*4)</f>
        <v>526.6447368421052</v>
      </c>
      <c r="L117" s="93">
        <v>9</v>
      </c>
      <c r="M117" s="106"/>
      <c r="N117" s="27">
        <v>13.5</v>
      </c>
      <c r="O117" s="27">
        <f>304/0.76</f>
        <v>400</v>
      </c>
      <c r="Q117" s="93">
        <v>7</v>
      </c>
      <c r="R117" s="106"/>
      <c r="S117" s="27">
        <v>12.8</v>
      </c>
      <c r="T117" s="92">
        <f>300/0.76</f>
        <v>394.7368421052632</v>
      </c>
      <c r="V117" s="93">
        <v>8</v>
      </c>
      <c r="X117" s="27">
        <v>11.4</v>
      </c>
      <c r="Y117" s="92">
        <f>277.083/(3*0.76*0.3036)</f>
        <v>400.2886415643852</v>
      </c>
      <c r="AA117" s="93">
        <v>8</v>
      </c>
      <c r="AG117" s="106"/>
    </row>
    <row r="118" spans="1:33" s="27" customFormat="1" ht="12.75">
      <c r="A118" s="26" t="s">
        <v>258</v>
      </c>
      <c r="B118" s="108" t="s">
        <v>259</v>
      </c>
      <c r="C118" s="28"/>
      <c r="D118" s="66"/>
      <c r="E118" s="31"/>
      <c r="F118" s="38">
        <f>X118</f>
        <v>10.6</v>
      </c>
      <c r="G118" s="92">
        <f>Y118</f>
        <v>340.0762239812372</v>
      </c>
      <c r="H118" s="93"/>
      <c r="M118" s="106"/>
      <c r="R118" s="106"/>
      <c r="X118" s="27">
        <v>10.6</v>
      </c>
      <c r="Y118" s="92">
        <f>3712/(3*3.6384)</f>
        <v>340.0762239812372</v>
      </c>
      <c r="AG118" s="106"/>
    </row>
    <row r="119" spans="1:33" s="27" customFormat="1" ht="12.75">
      <c r="A119" s="26" t="s">
        <v>260</v>
      </c>
      <c r="C119" s="28"/>
      <c r="D119" s="66"/>
      <c r="E119" s="31"/>
      <c r="F119" s="38">
        <f>X119</f>
        <v>6.99</v>
      </c>
      <c r="G119" s="92"/>
      <c r="H119" s="93"/>
      <c r="M119" s="106"/>
      <c r="N119" s="30">
        <f>1.283/0.2</f>
        <v>6.414999999999999</v>
      </c>
      <c r="R119" s="106"/>
      <c r="X119" s="30">
        <f>1.398/0.2</f>
        <v>6.99</v>
      </c>
      <c r="AG119" s="106"/>
    </row>
    <row r="120" spans="1:38" s="33" customFormat="1" ht="12.75">
      <c r="A120" s="32" t="s">
        <v>261</v>
      </c>
      <c r="C120" s="34">
        <f>POPS!$C$78</f>
        <v>8.049</v>
      </c>
      <c r="D120" s="119">
        <f>POPS!E78</f>
        <v>268.5</v>
      </c>
      <c r="E120" s="36">
        <f>F120/C120</f>
        <v>1.404441275448746</v>
      </c>
      <c r="F120" s="37">
        <f>X120</f>
        <v>11.304347826086957</v>
      </c>
      <c r="G120" s="37"/>
      <c r="H120" s="35">
        <f>D120*AG120</f>
        <v>2.3125128547922635</v>
      </c>
      <c r="L120" s="33">
        <v>3.9437</v>
      </c>
      <c r="M120" s="121">
        <f>3.6804/L120-1</f>
        <v>-0.06676471334026424</v>
      </c>
      <c r="Q120" s="33">
        <v>3.9769</v>
      </c>
      <c r="R120" s="121">
        <f>3.9437/Q120-1</f>
        <v>-0.008348210918051713</v>
      </c>
      <c r="V120" s="33">
        <v>3.7889</v>
      </c>
      <c r="W120" s="121">
        <f>3.9769/V120-1</f>
        <v>0.04961862281928786</v>
      </c>
      <c r="X120" s="35">
        <f>2.6/0.23</f>
        <v>11.304347826086957</v>
      </c>
      <c r="AA120" s="33">
        <v>3.9231</v>
      </c>
      <c r="AB120" s="121">
        <f>3.7889/AA120-1</f>
        <v>-0.03420764191583181</v>
      </c>
      <c r="AF120" s="33">
        <v>3.8896</v>
      </c>
      <c r="AG120" s="121">
        <f>3.9231/AF120-1</f>
        <v>0.008612710818593161</v>
      </c>
      <c r="AK120" s="33">
        <v>3.7738</v>
      </c>
      <c r="AL120" s="121">
        <f>3.8896/AK120-1</f>
        <v>0.030685250940696518</v>
      </c>
    </row>
    <row r="121" spans="1:33" s="33" customFormat="1" ht="12.75">
      <c r="A121" s="32" t="s">
        <v>262</v>
      </c>
      <c r="B121" s="33" t="s">
        <v>263</v>
      </c>
      <c r="C121" s="34"/>
      <c r="D121" s="119"/>
      <c r="E121" s="36"/>
      <c r="F121" s="37">
        <f>AC121</f>
        <v>2.835</v>
      </c>
      <c r="G121" s="120">
        <f>Y121</f>
        <v>212.33208432107264</v>
      </c>
      <c r="H121" s="123">
        <f>AA121</f>
        <v>16.823430450409116</v>
      </c>
      <c r="I121" s="35">
        <v>2.967</v>
      </c>
      <c r="J121" s="120">
        <f>930/L120</f>
        <v>235.8191546010092</v>
      </c>
      <c r="L121" s="123">
        <f>67.8/L120</f>
        <v>17.191977077363894</v>
      </c>
      <c r="M121" s="121">
        <f>0.115/3</f>
        <v>0.03833333333333334</v>
      </c>
      <c r="R121" s="121"/>
      <c r="S121" s="35">
        <v>2.848</v>
      </c>
      <c r="T121" s="120">
        <f>850/V120</f>
        <v>224.33951806592944</v>
      </c>
      <c r="V121" s="123">
        <f>65.5/V120</f>
        <v>17.28733933331574</v>
      </c>
      <c r="W121" s="121">
        <f>0.102/3</f>
        <v>0.034</v>
      </c>
      <c r="X121" s="35">
        <v>2.832</v>
      </c>
      <c r="Y121" s="120">
        <f>833/AA120</f>
        <v>212.33208432107264</v>
      </c>
      <c r="AA121" s="123">
        <f>66/AA120</f>
        <v>16.823430450409116</v>
      </c>
      <c r="AB121" s="121">
        <f>0.101/3</f>
        <v>0.03366666666666667</v>
      </c>
      <c r="AC121" s="35">
        <v>2.835</v>
      </c>
      <c r="AG121" s="121"/>
    </row>
    <row r="122" spans="1:33" s="33" customFormat="1" ht="12.75">
      <c r="A122" s="32" t="s">
        <v>264</v>
      </c>
      <c r="B122" s="125" t="s">
        <v>265</v>
      </c>
      <c r="C122" s="34"/>
      <c r="D122" s="119"/>
      <c r="E122" s="36"/>
      <c r="F122" s="37">
        <f>X122</f>
        <v>2.566</v>
      </c>
      <c r="G122" s="120">
        <f>Y122</f>
        <v>221</v>
      </c>
      <c r="H122" s="123">
        <f>AA122</f>
        <v>16.56852998903928</v>
      </c>
      <c r="M122" s="121"/>
      <c r="R122" s="121"/>
      <c r="S122" s="35">
        <f>2.556+0.638</f>
        <v>3.194</v>
      </c>
      <c r="T122" s="120">
        <f>(721+439)/V120</f>
        <v>306.1574599487978</v>
      </c>
      <c r="V122" s="123">
        <f>(2.556*65+0.638*230)/((2.556+0.638)*V120)</f>
        <v>25.8541192723371</v>
      </c>
      <c r="W122" s="121">
        <f>(2.556*0.061+0.638*0.031)/(2.556+0.638)</f>
        <v>0.055007514088916715</v>
      </c>
      <c r="X122" s="35">
        <v>2.566</v>
      </c>
      <c r="Y122" s="33">
        <f>663/3</f>
        <v>221</v>
      </c>
      <c r="AA122" s="123">
        <f>65/AA120</f>
        <v>16.56852998903928</v>
      </c>
      <c r="AG122" s="121"/>
    </row>
    <row r="123" spans="1:33" s="33" customFormat="1" ht="12.75">
      <c r="A123" s="32" t="s">
        <v>266</v>
      </c>
      <c r="B123" s="126" t="s">
        <v>267</v>
      </c>
      <c r="C123" s="34"/>
      <c r="D123" s="119"/>
      <c r="E123" s="36"/>
      <c r="F123" s="37">
        <f>X123</f>
        <v>2.7439</v>
      </c>
      <c r="G123" s="120">
        <f>Y123</f>
        <v>209.2732787846346</v>
      </c>
      <c r="H123" s="123">
        <f>AA123</f>
        <v>18.09793275725829</v>
      </c>
      <c r="M123" s="121"/>
      <c r="R123" s="121"/>
      <c r="S123" s="35">
        <f>2.11+0.635</f>
        <v>2.745</v>
      </c>
      <c r="T123" s="120">
        <f>(581+287)/V120</f>
        <v>229.09023727203146</v>
      </c>
      <c r="V123" s="123">
        <f>70/V120</f>
        <v>18.475019134841247</v>
      </c>
      <c r="W123" s="121">
        <f>0.109/3</f>
        <v>0.036333333333333336</v>
      </c>
      <c r="X123" s="35">
        <v>2.7439</v>
      </c>
      <c r="Y123" s="120">
        <f>821/AA120</f>
        <v>209.2732787846346</v>
      </c>
      <c r="AA123" s="123">
        <f>71/AA120</f>
        <v>18.09793275725829</v>
      </c>
      <c r="AB123" s="121">
        <f>0.108/3</f>
        <v>0.036</v>
      </c>
      <c r="AG123" s="121"/>
    </row>
    <row r="124" spans="1:38" s="27" customFormat="1" ht="12.75">
      <c r="A124" s="26" t="s">
        <v>25</v>
      </c>
      <c r="C124" s="28">
        <f>POPS!$C$79</f>
        <v>61.855</v>
      </c>
      <c r="D124" s="91">
        <f>POPS!E79</f>
        <v>2128</v>
      </c>
      <c r="E124" s="31">
        <f>F124/C124</f>
        <v>1.3613612480801878</v>
      </c>
      <c r="F124" s="38">
        <f>SUM(F125:F128)</f>
        <v>84.20700000000001</v>
      </c>
      <c r="G124" s="92">
        <f>SUM(G125:G128)</f>
        <v>3914.5025938781428</v>
      </c>
      <c r="H124" s="92">
        <f>D124*AG124</f>
        <v>-71.35808383233532</v>
      </c>
      <c r="L124" s="27">
        <v>0.8375</v>
      </c>
      <c r="M124" s="106">
        <f>0.7928/L124-1</f>
        <v>-0.05337313432835811</v>
      </c>
      <c r="Q124" s="27">
        <v>0.9282</v>
      </c>
      <c r="R124" s="106">
        <f>0.8375/Q124-1</f>
        <v>-0.09771600948071535</v>
      </c>
      <c r="V124" s="27">
        <v>0.9015000000000001</v>
      </c>
      <c r="W124" s="106">
        <f>0.9282/V124-1</f>
        <v>0.02961730449251232</v>
      </c>
      <c r="AA124" s="27">
        <v>0.8877</v>
      </c>
      <c r="AB124" s="106">
        <f>0.9015/AA124-1</f>
        <v>0.01554579249746535</v>
      </c>
      <c r="AF124" s="27">
        <v>0.9185000000000001</v>
      </c>
      <c r="AG124" s="106">
        <f>0.8877/AF124-1</f>
        <v>-0.033532934131736525</v>
      </c>
      <c r="AK124" s="27">
        <v>0.8777</v>
      </c>
      <c r="AL124" s="106">
        <f>0.9185/AK124-1</f>
        <v>0.046485131593938744</v>
      </c>
    </row>
    <row r="125" spans="1:33" s="27" customFormat="1" ht="12.75">
      <c r="A125" s="26" t="s">
        <v>268</v>
      </c>
      <c r="B125" s="108" t="s">
        <v>269</v>
      </c>
      <c r="C125" s="28"/>
      <c r="D125" s="91"/>
      <c r="E125" s="31"/>
      <c r="F125" s="38">
        <f>X125</f>
        <v>30.023</v>
      </c>
      <c r="G125" s="92">
        <f>Y125</f>
        <v>1467.83823363749</v>
      </c>
      <c r="H125" s="93">
        <f>AA125</f>
        <v>14.081333783936014</v>
      </c>
      <c r="I125" s="30">
        <v>30.025</v>
      </c>
      <c r="J125" s="92">
        <f>1368/L124</f>
        <v>1633.4328358208954</v>
      </c>
      <c r="L125" s="93">
        <f>12.7/L124</f>
        <v>15.164179104477611</v>
      </c>
      <c r="M125" s="106">
        <f>0.059/3</f>
        <v>0.01966666666666667</v>
      </c>
      <c r="O125" s="27">
        <f>(1151)/Q124</f>
        <v>1240.0344753285929</v>
      </c>
      <c r="R125" s="106"/>
      <c r="S125" s="30">
        <v>30.075</v>
      </c>
      <c r="T125" s="92">
        <f>1236/V124</f>
        <v>1371.0482529118135</v>
      </c>
      <c r="V125" s="93">
        <f>11.9/V124</f>
        <v>13.200221852468108</v>
      </c>
      <c r="X125" s="30">
        <v>30.023</v>
      </c>
      <c r="Y125" s="92">
        <f>1303/AA124</f>
        <v>1467.83823363749</v>
      </c>
      <c r="AA125" s="93">
        <f>12.5/AA124</f>
        <v>14.081333783936014</v>
      </c>
      <c r="AB125" s="106">
        <f>0.058/3</f>
        <v>0.019333333333333334</v>
      </c>
      <c r="AG125" s="106"/>
    </row>
    <row r="126" spans="1:33" s="27" customFormat="1" ht="12.75">
      <c r="A126" s="26" t="s">
        <v>270</v>
      </c>
      <c r="C126" s="28"/>
      <c r="D126" s="91"/>
      <c r="E126" s="31"/>
      <c r="F126" s="38">
        <f>AC126</f>
        <v>24.404</v>
      </c>
      <c r="G126" s="92">
        <f>AD126</f>
        <v>1162.0342992312242</v>
      </c>
      <c r="H126" s="93">
        <f>AF126</f>
        <v>15.242242787152966</v>
      </c>
      <c r="I126" s="30">
        <v>25.507</v>
      </c>
      <c r="J126" s="92">
        <f>858/L234</f>
        <v>1311.525527361663</v>
      </c>
      <c r="L126" s="93">
        <f>13.3/L124</f>
        <v>15.880597014925373</v>
      </c>
      <c r="M126" s="106"/>
      <c r="N126" s="30">
        <v>25.17</v>
      </c>
      <c r="O126" s="92">
        <f>783/Q234</f>
        <v>1163.447251114413</v>
      </c>
      <c r="R126" s="106"/>
      <c r="S126" s="30">
        <f>25.17-0.076-0.217</f>
        <v>24.877000000000002</v>
      </c>
      <c r="T126" s="92">
        <f>(914-151)/V234</f>
        <v>1193.8663745892661</v>
      </c>
      <c r="V126" s="93">
        <f>13.3/V124</f>
        <v>14.753189129229062</v>
      </c>
      <c r="W126" s="106">
        <f>0.302/12</f>
        <v>0.025166666666666667</v>
      </c>
      <c r="X126" s="30">
        <v>24.67</v>
      </c>
      <c r="Y126" s="92">
        <f>(940-149)/AA234</f>
        <v>1214.6805896805897</v>
      </c>
      <c r="AA126" s="93">
        <f>13.8/AA203</f>
        <v>15.54579249746536</v>
      </c>
      <c r="AB126" s="106">
        <f>0.294/12</f>
        <v>0.024499999999999997</v>
      </c>
      <c r="AC126" s="30">
        <v>24.404</v>
      </c>
      <c r="AD126" s="27">
        <f>(932-146)/AF234</f>
        <v>1162.0342992312242</v>
      </c>
      <c r="AF126" s="93">
        <f>14/AF124</f>
        <v>15.242242787152966</v>
      </c>
      <c r="AG126" s="106">
        <f>0.297/12</f>
        <v>0.024749999999999998</v>
      </c>
    </row>
    <row r="127" spans="1:38" s="27" customFormat="1" ht="12.75">
      <c r="A127" s="26" t="s">
        <v>271</v>
      </c>
      <c r="B127" s="28" t="s">
        <v>272</v>
      </c>
      <c r="D127" s="91"/>
      <c r="E127" s="31"/>
      <c r="F127" s="38">
        <f>AH127</f>
        <v>20.9</v>
      </c>
      <c r="G127" s="92">
        <f>AI127</f>
        <v>796</v>
      </c>
      <c r="H127" s="93">
        <f>AK127</f>
        <v>12.532756066993278</v>
      </c>
      <c r="I127" s="27">
        <v>21.6</v>
      </c>
      <c r="J127" s="92">
        <f>820/L124</f>
        <v>979.1044776119403</v>
      </c>
      <c r="L127" s="93">
        <f>11.4/L124</f>
        <v>13.611940298507463</v>
      </c>
      <c r="M127" s="106"/>
      <c r="N127" s="27">
        <v>21.4</v>
      </c>
      <c r="O127" s="92">
        <v>794</v>
      </c>
      <c r="P127" s="107">
        <f>4.5/10.9</f>
        <v>0.4128440366972477</v>
      </c>
      <c r="Q127" s="93">
        <f>10.9/Q124</f>
        <v>11.743158801982332</v>
      </c>
      <c r="R127" s="106"/>
      <c r="S127" s="30">
        <v>21.4</v>
      </c>
      <c r="T127" s="92">
        <f>800/V124</f>
        <v>887.4098724348307</v>
      </c>
      <c r="U127" s="107">
        <f>4.5/11.2</f>
        <v>0.4017857142857143</v>
      </c>
      <c r="V127" s="93">
        <f>11.2/V124</f>
        <v>12.42373821408763</v>
      </c>
      <c r="W127" s="106">
        <f>0.252/12</f>
        <v>0.021</v>
      </c>
      <c r="X127" s="27">
        <v>21.3</v>
      </c>
      <c r="Y127" s="92">
        <f>752/AA124</f>
        <v>847.1330404415905</v>
      </c>
      <c r="AA127" s="93">
        <f>11.6/AA124</f>
        <v>13.06747775149262</v>
      </c>
      <c r="AC127" s="27">
        <v>21.1</v>
      </c>
      <c r="AD127" s="27">
        <v>963</v>
      </c>
      <c r="AE127" s="107">
        <f>199/963</f>
        <v>0.2066458982346833</v>
      </c>
      <c r="AF127" s="93">
        <v>12.5</v>
      </c>
      <c r="AG127" s="106">
        <f>0.288/12</f>
        <v>0.024000000000000004</v>
      </c>
      <c r="AH127" s="27">
        <v>20.9</v>
      </c>
      <c r="AI127" s="27">
        <v>796</v>
      </c>
      <c r="AJ127" s="107">
        <f>4.8/11</f>
        <v>0.43636363636363634</v>
      </c>
      <c r="AK127" s="93">
        <f>11/AK124</f>
        <v>12.532756066993278</v>
      </c>
      <c r="AL127" s="106">
        <f>0.303/12</f>
        <v>0.025249999999999998</v>
      </c>
    </row>
    <row r="128" spans="1:33" s="27" customFormat="1" ht="12.75">
      <c r="A128" s="26" t="s">
        <v>273</v>
      </c>
      <c r="C128" s="28"/>
      <c r="D128" s="91"/>
      <c r="E128" s="31"/>
      <c r="F128" s="38">
        <f>S128</f>
        <v>8.88</v>
      </c>
      <c r="G128" s="92">
        <f>T128</f>
        <v>488.6300610094287</v>
      </c>
      <c r="H128" s="93">
        <f>V128</f>
        <v>15.1414309484193</v>
      </c>
      <c r="I128" s="30">
        <v>8.764</v>
      </c>
      <c r="J128" s="92">
        <f>(1739-815)/(2*L124)</f>
        <v>551.6417910447761</v>
      </c>
      <c r="L128" s="93">
        <f>13.57/L124</f>
        <v>16.202985074626866</v>
      </c>
      <c r="M128" s="106"/>
      <c r="N128" s="27">
        <v>9.6</v>
      </c>
      <c r="R128" s="106"/>
      <c r="S128" s="30">
        <v>8.88</v>
      </c>
      <c r="T128" s="92">
        <f>881/(2*V124)</f>
        <v>488.6300610094287</v>
      </c>
      <c r="V128" s="93">
        <f>13.65/V124</f>
        <v>15.1414309484193</v>
      </c>
      <c r="W128" s="106">
        <v>0.027000000000000003</v>
      </c>
      <c r="AG128" s="106"/>
    </row>
    <row r="129" spans="1:38" s="33" customFormat="1" ht="12.75">
      <c r="A129" s="32" t="s">
        <v>26</v>
      </c>
      <c r="B129" s="126" t="s">
        <v>274</v>
      </c>
      <c r="C129" s="34">
        <f>POPS!$C$81</f>
        <v>126.919</v>
      </c>
      <c r="D129" s="119">
        <f>POPS!E81</f>
        <v>4751</v>
      </c>
      <c r="E129" s="36">
        <f>F129/C129</f>
        <v>1.2495449853843792</v>
      </c>
      <c r="F129" s="37">
        <f>SUM(F130:F132)</f>
        <v>158.591</v>
      </c>
      <c r="G129" s="120">
        <f>SUM(G130:G132)</f>
        <v>24116.709618422145</v>
      </c>
      <c r="H129" s="120">
        <f>D129*AG129</f>
        <v>-7.10931914539874</v>
      </c>
      <c r="L129" s="33">
        <v>120.5055</v>
      </c>
      <c r="M129" s="121">
        <f>109.91/L129-1</f>
        <v>-0.08792544738621888</v>
      </c>
      <c r="Q129" s="33">
        <v>119.655</v>
      </c>
      <c r="R129" s="121">
        <f>120.506/Q129-1</f>
        <v>0.007112113994400593</v>
      </c>
      <c r="S129" s="35">
        <v>151.492</v>
      </c>
      <c r="V129" s="33">
        <v>123.029</v>
      </c>
      <c r="W129" s="121">
        <f>119.66/V129-1</f>
        <v>-0.027383787562282103</v>
      </c>
      <c r="AA129" s="33">
        <v>120.1115</v>
      </c>
      <c r="AB129" s="121">
        <f>123.03/AA129-1</f>
        <v>0.024298256203610702</v>
      </c>
      <c r="AF129" s="33">
        <v>120.29</v>
      </c>
      <c r="AG129" s="121">
        <f>120.11/AF129-1</f>
        <v>-0.001496383739296725</v>
      </c>
      <c r="AK129" s="33">
        <v>111.62</v>
      </c>
      <c r="AL129" s="121">
        <f>120.29/AK129-1</f>
        <v>0.07767425192617816</v>
      </c>
    </row>
    <row r="130" spans="1:33" s="33" customFormat="1" ht="12.75">
      <c r="A130" s="32" t="s">
        <v>275</v>
      </c>
      <c r="B130" s="126" t="s">
        <v>276</v>
      </c>
      <c r="C130" s="34"/>
      <c r="D130" s="119"/>
      <c r="E130" s="36"/>
      <c r="F130" s="37">
        <f>AC130</f>
        <v>69.602</v>
      </c>
      <c r="G130" s="120">
        <f>AD130</f>
        <v>9714.024440934409</v>
      </c>
      <c r="H130" s="123">
        <f>AF130</f>
        <v>35.165017873472436</v>
      </c>
      <c r="I130" s="35">
        <v>65.274</v>
      </c>
      <c r="J130" s="120">
        <f>(1153805-114422)/L129</f>
        <v>8625.191381306247</v>
      </c>
      <c r="L130" s="123">
        <f>4390/L129</f>
        <v>36.42987249544627</v>
      </c>
      <c r="M130" s="121"/>
      <c r="N130" s="35">
        <v>66.595</v>
      </c>
      <c r="O130" s="120">
        <f>3654600/(4*Q129)</f>
        <v>7635.702645104676</v>
      </c>
      <c r="Q130" s="123">
        <f>4370/Q129</f>
        <v>36.52166645773265</v>
      </c>
      <c r="R130" s="121">
        <v>0.0071</v>
      </c>
      <c r="S130" s="35">
        <v>67.532</v>
      </c>
      <c r="T130" s="120">
        <f>1076900/V129</f>
        <v>8753.220785343294</v>
      </c>
      <c r="U130" s="124">
        <f>3670/5250</f>
        <v>0.699047619047619</v>
      </c>
      <c r="V130" s="123">
        <f>5060/V129</f>
        <v>41.12851441530046</v>
      </c>
      <c r="X130" s="35">
        <v>68.494</v>
      </c>
      <c r="Y130" s="120">
        <f>(2215000-1076900)/AA129</f>
        <v>9475.362475699661</v>
      </c>
      <c r="AA130" s="123">
        <f>4190/AA129</f>
        <v>34.88425338123327</v>
      </c>
      <c r="AB130" s="121"/>
      <c r="AC130" s="35">
        <v>69.602</v>
      </c>
      <c r="AD130" s="33">
        <f>1168500/AF129</f>
        <v>9714.024440934409</v>
      </c>
      <c r="AE130" s="121">
        <f>2990/4230</f>
        <v>0.706855791962175</v>
      </c>
      <c r="AF130" s="123">
        <f>4230/AF129</f>
        <v>35.165017873472436</v>
      </c>
      <c r="AG130" s="121">
        <v>0.0059</v>
      </c>
    </row>
    <row r="131" spans="1:33" s="33" customFormat="1" ht="12.75">
      <c r="A131" s="32" t="s">
        <v>277</v>
      </c>
      <c r="B131" s="126" t="s">
        <v>278</v>
      </c>
      <c r="C131" s="34"/>
      <c r="D131" s="119"/>
      <c r="E131" s="36"/>
      <c r="F131" s="37">
        <f>AC131</f>
        <v>43.748</v>
      </c>
      <c r="G131" s="120">
        <f>AD131</f>
        <v>6932.596225787679</v>
      </c>
      <c r="H131" s="123">
        <f>AF131</f>
        <v>39.2385069415579</v>
      </c>
      <c r="I131" s="35">
        <v>37.401</v>
      </c>
      <c r="J131" s="120">
        <f>1194057/L129</f>
        <v>9908.734456103664</v>
      </c>
      <c r="L131" s="123">
        <f>4710/L129</f>
        <v>39.085352950695196</v>
      </c>
      <c r="M131" s="121">
        <v>0.0134</v>
      </c>
      <c r="R131" s="121"/>
      <c r="S131" s="35">
        <v>44.417</v>
      </c>
      <c r="T131" s="120">
        <f>720567/V129</f>
        <v>5856.887400531582</v>
      </c>
      <c r="V131" s="123">
        <f>4660/V129</f>
        <v>37.87724845361663</v>
      </c>
      <c r="X131" s="35">
        <v>44.117</v>
      </c>
      <c r="Y131" s="120">
        <f>783397/AA129</f>
        <v>6522.248077827685</v>
      </c>
      <c r="AA131" s="123">
        <f>4720/AA129</f>
        <v>39.296820038047976</v>
      </c>
      <c r="AB131" s="121">
        <v>0.0128</v>
      </c>
      <c r="AC131" s="35">
        <v>43.748</v>
      </c>
      <c r="AD131" s="33">
        <f>833922/AF129</f>
        <v>6932.596225787679</v>
      </c>
      <c r="AF131" s="123">
        <f>4720/AF129</f>
        <v>39.2385069415579</v>
      </c>
      <c r="AG131" s="121">
        <f>0.0141</f>
        <v>0.014100000000000001</v>
      </c>
    </row>
    <row r="132" spans="1:33" s="33" customFormat="1" ht="12.75">
      <c r="A132" s="32" t="s">
        <v>279</v>
      </c>
      <c r="B132" s="126" t="s">
        <v>280</v>
      </c>
      <c r="C132" s="34"/>
      <c r="D132" s="119"/>
      <c r="E132" s="36"/>
      <c r="F132" s="37">
        <f>AC132</f>
        <v>45.241</v>
      </c>
      <c r="G132" s="120">
        <f>AD132</f>
        <v>7470.088951700058</v>
      </c>
      <c r="H132" s="123"/>
      <c r="I132" s="35">
        <v>42.378</v>
      </c>
      <c r="J132" s="120">
        <f>(441893+45950+62005)/L129</f>
        <v>4562.845679242856</v>
      </c>
      <c r="L132" s="123">
        <f>4250/L129</f>
        <v>35.26809979627486</v>
      </c>
      <c r="M132" s="121">
        <v>0.0066</v>
      </c>
      <c r="R132" s="121"/>
      <c r="S132" s="35">
        <v>44.074</v>
      </c>
      <c r="T132" s="120">
        <f>1046600/V129</f>
        <v>8506.937388745742</v>
      </c>
      <c r="X132" s="35">
        <v>44.64</v>
      </c>
      <c r="Y132" s="120">
        <f>(867975+64244+158741-178176-72975)/AA129</f>
        <v>6991.911682062084</v>
      </c>
      <c r="AB132" s="121">
        <v>0.0083</v>
      </c>
      <c r="AC132" s="35">
        <v>45.241</v>
      </c>
      <c r="AD132" s="33">
        <f>(1147276-178837-69862)/AF129</f>
        <v>7470.088951700058</v>
      </c>
      <c r="AG132" s="121"/>
    </row>
    <row r="133" spans="1:38" s="27" customFormat="1" ht="12.75">
      <c r="A133" s="26" t="s">
        <v>281</v>
      </c>
      <c r="B133" s="108" t="s">
        <v>282</v>
      </c>
      <c r="C133" s="28">
        <f>POPS!$C$84</f>
        <v>45.925</v>
      </c>
      <c r="D133" s="66">
        <f>POPS!E84</f>
        <v>132.4</v>
      </c>
      <c r="E133" s="31">
        <f>F133/C133</f>
        <v>0.7164202504082744</v>
      </c>
      <c r="F133" s="38">
        <f>SUM(F134:F136)</f>
        <v>32.9016</v>
      </c>
      <c r="H133" s="30">
        <f>D133*AG133</f>
        <v>2.531255468814922</v>
      </c>
      <c r="I133" s="27">
        <v>33.6</v>
      </c>
      <c r="L133" s="27">
        <v>91.0515</v>
      </c>
      <c r="M133" s="106">
        <f>89.35/L133-1</f>
        <v>-0.01868722645975096</v>
      </c>
      <c r="Q133" s="27">
        <v>92.3955</v>
      </c>
      <c r="R133" s="106">
        <f>91.0515/Q133-1</f>
        <v>-0.014546162962481901</v>
      </c>
      <c r="V133" s="27">
        <v>99.3955</v>
      </c>
      <c r="W133" s="106">
        <f>92.396/V133-1</f>
        <v>-0.07042069308972743</v>
      </c>
      <c r="AA133" s="27">
        <v>104.2445</v>
      </c>
      <c r="AB133" s="106">
        <f>99.369/AA133-1</f>
        <v>-0.046769853565415964</v>
      </c>
      <c r="AF133" s="27">
        <v>102.2845</v>
      </c>
      <c r="AG133" s="106">
        <f>104.24/AF133-1</f>
        <v>0.019118243722167083</v>
      </c>
      <c r="AK133" s="27">
        <v>101.5965</v>
      </c>
      <c r="AL133" s="106">
        <f>102.28/AK133-1</f>
        <v>0.00672759396239031</v>
      </c>
    </row>
    <row r="134" spans="1:33" s="27" customFormat="1" ht="12.75">
      <c r="A134" s="26" t="s">
        <v>283</v>
      </c>
      <c r="B134" s="108" t="s">
        <v>284</v>
      </c>
      <c r="D134" s="66"/>
      <c r="F134" s="38">
        <f>N134</f>
        <v>23.347</v>
      </c>
      <c r="G134" s="92">
        <f>O134</f>
        <v>422.6750708030042</v>
      </c>
      <c r="H134" s="93"/>
      <c r="I134" s="30">
        <f>33.6*0.674</f>
        <v>22.646400000000003</v>
      </c>
      <c r="K134" s="107">
        <v>0.402</v>
      </c>
      <c r="M134" s="106"/>
      <c r="N134" s="30">
        <v>23.347</v>
      </c>
      <c r="O134" s="92">
        <f>84024/(2*V133)</f>
        <v>422.6750708030042</v>
      </c>
      <c r="R134" s="106"/>
      <c r="S134" s="30"/>
      <c r="AG134" s="106"/>
    </row>
    <row r="135" spans="1:33" s="27" customFormat="1" ht="12.75">
      <c r="A135" s="26" t="s">
        <v>285</v>
      </c>
      <c r="D135" s="66"/>
      <c r="F135" s="38">
        <f>I135</f>
        <v>7.5936</v>
      </c>
      <c r="H135" s="93"/>
      <c r="I135" s="30">
        <f>33.6*0.226</f>
        <v>7.5936</v>
      </c>
      <c r="M135" s="106"/>
      <c r="R135" s="106"/>
      <c r="AG135" s="106"/>
    </row>
    <row r="136" spans="1:33" s="27" customFormat="1" ht="12.75">
      <c r="A136" s="26" t="s">
        <v>286</v>
      </c>
      <c r="D136" s="66"/>
      <c r="F136" s="38">
        <f>AC136</f>
        <v>1.9609999999999999</v>
      </c>
      <c r="G136" s="92">
        <f>J136</f>
        <v>27.462686567164177</v>
      </c>
      <c r="H136" s="92"/>
      <c r="I136" s="30">
        <v>1.2469999999999999</v>
      </c>
      <c r="J136" s="92">
        <f>23/L81</f>
        <v>27.462686567164177</v>
      </c>
      <c r="M136" s="106"/>
      <c r="N136" s="30">
        <v>1.469</v>
      </c>
      <c r="R136" s="106"/>
      <c r="S136" s="30">
        <v>1.6520000000000001</v>
      </c>
      <c r="X136" s="30">
        <f>1.85</f>
        <v>1.85</v>
      </c>
      <c r="AC136" s="30">
        <v>1.9609999999999999</v>
      </c>
      <c r="AG136" s="106"/>
    </row>
    <row r="137" spans="1:38" s="33" customFormat="1" ht="12.75">
      <c r="A137" s="32" t="s">
        <v>27</v>
      </c>
      <c r="C137" s="34">
        <f>POPS!$C$86</f>
        <v>49.115</v>
      </c>
      <c r="D137" s="119">
        <f>POPS!E86</f>
        <v>1781</v>
      </c>
      <c r="E137" s="36">
        <f>F137/C137</f>
        <v>1.1823068309070548</v>
      </c>
      <c r="F137" s="37">
        <f>SUM(F138:F140)</f>
        <v>58.069</v>
      </c>
      <c r="G137" s="37"/>
      <c r="H137" s="35">
        <f>D137*AG137</f>
        <v>0.23459203140896623</v>
      </c>
      <c r="I137" s="35">
        <v>57.208</v>
      </c>
      <c r="L137" s="33">
        <v>1110.845</v>
      </c>
      <c r="M137" s="121">
        <f>1062.4/L137-1</f>
        <v>-0.04361094482128469</v>
      </c>
      <c r="Q137" s="33">
        <v>1104.35</v>
      </c>
      <c r="R137" s="121">
        <f>1110.85/Q137-1</f>
        <v>0.005885815185403098</v>
      </c>
      <c r="V137" s="33">
        <v>1123.5</v>
      </c>
      <c r="W137" s="121">
        <f>1104.4/V137-1</f>
        <v>-0.01700044503782816</v>
      </c>
      <c r="AA137" s="33">
        <v>1176.915</v>
      </c>
      <c r="AB137" s="121">
        <f>1123.5/AA137-1</f>
        <v>-0.045385605587489275</v>
      </c>
      <c r="AF137" s="33">
        <v>1176.745</v>
      </c>
      <c r="AG137" s="121">
        <f>1176.9/AF137-1</f>
        <v>0.00013171927647892545</v>
      </c>
      <c r="AK137" s="33">
        <v>1147.495</v>
      </c>
      <c r="AL137" s="121">
        <f>1177/AK137-1</f>
        <v>0.025712530337822948</v>
      </c>
    </row>
    <row r="138" spans="1:33" s="33" customFormat="1" ht="12.75">
      <c r="A138" s="32" t="s">
        <v>287</v>
      </c>
      <c r="B138" s="126" t="s">
        <v>288</v>
      </c>
      <c r="C138" s="34"/>
      <c r="D138" s="119"/>
      <c r="E138" s="36"/>
      <c r="F138" s="37">
        <f>X138</f>
        <v>28.474</v>
      </c>
      <c r="G138" s="120">
        <f>Y138</f>
        <v>2669.691524026799</v>
      </c>
      <c r="H138" s="123">
        <f>AA138</f>
        <v>37.47339442525586</v>
      </c>
      <c r="I138" s="35">
        <v>28.613</v>
      </c>
      <c r="J138" s="33">
        <f>4289000/L137</f>
        <v>3861.024715419343</v>
      </c>
      <c r="L138" s="123">
        <f>44123/L137</f>
        <v>39.720212991011344</v>
      </c>
      <c r="M138" s="121"/>
      <c r="R138" s="121"/>
      <c r="X138" s="35">
        <v>28.474</v>
      </c>
      <c r="Y138" s="120">
        <f>3142000/AA137</f>
        <v>2669.691524026799</v>
      </c>
      <c r="AA138" s="123">
        <f>44103/AA137</f>
        <v>37.47339442525586</v>
      </c>
      <c r="AB138" s="121">
        <v>0.013999999999999999</v>
      </c>
      <c r="AG138" s="121"/>
    </row>
    <row r="139" spans="1:33" s="33" customFormat="1" ht="12.75">
      <c r="A139" s="32" t="s">
        <v>289</v>
      </c>
      <c r="B139" s="125" t="s">
        <v>290</v>
      </c>
      <c r="C139" s="34"/>
      <c r="D139" s="119"/>
      <c r="E139" s="36"/>
      <c r="F139" s="37">
        <f>X139</f>
        <v>17.801</v>
      </c>
      <c r="G139" s="120">
        <f>Y139</f>
        <v>1566.8931061291598</v>
      </c>
      <c r="H139" s="123">
        <f>AA139</f>
        <v>30.752433268332886</v>
      </c>
      <c r="M139" s="121"/>
      <c r="R139" s="121"/>
      <c r="X139" s="35">
        <v>17.801</v>
      </c>
      <c r="Y139" s="120">
        <f>1844100/AA137</f>
        <v>1566.8931061291598</v>
      </c>
      <c r="AA139" s="123">
        <f>36193/AA137</f>
        <v>30.752433268332886</v>
      </c>
      <c r="AB139" s="121">
        <v>0.018000000000000002</v>
      </c>
      <c r="AG139" s="121"/>
    </row>
    <row r="140" spans="1:33" s="33" customFormat="1" ht="12.75">
      <c r="A140" s="32" t="s">
        <v>291</v>
      </c>
      <c r="B140" s="126" t="s">
        <v>292</v>
      </c>
      <c r="C140" s="34"/>
      <c r="D140" s="119"/>
      <c r="E140" s="36"/>
      <c r="F140" s="37">
        <f>X140</f>
        <v>11.794</v>
      </c>
      <c r="G140" s="120">
        <f>Y140</f>
        <v>1132.8770556922123</v>
      </c>
      <c r="H140" s="123">
        <f>AA140</f>
        <v>33.835918481793506</v>
      </c>
      <c r="M140" s="121"/>
      <c r="R140" s="121"/>
      <c r="X140" s="35">
        <v>11.794</v>
      </c>
      <c r="Y140" s="120">
        <f>1333300/AA137</f>
        <v>1132.8770556922123</v>
      </c>
      <c r="AA140" s="123">
        <f>39822/AA137</f>
        <v>33.835918481793506</v>
      </c>
      <c r="AB140" s="121">
        <v>0.018000000000000002</v>
      </c>
      <c r="AG140" s="121"/>
    </row>
    <row r="141" spans="1:38" s="27" customFormat="1" ht="12.75">
      <c r="A141" s="26" t="s">
        <v>28</v>
      </c>
      <c r="C141" s="28">
        <f>POPS!$C$100</f>
        <v>30.513</v>
      </c>
      <c r="D141" s="91">
        <f>POPS!E100</f>
        <v>746.1</v>
      </c>
      <c r="E141" s="31">
        <f>F141/C141</f>
        <v>1.2218398715301675</v>
      </c>
      <c r="F141" s="38">
        <f>SUM(F142:F144)+1.4</f>
        <v>37.282000000000004</v>
      </c>
      <c r="G141" s="38"/>
      <c r="H141" s="30">
        <f>D141*AG141</f>
        <v>-24.834184242311604</v>
      </c>
      <c r="L141" s="27">
        <v>3.5272</v>
      </c>
      <c r="M141" s="106">
        <f>3.2839/L141-1</f>
        <v>-0.06897822635518258</v>
      </c>
      <c r="Q141" s="27">
        <v>3.7003</v>
      </c>
      <c r="R141" s="106">
        <f>3.5272/Q141-1</f>
        <v>-0.046779990811555816</v>
      </c>
      <c r="V141" s="27">
        <v>3.7549</v>
      </c>
      <c r="W141" s="106">
        <f>3.7003/V141-1</f>
        <v>-0.0145409997603132</v>
      </c>
      <c r="AA141" s="27">
        <v>4.1619</v>
      </c>
      <c r="AB141" s="106">
        <f>3.7549/AA141-1</f>
        <v>-0.09779187390374589</v>
      </c>
      <c r="AF141" s="27">
        <v>4.3052</v>
      </c>
      <c r="AG141" s="106">
        <f>4.1619/AF141-1</f>
        <v>-0.033285329369134975</v>
      </c>
      <c r="AK141" s="27">
        <v>3.8916</v>
      </c>
      <c r="AL141" s="106">
        <f>4.3052/AK141-1</f>
        <v>0.106280193236715</v>
      </c>
    </row>
    <row r="142" spans="1:33" s="27" customFormat="1" ht="12.75">
      <c r="A142" s="26" t="s">
        <v>293</v>
      </c>
      <c r="B142" s="104" t="s">
        <v>294</v>
      </c>
      <c r="C142" s="28"/>
      <c r="D142" s="91"/>
      <c r="E142" s="31"/>
      <c r="F142" s="38">
        <f>X142</f>
        <v>11.956</v>
      </c>
      <c r="G142" s="92">
        <f>Y142</f>
        <v>492.5634926355751</v>
      </c>
      <c r="H142" s="93">
        <f>AA142</f>
        <v>12.73456834618804</v>
      </c>
      <c r="M142" s="106"/>
      <c r="R142" s="106"/>
      <c r="X142" s="30">
        <v>11.956</v>
      </c>
      <c r="Y142" s="92">
        <f>2050/AA141</f>
        <v>492.5634926355751</v>
      </c>
      <c r="AA142" s="93">
        <f>53/AA141</f>
        <v>12.73456834618804</v>
      </c>
      <c r="AG142" s="106"/>
    </row>
    <row r="143" spans="1:33" s="27" customFormat="1" ht="12.75">
      <c r="A143" s="26" t="s">
        <v>295</v>
      </c>
      <c r="B143" s="27" t="s">
        <v>107</v>
      </c>
      <c r="C143" s="28"/>
      <c r="D143" s="91"/>
      <c r="E143" s="31"/>
      <c r="F143" s="38">
        <f>AC143</f>
        <v>12.25</v>
      </c>
      <c r="G143" s="92">
        <f>AD143</f>
        <v>422.5123106940444</v>
      </c>
      <c r="H143" s="93">
        <f>AF143</f>
        <v>10.452476075443649</v>
      </c>
      <c r="I143" s="30">
        <v>12.968</v>
      </c>
      <c r="J143" s="92">
        <f>1953/L141</f>
        <v>553.6969834429576</v>
      </c>
      <c r="L143" s="93">
        <f>46/L141</f>
        <v>13.041506010433205</v>
      </c>
      <c r="M143" s="106"/>
      <c r="N143" s="30">
        <v>12.279</v>
      </c>
      <c r="O143" s="92">
        <f>1923/Q141</f>
        <v>519.6875928978732</v>
      </c>
      <c r="P143" s="107">
        <f>0.381</f>
        <v>0.381</v>
      </c>
      <c r="Q143" s="93">
        <f>46/Q141</f>
        <v>12.43142447909629</v>
      </c>
      <c r="R143" s="106"/>
      <c r="S143" s="30">
        <v>12.34</v>
      </c>
      <c r="T143" s="92">
        <f>1802/V141</f>
        <v>479.906255825721</v>
      </c>
      <c r="U143" s="107">
        <v>0.27</v>
      </c>
      <c r="V143" s="93">
        <f>45/V141</f>
        <v>11.984340461796585</v>
      </c>
      <c r="X143" s="30">
        <v>12.509</v>
      </c>
      <c r="Y143" s="92">
        <f>1801/AA141</f>
        <v>432.7350488959369</v>
      </c>
      <c r="Z143" s="107">
        <v>0.29</v>
      </c>
      <c r="AA143" s="93">
        <f>45/AA141</f>
        <v>10.812369350537013</v>
      </c>
      <c r="AC143" s="30">
        <v>12.25</v>
      </c>
      <c r="AD143" s="92">
        <f>1819/AF141</f>
        <v>422.5123106940444</v>
      </c>
      <c r="AE143" s="107">
        <v>0.29</v>
      </c>
      <c r="AF143" s="93">
        <f>45/AF141</f>
        <v>10.452476075443649</v>
      </c>
      <c r="AG143" s="106"/>
    </row>
    <row r="144" spans="1:33" s="27" customFormat="1" ht="12.75">
      <c r="A144" s="26" t="s">
        <v>296</v>
      </c>
      <c r="C144" s="28"/>
      <c r="D144" s="91"/>
      <c r="E144" s="31"/>
      <c r="F144" s="38">
        <f>X144</f>
        <v>11.676</v>
      </c>
      <c r="G144" s="92">
        <f>Y144</f>
        <v>790.8921848599305</v>
      </c>
      <c r="H144" s="93">
        <f>AA144</f>
        <v>10.955539771017179</v>
      </c>
      <c r="I144" s="30">
        <v>11.421</v>
      </c>
      <c r="J144" s="92">
        <f>(3322/0.49)/L160</f>
        <v>888.1134753441573</v>
      </c>
      <c r="L144" s="93">
        <f>97/L160</f>
        <v>12.706813209845816</v>
      </c>
      <c r="M144" s="106"/>
      <c r="R144" s="106"/>
      <c r="X144" s="30">
        <v>11.676</v>
      </c>
      <c r="Y144" s="92">
        <f>3219/(0.49*AA160)</f>
        <v>790.8921848599305</v>
      </c>
      <c r="AA144" s="93">
        <f>91/(AA160)</f>
        <v>10.955539771017179</v>
      </c>
      <c r="AG144" s="106"/>
    </row>
    <row r="145" spans="1:38" s="33" customFormat="1" ht="12.75">
      <c r="A145" s="32" t="s">
        <v>29</v>
      </c>
      <c r="C145" s="34">
        <f>POPS!$C$103</f>
        <v>121.736</v>
      </c>
      <c r="D145" s="119">
        <f>POPS!E103</f>
        <v>2141</v>
      </c>
      <c r="E145" s="36">
        <f>F145/C145</f>
        <v>0.8839045146875206</v>
      </c>
      <c r="F145" s="37">
        <f>SUM(F146:F148)</f>
        <v>107.60300000000001</v>
      </c>
      <c r="G145" s="37"/>
      <c r="H145" s="35">
        <f>D145*AG145</f>
        <v>-48.07188442794155</v>
      </c>
      <c r="L145" s="33">
        <v>14.8668</v>
      </c>
      <c r="M145" s="121">
        <f>13.457/L145-1</f>
        <v>-0.0948287459305297</v>
      </c>
      <c r="Q145" s="33">
        <v>15.2529</v>
      </c>
      <c r="R145" s="121">
        <f>14.8668/Q145-1</f>
        <v>-0.025313219125543407</v>
      </c>
      <c r="V145" s="33">
        <v>15.765</v>
      </c>
      <c r="W145" s="121">
        <f>15.253/V145-1</f>
        <v>-0.032477006026007005</v>
      </c>
      <c r="AA145" s="33">
        <v>16.8489</v>
      </c>
      <c r="AB145" s="121">
        <f>15.765/AA145-1</f>
        <v>-0.0643306091198832</v>
      </c>
      <c r="AF145" s="33">
        <v>17.236</v>
      </c>
      <c r="AG145" s="121">
        <f>16.849/AF145-1</f>
        <v>-0.022453005337665366</v>
      </c>
      <c r="AK145" s="33">
        <v>17.3398</v>
      </c>
      <c r="AL145" s="121">
        <f>17.236/AK145-1</f>
        <v>-0.00598622821485828</v>
      </c>
    </row>
    <row r="146" spans="1:38" s="33" customFormat="1" ht="12.75">
      <c r="A146" s="32" t="s">
        <v>297</v>
      </c>
      <c r="B146" s="33" t="s">
        <v>118</v>
      </c>
      <c r="C146" s="34"/>
      <c r="D146" s="119"/>
      <c r="E146" s="36"/>
      <c r="F146" s="37">
        <f>AH146</f>
        <v>73.495</v>
      </c>
      <c r="G146" s="120">
        <f>AI146</f>
        <v>2402.6228676224637</v>
      </c>
      <c r="H146" s="123">
        <f>AK146</f>
        <v>7.612544550686859</v>
      </c>
      <c r="I146" s="35">
        <v>71.463</v>
      </c>
      <c r="J146" s="120">
        <f>(72850-27237)/L145</f>
        <v>3068.111496757877</v>
      </c>
      <c r="L146" s="123">
        <f>159/L145</f>
        <v>10.69497134554847</v>
      </c>
      <c r="M146" s="121">
        <f>0.043/3</f>
        <v>0.014333333333333335</v>
      </c>
      <c r="N146" s="35">
        <v>72.074</v>
      </c>
      <c r="O146" s="120">
        <f>43084/Q145</f>
        <v>2824.6431826078974</v>
      </c>
      <c r="Q146" s="123">
        <f>156/Q145</f>
        <v>10.227563283047814</v>
      </c>
      <c r="R146" s="121">
        <f>0.038/3</f>
        <v>0.012666666666666666</v>
      </c>
      <c r="S146" s="35">
        <v>72.633</v>
      </c>
      <c r="T146" s="120">
        <f>44906/V145</f>
        <v>2848.4617824294323</v>
      </c>
      <c r="V146" s="123">
        <f>155/V145</f>
        <v>9.831906121154455</v>
      </c>
      <c r="W146" s="121">
        <v>0.037000000000000005</v>
      </c>
      <c r="X146" s="35">
        <v>72.994</v>
      </c>
      <c r="Y146" s="120">
        <f>44443/AA145</f>
        <v>2637.738962187442</v>
      </c>
      <c r="AA146" s="123">
        <f>152/AA145</f>
        <v>9.021360444895512</v>
      </c>
      <c r="AB146" s="121">
        <f>0.039/3</f>
        <v>0.013</v>
      </c>
      <c r="AC146" s="35">
        <v>73.697</v>
      </c>
      <c r="AD146" s="120">
        <f>(72520-24849)/AF145</f>
        <v>2765.780923648178</v>
      </c>
      <c r="AF146" s="123">
        <f>149/AF145</f>
        <v>8.644697145509399</v>
      </c>
      <c r="AG146" s="121">
        <v>0.015</v>
      </c>
      <c r="AH146" s="35">
        <v>73.495</v>
      </c>
      <c r="AI146" s="33">
        <f>41661/AK145</f>
        <v>2402.6228676224637</v>
      </c>
      <c r="AK146" s="123">
        <f>132/AK145</f>
        <v>7.612544550686859</v>
      </c>
      <c r="AL146" s="121">
        <v>0.040999999999999995</v>
      </c>
    </row>
    <row r="147" spans="1:33" s="33" customFormat="1" ht="12.75">
      <c r="A147" s="32" t="s">
        <v>298</v>
      </c>
      <c r="C147" s="34"/>
      <c r="D147" s="119"/>
      <c r="E147" s="36"/>
      <c r="F147" s="37">
        <f>AC147</f>
        <v>24.895</v>
      </c>
      <c r="G147" s="120">
        <f>AD147</f>
        <v>464.8884050081654</v>
      </c>
      <c r="H147" s="123">
        <f>AF147</f>
        <v>5.117038649972781</v>
      </c>
      <c r="I147" s="35">
        <v>21.673000000000002</v>
      </c>
      <c r="J147" s="120">
        <f>452/L203</f>
        <v>539.7014925373135</v>
      </c>
      <c r="K147" s="124">
        <f>1.4/5.2</f>
        <v>0.2692307692307692</v>
      </c>
      <c r="L147" s="123">
        <f>5.2/L203</f>
        <v>6.208955223880597</v>
      </c>
      <c r="M147" s="121">
        <v>0.034</v>
      </c>
      <c r="N147" s="35">
        <v>22.5366</v>
      </c>
      <c r="O147" s="120">
        <f>444/Q203</f>
        <v>478.3451842275372</v>
      </c>
      <c r="P147" s="124">
        <f>1.3/4.9</f>
        <v>0.2653061224489796</v>
      </c>
      <c r="Q147" s="123">
        <f>4.9/Q203</f>
        <v>5.279034690799397</v>
      </c>
      <c r="R147" s="121">
        <f>0.028</f>
        <v>0.028</v>
      </c>
      <c r="S147" s="35">
        <v>23.0488</v>
      </c>
      <c r="T147" s="120">
        <f>458/Q203</f>
        <v>493.428140486964</v>
      </c>
      <c r="U147" s="124">
        <f>1.3/4.9</f>
        <v>0.2653061224489796</v>
      </c>
      <c r="V147" s="123">
        <f>4.9/Q203</f>
        <v>5.279034690799397</v>
      </c>
      <c r="W147" s="121">
        <v>0.034</v>
      </c>
      <c r="X147" s="35">
        <v>23.405</v>
      </c>
      <c r="Y147" s="120">
        <f>453/AA203</f>
        <v>510.3075363298411</v>
      </c>
      <c r="Z147" s="124">
        <f>1.3/4.8</f>
        <v>0.27083333333333337</v>
      </c>
      <c r="AA147" s="123">
        <f>4.8/AA203</f>
        <v>5.407232173031429</v>
      </c>
      <c r="AB147" s="121">
        <v>0.033</v>
      </c>
      <c r="AC147" s="35">
        <v>24.895</v>
      </c>
      <c r="AD147" s="120">
        <f>427/AF203</f>
        <v>464.8884050081654</v>
      </c>
      <c r="AE147" s="124">
        <f>1.4/4.7</f>
        <v>0.2978723404255319</v>
      </c>
      <c r="AF147" s="123">
        <f>4.7/AF203</f>
        <v>5.117038649972781</v>
      </c>
      <c r="AG147" s="121">
        <v>0.034</v>
      </c>
    </row>
    <row r="148" spans="1:35" s="33" customFormat="1" ht="12.75">
      <c r="A148" s="32" t="s">
        <v>299</v>
      </c>
      <c r="B148" s="126"/>
      <c r="C148" s="34"/>
      <c r="D148" s="119"/>
      <c r="E148" s="36"/>
      <c r="F148" s="37">
        <f>AH148</f>
        <v>9.213</v>
      </c>
      <c r="G148" s="120">
        <f>AI148</f>
        <v>537</v>
      </c>
      <c r="H148" s="123">
        <f>L148</f>
        <v>31</v>
      </c>
      <c r="I148" s="35">
        <v>2.888</v>
      </c>
      <c r="J148" s="120">
        <v>321.1</v>
      </c>
      <c r="L148" s="123">
        <v>31</v>
      </c>
      <c r="M148" s="121">
        <f>0.0383/3</f>
        <v>0.012766666666666667</v>
      </c>
      <c r="N148" s="35">
        <f>2.888+5.97</f>
        <v>8.858</v>
      </c>
      <c r="R148" s="121"/>
      <c r="S148" s="35">
        <v>8</v>
      </c>
      <c r="AC148" s="35">
        <v>8.684</v>
      </c>
      <c r="AD148" s="33">
        <v>643</v>
      </c>
      <c r="AG148" s="121"/>
      <c r="AH148" s="35">
        <v>9.213</v>
      </c>
      <c r="AI148" s="33">
        <v>537</v>
      </c>
    </row>
    <row r="149" spans="1:38" s="27" customFormat="1" ht="12.75">
      <c r="A149" s="26" t="s">
        <v>300</v>
      </c>
      <c r="B149" s="108" t="s">
        <v>301</v>
      </c>
      <c r="C149" s="28">
        <f>POPS!$C$106</f>
        <v>33.322</v>
      </c>
      <c r="D149" s="91">
        <f>POPS!E106</f>
        <v>252.4</v>
      </c>
      <c r="E149" s="31">
        <f>F149/C149</f>
        <v>1.3339235340015603</v>
      </c>
      <c r="F149" s="38">
        <f>X149</f>
        <v>44.449</v>
      </c>
      <c r="G149" s="38"/>
      <c r="H149" s="30">
        <f>D149*AG149</f>
        <v>-6.002435606633381</v>
      </c>
      <c r="L149" s="27">
        <v>9.1512</v>
      </c>
      <c r="M149" s="106">
        <f>8.7842/L149-1</f>
        <v>-0.040104030072558694</v>
      </c>
      <c r="Q149" s="27">
        <v>9.9346</v>
      </c>
      <c r="R149" s="106">
        <f>9.1512/Q149-1</f>
        <v>-0.07885571638515898</v>
      </c>
      <c r="S149" s="30">
        <v>43.01</v>
      </c>
      <c r="V149" s="27">
        <v>9.7508</v>
      </c>
      <c r="W149" s="106">
        <f>9.9346/V149-1</f>
        <v>0.018849735406325507</v>
      </c>
      <c r="X149" s="30">
        <v>44.449</v>
      </c>
      <c r="AA149" s="27">
        <v>9.6836</v>
      </c>
      <c r="AB149" s="106">
        <f>9.7508/AA149-1</f>
        <v>0.00693956792928252</v>
      </c>
      <c r="AF149" s="27">
        <v>9.9195</v>
      </c>
      <c r="AG149" s="106">
        <f>9.6836/AF149-1</f>
        <v>-0.023781440596804204</v>
      </c>
      <c r="AK149" s="27">
        <v>9.6367</v>
      </c>
      <c r="AL149" s="106">
        <f>9.9185/AK149-1</f>
        <v>0.029242375501987272</v>
      </c>
    </row>
    <row r="150" spans="1:33" s="27" customFormat="1" ht="12.75">
      <c r="A150" s="26" t="s">
        <v>302</v>
      </c>
      <c r="C150" s="28"/>
      <c r="D150" s="91"/>
      <c r="E150" s="31"/>
      <c r="F150" s="38">
        <f>AC150</f>
        <v>13.761</v>
      </c>
      <c r="G150" s="92">
        <f>AD150</f>
        <v>126.29286880783886</v>
      </c>
      <c r="H150" s="38"/>
      <c r="M150" s="106"/>
      <c r="N150" s="30">
        <f>5.545/0.4</f>
        <v>13.862499999999999</v>
      </c>
      <c r="R150" s="106"/>
      <c r="X150" s="30">
        <v>14.76</v>
      </c>
      <c r="Y150" s="92">
        <f>123/(AA81)</f>
        <v>138.56032443393036</v>
      </c>
      <c r="AC150" s="30">
        <v>13.761</v>
      </c>
      <c r="AD150" s="92">
        <f>116/(AF81)</f>
        <v>126.29286880783886</v>
      </c>
      <c r="AG150" s="106"/>
    </row>
    <row r="151" spans="1:35" s="27" customFormat="1" ht="12.75">
      <c r="A151" s="26" t="s">
        <v>303</v>
      </c>
      <c r="B151" s="27" t="s">
        <v>194</v>
      </c>
      <c r="C151" s="28"/>
      <c r="D151" s="91"/>
      <c r="E151" s="31"/>
      <c r="F151" s="38">
        <f>AH151</f>
        <v>29.205000000000002</v>
      </c>
      <c r="G151" s="92">
        <f>AI151</f>
        <v>881.2137525748835</v>
      </c>
      <c r="H151" s="93"/>
      <c r="I151" s="27">
        <v>40.2</v>
      </c>
      <c r="J151" s="92">
        <f>2907/(3.672*0.53)</f>
        <v>1493.7106918238992</v>
      </c>
      <c r="M151" s="106"/>
      <c r="R151" s="106"/>
      <c r="T151" s="92">
        <f>4036/(0.53*2*3.6719)</f>
        <v>1036.9419564289117</v>
      </c>
      <c r="X151" s="30">
        <v>18.581</v>
      </c>
      <c r="AG151" s="106"/>
      <c r="AH151" s="30">
        <f>53.1*0.55</f>
        <v>29.205000000000002</v>
      </c>
      <c r="AI151" s="92">
        <f>3119*0.55/(0.53*3.673)</f>
        <v>881.2137525748835</v>
      </c>
    </row>
    <row r="152" spans="1:38" s="33" customFormat="1" ht="12.75">
      <c r="A152" s="32" t="s">
        <v>304</v>
      </c>
      <c r="C152" s="34">
        <f>POPS!$C$109</f>
        <v>16.947</v>
      </c>
      <c r="D152" s="119">
        <f>POPS!E109</f>
        <v>798.6</v>
      </c>
      <c r="E152" s="36">
        <f>F152/C152</f>
        <v>1.067563580574733</v>
      </c>
      <c r="F152" s="37">
        <f>SUM(F153:F155)</f>
        <v>18.092</v>
      </c>
      <c r="G152" s="37"/>
      <c r="H152" s="35">
        <f>D152*AG152</f>
        <v>-26.77940119760479</v>
      </c>
      <c r="L152" s="33">
        <v>0.8375</v>
      </c>
      <c r="M152" s="121">
        <f>0.7928/L152-1</f>
        <v>-0.05337313432835811</v>
      </c>
      <c r="Q152" s="33">
        <v>0.9282</v>
      </c>
      <c r="R152" s="121">
        <f>0.8375/Q152-1</f>
        <v>-0.09771600948071535</v>
      </c>
      <c r="V152" s="33">
        <v>0.9015000000000001</v>
      </c>
      <c r="W152" s="121">
        <f>0.9282/V152-1</f>
        <v>0.02961730449251232</v>
      </c>
      <c r="AA152" s="33">
        <v>0.8877</v>
      </c>
      <c r="AB152" s="121">
        <f>0.9015/AA152-1</f>
        <v>0.01554579249746535</v>
      </c>
      <c r="AF152" s="33">
        <v>0.9185000000000001</v>
      </c>
      <c r="AG152" s="121">
        <f>0.8877/AF152-1</f>
        <v>-0.033532934131736525</v>
      </c>
      <c r="AK152" s="33">
        <v>0.8777</v>
      </c>
      <c r="AL152" s="121">
        <f>0.9185/AK152-1</f>
        <v>0.046485131593938744</v>
      </c>
    </row>
    <row r="153" spans="1:33" s="33" customFormat="1" ht="12.75">
      <c r="A153" s="32" t="s">
        <v>305</v>
      </c>
      <c r="B153" s="126" t="s">
        <v>306</v>
      </c>
      <c r="C153" s="34"/>
      <c r="D153" s="119"/>
      <c r="E153" s="36"/>
      <c r="F153" s="37">
        <f>S153</f>
        <v>9.36</v>
      </c>
      <c r="G153" s="120">
        <f>T153</f>
        <v>611.2035496394897</v>
      </c>
      <c r="H153" s="123">
        <f>V153</f>
        <v>20.886366976217225</v>
      </c>
      <c r="M153" s="121"/>
      <c r="R153" s="121"/>
      <c r="S153" s="35">
        <f>7.568+1.792</f>
        <v>9.36</v>
      </c>
      <c r="T153" s="120">
        <f>(374+177)/V152</f>
        <v>611.2035496394897</v>
      </c>
      <c r="V153" s="123">
        <f>(7.568*15+1.792*35)/((7.568+1.792)*V152)</f>
        <v>20.886366976217225</v>
      </c>
      <c r="AG153" s="121"/>
    </row>
    <row r="154" spans="1:33" s="33" customFormat="1" ht="12.75">
      <c r="A154" s="32" t="s">
        <v>307</v>
      </c>
      <c r="C154" s="34"/>
      <c r="D154" s="119"/>
      <c r="E154" s="36"/>
      <c r="F154" s="37">
        <f>AC154</f>
        <v>5.064</v>
      </c>
      <c r="G154" s="120">
        <f>AD154</f>
        <v>468.6575990538143</v>
      </c>
      <c r="H154" s="123">
        <f>AF154</f>
        <v>27.544910179640716</v>
      </c>
      <c r="I154" s="35">
        <v>5.18</v>
      </c>
      <c r="J154" s="120">
        <f>345/L234</f>
        <v>527.3616630999694</v>
      </c>
      <c r="L154" s="123">
        <f>25.5/L152</f>
        <v>30.44776119402985</v>
      </c>
      <c r="M154" s="121"/>
      <c r="N154" s="35">
        <v>5.16</v>
      </c>
      <c r="O154" s="120">
        <f>322/Q234</f>
        <v>478.4546805349182</v>
      </c>
      <c r="R154" s="121"/>
      <c r="S154" s="35">
        <f>5.16+0.004+0.009</f>
        <v>5.173</v>
      </c>
      <c r="T154" s="120">
        <f>314/V234</f>
        <v>491.31591300266</v>
      </c>
      <c r="V154" s="123">
        <f>25.2/V152</f>
        <v>27.953410981697168</v>
      </c>
      <c r="X154" s="35">
        <v>5.132</v>
      </c>
      <c r="Y154" s="120">
        <f>322/AA234</f>
        <v>494.47174447174444</v>
      </c>
      <c r="AA154" s="123">
        <f>26/AA203</f>
        <v>29.28917427058691</v>
      </c>
      <c r="AC154" s="35">
        <v>5.064</v>
      </c>
      <c r="AD154" s="120">
        <f>317/AF234</f>
        <v>468.6575990538143</v>
      </c>
      <c r="AF154" s="123">
        <f>25.3/AF152</f>
        <v>27.544910179640716</v>
      </c>
      <c r="AG154" s="121"/>
    </row>
    <row r="155" spans="1:38" s="33" customFormat="1" ht="12.75">
      <c r="A155" s="32" t="s">
        <v>308</v>
      </c>
      <c r="C155" s="34"/>
      <c r="D155" s="119"/>
      <c r="E155" s="36"/>
      <c r="F155" s="37">
        <f>AH155</f>
        <v>3.668</v>
      </c>
      <c r="G155" s="120">
        <f>AI155</f>
        <v>259.76985302495154</v>
      </c>
      <c r="H155" s="123">
        <f>AK155</f>
        <v>23.926170673350803</v>
      </c>
      <c r="I155" s="33">
        <v>3.9</v>
      </c>
      <c r="J155" s="120">
        <f>367/L86</f>
        <v>438.2089552238806</v>
      </c>
      <c r="K155" s="124">
        <v>0.46</v>
      </c>
      <c r="L155" s="123">
        <f>26/L86</f>
        <v>31.044776119402986</v>
      </c>
      <c r="M155" s="121">
        <f>0.018</f>
        <v>0.018000000000000002</v>
      </c>
      <c r="N155" s="35">
        <v>3.83</v>
      </c>
      <c r="O155" s="120">
        <f>346/Q81</f>
        <v>372.7644904115492</v>
      </c>
      <c r="P155" s="124">
        <v>0.54</v>
      </c>
      <c r="Q155" s="123">
        <f>22/Q81</f>
        <v>23.70178840767076</v>
      </c>
      <c r="R155" s="121">
        <v>0.018000000000000002</v>
      </c>
      <c r="S155" s="35">
        <v>3.689</v>
      </c>
      <c r="T155" s="120">
        <f>255/V86</f>
        <v>282.8618968386023</v>
      </c>
      <c r="U155" s="124">
        <v>0.58</v>
      </c>
      <c r="V155" s="123">
        <f>23/V86</f>
        <v>25.513033832501385</v>
      </c>
      <c r="W155" s="121">
        <v>0.017</v>
      </c>
      <c r="X155" s="35">
        <v>3.686</v>
      </c>
      <c r="Y155" s="120">
        <f>257/AA86</f>
        <v>289.5122225977244</v>
      </c>
      <c r="Z155" s="124">
        <v>0.59</v>
      </c>
      <c r="AA155" s="33">
        <f>23/AA86</f>
        <v>25.909654162442266</v>
      </c>
      <c r="AB155" s="121">
        <v>0.017</v>
      </c>
      <c r="AC155" s="35">
        <v>3.677</v>
      </c>
      <c r="AD155" s="120">
        <f>233/AF86</f>
        <v>253.6744692433315</v>
      </c>
      <c r="AE155" s="124">
        <v>0.6</v>
      </c>
      <c r="AF155" s="123">
        <f>21/AF86</f>
        <v>22.863364180729448</v>
      </c>
      <c r="AG155" s="121">
        <v>0.016</v>
      </c>
      <c r="AH155" s="35">
        <v>3.668</v>
      </c>
      <c r="AI155" s="120">
        <f>228/AK86</f>
        <v>259.76985302495154</v>
      </c>
      <c r="AJ155" s="124">
        <v>0.61</v>
      </c>
      <c r="AK155" s="123">
        <f>21/AK86</f>
        <v>23.926170673350803</v>
      </c>
      <c r="AL155" s="121">
        <v>0.015</v>
      </c>
    </row>
    <row r="156" spans="1:38" s="27" customFormat="1" ht="12.75">
      <c r="A156" s="26" t="s">
        <v>30</v>
      </c>
      <c r="B156" s="108" t="s">
        <v>309</v>
      </c>
      <c r="C156" s="28">
        <f>POPS!$C$113</f>
        <v>181.562</v>
      </c>
      <c r="D156" s="66">
        <f>POPS!E113</f>
        <v>1049</v>
      </c>
      <c r="E156" s="31">
        <f>F156/C156</f>
        <v>0.819251825822584</v>
      </c>
      <c r="F156" s="38">
        <f>AH156</f>
        <v>148.745</v>
      </c>
      <c r="G156" s="92">
        <f>SUM(G157:G159)</f>
        <v>2239.8972586257582</v>
      </c>
      <c r="H156" s="30">
        <f>D156*AG156</f>
        <v>1.0540065310223823</v>
      </c>
      <c r="I156" s="30">
        <v>136.637</v>
      </c>
      <c r="L156" s="27">
        <v>183.45</v>
      </c>
      <c r="M156" s="106">
        <f>163.85/L156-1</f>
        <v>-0.1068411011174707</v>
      </c>
      <c r="N156" s="30">
        <v>145.476</v>
      </c>
      <c r="Q156" s="27">
        <v>199.05</v>
      </c>
      <c r="R156" s="106">
        <f>183.45/Q156-1</f>
        <v>-0.0783722682743031</v>
      </c>
      <c r="S156" s="30">
        <v>148.775</v>
      </c>
      <c r="V156" s="27">
        <v>199</v>
      </c>
      <c r="W156" s="106">
        <f>199.05/V156-1</f>
        <v>0.0002512562814069863</v>
      </c>
      <c r="X156" s="30">
        <v>150.66</v>
      </c>
      <c r="AA156" s="27">
        <v>199.25</v>
      </c>
      <c r="AB156" s="106">
        <f>199/AA156-1</f>
        <v>-0.0012547051442910462</v>
      </c>
      <c r="AC156" s="30">
        <v>151.017</v>
      </c>
      <c r="AF156" s="27">
        <v>199.05</v>
      </c>
      <c r="AG156" s="106">
        <f>199.25/AF156-1</f>
        <v>0.0010047726701833959</v>
      </c>
      <c r="AH156" s="30">
        <f>148.745</f>
        <v>148.745</v>
      </c>
      <c r="AK156" s="27">
        <v>199.03</v>
      </c>
      <c r="AL156" s="106">
        <f>199.05/AK156-1</f>
        <v>0.00010048736371404132</v>
      </c>
    </row>
    <row r="157" spans="1:33" s="27" customFormat="1" ht="12.75">
      <c r="A157" s="26" t="s">
        <v>310</v>
      </c>
      <c r="C157" s="28"/>
      <c r="D157" s="91"/>
      <c r="E157" s="31"/>
      <c r="F157" s="38">
        <f>AC157</f>
        <v>61.252</v>
      </c>
      <c r="G157" s="92">
        <f>AD157</f>
        <v>1000.8791760864104</v>
      </c>
      <c r="H157" s="93">
        <f>AF157</f>
        <v>4.87</v>
      </c>
      <c r="I157" s="27">
        <v>59.9</v>
      </c>
      <c r="J157" s="92">
        <f>53922/(4*L200)</f>
        <v>1148.6745571205809</v>
      </c>
      <c r="M157" s="106"/>
      <c r="R157" s="106"/>
      <c r="S157" s="27">
        <v>62.8</v>
      </c>
      <c r="T157" s="92">
        <f>24649/(2*V200)</f>
        <v>1008.7414161421543</v>
      </c>
      <c r="U157" s="107">
        <v>0.205</v>
      </c>
      <c r="X157" s="30">
        <v>62.494</v>
      </c>
      <c r="Y157" s="92">
        <f>52.494*3*4.99</f>
        <v>785.83518</v>
      </c>
      <c r="Z157" s="107">
        <v>0.213</v>
      </c>
      <c r="AA157" s="93">
        <f>994.44/AA156</f>
        <v>4.990915934755333</v>
      </c>
      <c r="AC157" s="30">
        <v>61.252</v>
      </c>
      <c r="AD157" s="92">
        <f>398450/(2*AF156)</f>
        <v>1000.8791760864104</v>
      </c>
      <c r="AF157" s="27">
        <v>4.87</v>
      </c>
      <c r="AG157" s="106"/>
    </row>
    <row r="158" spans="1:33" s="27" customFormat="1" ht="12.75">
      <c r="A158" s="26" t="s">
        <v>311</v>
      </c>
      <c r="C158" s="28"/>
      <c r="D158" s="91"/>
      <c r="E158" s="31"/>
      <c r="F158" s="38">
        <f>AC158</f>
        <v>82.07</v>
      </c>
      <c r="G158" s="92">
        <f>AD158</f>
        <v>944.1637400400286</v>
      </c>
      <c r="H158" s="93">
        <f>AF158</f>
        <v>4.2</v>
      </c>
      <c r="I158" s="30">
        <v>74.599</v>
      </c>
      <c r="J158" s="92">
        <f>(30/0.324)/L197</f>
        <v>69.29027358571622</v>
      </c>
      <c r="M158" s="106"/>
      <c r="N158" s="30">
        <v>76.263</v>
      </c>
      <c r="O158" s="27">
        <v>1103</v>
      </c>
      <c r="R158" s="106"/>
      <c r="S158" s="30">
        <v>78.323</v>
      </c>
      <c r="T158" s="27">
        <v>970</v>
      </c>
      <c r="U158" s="107">
        <v>0.272</v>
      </c>
      <c r="V158" s="93">
        <v>4.3</v>
      </c>
      <c r="X158" s="30">
        <v>80.835</v>
      </c>
      <c r="Y158" s="92">
        <f>62721/AA97</f>
        <v>946.1608085684114</v>
      </c>
      <c r="Z158" s="107">
        <v>0.273</v>
      </c>
      <c r="AA158" s="93">
        <v>4.3</v>
      </c>
      <c r="AB158" s="106">
        <v>0.057999999999999996</v>
      </c>
      <c r="AC158" s="30">
        <v>82.07</v>
      </c>
      <c r="AD158" s="92">
        <f>62506/AF97</f>
        <v>944.1637400400286</v>
      </c>
      <c r="AE158" s="107">
        <v>0.28</v>
      </c>
      <c r="AF158" s="93">
        <v>4.2</v>
      </c>
      <c r="AG158" s="106">
        <v>0.059000000000000004</v>
      </c>
    </row>
    <row r="159" spans="1:35" s="27" customFormat="1" ht="12.75">
      <c r="A159" s="26" t="s">
        <v>312</v>
      </c>
      <c r="B159" s="27" t="s">
        <v>194</v>
      </c>
      <c r="C159" s="28"/>
      <c r="D159" s="91"/>
      <c r="E159" s="31"/>
      <c r="F159" s="38">
        <f>AH159</f>
        <v>21.8</v>
      </c>
      <c r="G159" s="92">
        <f>AI159</f>
        <v>294.85434249931933</v>
      </c>
      <c r="H159" s="93"/>
      <c r="I159" s="27">
        <v>21.1</v>
      </c>
      <c r="J159" s="92">
        <f>1114/3.672</f>
        <v>303.3769063180828</v>
      </c>
      <c r="M159" s="106"/>
      <c r="R159" s="106"/>
      <c r="X159" s="27">
        <v>23.5</v>
      </c>
      <c r="Y159" s="92">
        <f>1057/3.6719</f>
        <v>287.86186987663064</v>
      </c>
      <c r="AG159" s="106"/>
      <c r="AH159" s="27">
        <v>21.8</v>
      </c>
      <c r="AI159" s="92">
        <f>1083/3.673</f>
        <v>294.85434249931933</v>
      </c>
    </row>
    <row r="160" spans="1:38" s="33" customFormat="1" ht="12.75">
      <c r="A160" s="32" t="s">
        <v>313</v>
      </c>
      <c r="C160" s="34">
        <f>POPS!$C$114</f>
        <v>5.207</v>
      </c>
      <c r="D160" s="119">
        <f>POPS!E114</f>
        <v>345.2</v>
      </c>
      <c r="E160" s="36">
        <f>F160/C160</f>
        <v>1.26080276550797</v>
      </c>
      <c r="F160" s="37">
        <f>F161+F162+0.9</f>
        <v>6.565</v>
      </c>
      <c r="G160" s="37"/>
      <c r="H160" s="35">
        <f>D160*AG160</f>
        <v>-21.54017450982605</v>
      </c>
      <c r="L160" s="33">
        <v>7.6337</v>
      </c>
      <c r="M160" s="121">
        <f>6.4369/L160-1</f>
        <v>-0.15677849535611832</v>
      </c>
      <c r="Q160" s="33">
        <v>8.035</v>
      </c>
      <c r="R160" s="121">
        <f>7.6337/Q160-1</f>
        <v>-0.04994399502177971</v>
      </c>
      <c r="V160" s="33">
        <v>7.8832</v>
      </c>
      <c r="W160" s="121">
        <f>8.035/V160-1</f>
        <v>0.01925613963872541</v>
      </c>
      <c r="AA160" s="33">
        <v>8.3063</v>
      </c>
      <c r="AB160" s="121">
        <f>7.8832/AA160-1</f>
        <v>-0.050937240407883166</v>
      </c>
      <c r="AF160" s="33">
        <v>8.8591</v>
      </c>
      <c r="AG160" s="121">
        <f>8.3063/AF160-1</f>
        <v>-0.062399115034258545</v>
      </c>
      <c r="AK160" s="33">
        <v>8.3128</v>
      </c>
      <c r="AL160" s="121">
        <f>8.8591/AK160-1</f>
        <v>0.06571792897699935</v>
      </c>
    </row>
    <row r="161" spans="1:33" s="33" customFormat="1" ht="12.75">
      <c r="A161" s="32" t="s">
        <v>314</v>
      </c>
      <c r="B161" s="126" t="s">
        <v>315</v>
      </c>
      <c r="C161" s="34"/>
      <c r="D161" s="119"/>
      <c r="E161" s="36"/>
      <c r="F161" s="37">
        <f>X161</f>
        <v>3.19</v>
      </c>
      <c r="G161" s="120">
        <f>Y161</f>
        <v>452.4276753789292</v>
      </c>
      <c r="H161" s="123">
        <f>AA161</f>
        <v>39.84927103523831</v>
      </c>
      <c r="I161" s="35">
        <v>3.218</v>
      </c>
      <c r="J161" s="120">
        <f>3731/L160</f>
        <v>488.7538153189148</v>
      </c>
      <c r="L161" s="123">
        <f>309/L160</f>
        <v>40.47840496744698</v>
      </c>
      <c r="M161" s="121"/>
      <c r="R161" s="121"/>
      <c r="X161" s="35">
        <v>3.19</v>
      </c>
      <c r="Y161" s="120">
        <f>3758/AA160</f>
        <v>452.4276753789292</v>
      </c>
      <c r="AA161" s="123">
        <f>331/AA160</f>
        <v>39.84927103523831</v>
      </c>
      <c r="AG161" s="121"/>
    </row>
    <row r="162" spans="1:33" s="33" customFormat="1" ht="12.75">
      <c r="A162" s="32" t="s">
        <v>316</v>
      </c>
      <c r="C162" s="34"/>
      <c r="D162" s="119"/>
      <c r="E162" s="36"/>
      <c r="F162" s="37">
        <f>X162</f>
        <v>2.475</v>
      </c>
      <c r="G162" s="120">
        <f>Y162</f>
        <v>284.09158277902276</v>
      </c>
      <c r="H162" s="123">
        <f>AA162</f>
        <v>29.37529345195815</v>
      </c>
      <c r="I162" s="33">
        <v>1.6</v>
      </c>
      <c r="J162" s="120">
        <f>(1417+366)/L211</f>
        <v>223.83469123868588</v>
      </c>
      <c r="L162" s="123">
        <f>240/L160</f>
        <v>31.43953783879377</v>
      </c>
      <c r="M162" s="121">
        <f>0.33/12</f>
        <v>0.0275</v>
      </c>
      <c r="R162" s="121"/>
      <c r="X162" s="35">
        <v>2.475</v>
      </c>
      <c r="Y162" s="120">
        <f>2396/AA211</f>
        <v>284.09158277902276</v>
      </c>
      <c r="AA162" s="123">
        <f>244/AA160</f>
        <v>29.37529345195815</v>
      </c>
      <c r="AB162" s="121">
        <f>0.31/12</f>
        <v>0.025833333333333333</v>
      </c>
      <c r="AG162" s="121"/>
    </row>
    <row r="163" spans="1:39" s="27" customFormat="1" ht="12.75">
      <c r="A163" s="26" t="s">
        <v>31</v>
      </c>
      <c r="B163" s="104" t="s">
        <v>317</v>
      </c>
      <c r="C163" s="28">
        <f>POPS!$C$116</f>
        <v>199.085</v>
      </c>
      <c r="D163" s="91">
        <f>POPS!E116</f>
        <v>882.3</v>
      </c>
      <c r="E163" s="31">
        <f>F163/C163</f>
        <v>0.6600798653841324</v>
      </c>
      <c r="F163" s="38">
        <f>AH163</f>
        <v>131.412</v>
      </c>
      <c r="G163" s="92">
        <f>SUM(G164:G168)</f>
        <v>755.4974974056788</v>
      </c>
      <c r="H163" s="92">
        <f>D163*AG163</f>
        <v>-5.096591397336176</v>
      </c>
      <c r="I163" s="30">
        <v>135.762</v>
      </c>
      <c r="L163" s="27">
        <v>100.795</v>
      </c>
      <c r="M163" s="106">
        <f>102.6/L163-1</f>
        <v>0.01790763430725728</v>
      </c>
      <c r="N163" s="30">
        <v>134.907</v>
      </c>
      <c r="Q163" s="27">
        <v>101.945</v>
      </c>
      <c r="R163" s="106">
        <f>100.795/Q163-1</f>
        <v>-0.011280592476335172</v>
      </c>
      <c r="S163" s="30">
        <v>114.658</v>
      </c>
      <c r="V163" s="27">
        <v>101.775</v>
      </c>
      <c r="W163" s="106">
        <f>101.95/V163-1</f>
        <v>0.0017194792434291895</v>
      </c>
      <c r="X163" s="30">
        <v>120.94</v>
      </c>
      <c r="AA163" s="27">
        <v>104.125</v>
      </c>
      <c r="AB163" s="106">
        <f>101.78/AA163-1</f>
        <v>-0.022521008403361353</v>
      </c>
      <c r="AC163" s="30">
        <v>125.899</v>
      </c>
      <c r="AF163" s="27">
        <v>104.735</v>
      </c>
      <c r="AG163" s="106">
        <f>104.13/AF163-1</f>
        <v>-0.005776483505991359</v>
      </c>
      <c r="AH163" s="30">
        <v>131.412</v>
      </c>
      <c r="AK163" s="27">
        <v>104.725</v>
      </c>
      <c r="AL163" s="106">
        <f>104.74/AK163-1</f>
        <v>0.00014323227500590008</v>
      </c>
      <c r="AM163" s="30">
        <v>131.412</v>
      </c>
    </row>
    <row r="164" spans="1:39" s="27" customFormat="1" ht="12.75">
      <c r="A164" s="26" t="s">
        <v>318</v>
      </c>
      <c r="B164" s="127" t="s">
        <v>78</v>
      </c>
      <c r="C164" s="28"/>
      <c r="D164" s="91"/>
      <c r="E164" s="31"/>
      <c r="F164" s="38">
        <f>AH164</f>
        <v>38.117</v>
      </c>
      <c r="G164" s="92">
        <f>AI164</f>
        <v>273</v>
      </c>
      <c r="H164" s="93">
        <f>AK164</f>
        <v>2.2</v>
      </c>
      <c r="I164" s="30">
        <v>38.459</v>
      </c>
      <c r="J164" s="92">
        <f>26000/L163</f>
        <v>257.94930304082544</v>
      </c>
      <c r="M164" s="106"/>
      <c r="N164" s="30">
        <v>38.184</v>
      </c>
      <c r="O164" s="27">
        <v>249</v>
      </c>
      <c r="Q164" s="93">
        <v>2</v>
      </c>
      <c r="R164" s="106">
        <f>0.038/3</f>
        <v>0.012666666666666666</v>
      </c>
      <c r="S164" s="30">
        <v>33.424</v>
      </c>
      <c r="T164" s="27">
        <v>257</v>
      </c>
      <c r="V164" s="93">
        <v>2.2</v>
      </c>
      <c r="W164" s="106">
        <v>0.07200000000000001</v>
      </c>
      <c r="X164" s="30">
        <v>35.156</v>
      </c>
      <c r="Y164" s="92">
        <f>25900/AA163</f>
        <v>248.73949579831933</v>
      </c>
      <c r="AA164" s="93">
        <f>230/AA163</f>
        <v>2.2088835534213684</v>
      </c>
      <c r="AC164" s="30">
        <v>36.211</v>
      </c>
      <c r="AD164" s="27">
        <v>256</v>
      </c>
      <c r="AE164" s="107">
        <f>24.8/256</f>
        <v>0.096875</v>
      </c>
      <c r="AF164" s="93">
        <v>2.2</v>
      </c>
      <c r="AG164" s="106">
        <f>0.055/3</f>
        <v>0.018333333333333333</v>
      </c>
      <c r="AH164" s="30">
        <v>38.117</v>
      </c>
      <c r="AI164" s="27">
        <v>273</v>
      </c>
      <c r="AJ164" s="107">
        <f>32.7/273</f>
        <v>0.11978021978021978</v>
      </c>
      <c r="AK164" s="93">
        <v>2.2</v>
      </c>
      <c r="AL164" s="106">
        <f>0.04/3</f>
        <v>0.013333333333333334</v>
      </c>
      <c r="AM164" s="30">
        <v>38.117</v>
      </c>
    </row>
    <row r="165" spans="1:39" s="27" customFormat="1" ht="12.75">
      <c r="A165" s="26" t="s">
        <v>319</v>
      </c>
      <c r="C165" s="28"/>
      <c r="D165" s="91"/>
      <c r="E165" s="31"/>
      <c r="F165" s="38">
        <f>AH165</f>
        <v>24.669</v>
      </c>
      <c r="G165" s="38"/>
      <c r="H165" s="93"/>
      <c r="I165" s="30">
        <v>26.34</v>
      </c>
      <c r="M165" s="106"/>
      <c r="N165" s="30">
        <v>27.429</v>
      </c>
      <c r="R165" s="106"/>
      <c r="S165" s="30">
        <v>22.102</v>
      </c>
      <c r="X165" s="30">
        <v>23.518</v>
      </c>
      <c r="AC165" s="30">
        <v>24.133</v>
      </c>
      <c r="AG165" s="106"/>
      <c r="AH165" s="30">
        <v>24.669</v>
      </c>
      <c r="AM165" s="30">
        <v>24.669</v>
      </c>
    </row>
    <row r="166" spans="1:39" s="27" customFormat="1" ht="12.75">
      <c r="A166" s="26" t="s">
        <v>320</v>
      </c>
      <c r="C166" s="28"/>
      <c r="D166" s="91"/>
      <c r="E166" s="31"/>
      <c r="F166" s="38">
        <f>AH166</f>
        <v>36.784</v>
      </c>
      <c r="G166" s="92">
        <f>Y166</f>
        <v>202.61729049035068</v>
      </c>
      <c r="H166" s="93">
        <f>AA166</f>
        <v>2.0466392978823302</v>
      </c>
      <c r="I166" s="30">
        <v>36.539</v>
      </c>
      <c r="J166" s="92">
        <f>1342/L160</f>
        <v>175.7994157485885</v>
      </c>
      <c r="L166" s="93">
        <f>12/L160</f>
        <v>1.5719768919396884</v>
      </c>
      <c r="M166" s="106"/>
      <c r="N166" s="30">
        <v>36.598</v>
      </c>
      <c r="R166" s="106"/>
      <c r="S166" s="30">
        <v>31.491</v>
      </c>
      <c r="X166" s="30">
        <v>33.191</v>
      </c>
      <c r="Y166" s="92">
        <f>1683/AA160</f>
        <v>202.61729049035068</v>
      </c>
      <c r="AA166" s="93">
        <f>17/AA160</f>
        <v>2.0466392978823302</v>
      </c>
      <c r="AC166" s="30">
        <v>34.928</v>
      </c>
      <c r="AG166" s="106"/>
      <c r="AH166" s="30">
        <v>36.784</v>
      </c>
      <c r="AM166" s="30">
        <v>36.784</v>
      </c>
    </row>
    <row r="167" spans="1:39" s="27" customFormat="1" ht="12.75">
      <c r="A167" s="26" t="s">
        <v>321</v>
      </c>
      <c r="B167" s="27" t="s">
        <v>194</v>
      </c>
      <c r="C167" s="28"/>
      <c r="D167" s="91"/>
      <c r="E167" s="31"/>
      <c r="F167" s="38">
        <f>AH167</f>
        <v>20.82</v>
      </c>
      <c r="G167" s="92">
        <f>AI167</f>
        <v>279.8802069153281</v>
      </c>
      <c r="H167" s="38"/>
      <c r="I167" s="30">
        <v>21.955</v>
      </c>
      <c r="J167" s="92">
        <f>1101/(0.27*3.672)</f>
        <v>1110.5059307673685</v>
      </c>
      <c r="M167" s="106"/>
      <c r="N167" s="30">
        <v>21.507</v>
      </c>
      <c r="R167" s="106"/>
      <c r="S167" s="30">
        <v>17.809</v>
      </c>
      <c r="T167" s="92">
        <f>2204/(2*3.6719)</f>
        <v>300.1171055856641</v>
      </c>
      <c r="X167" s="30">
        <v>18.75</v>
      </c>
      <c r="Y167" s="92">
        <f>1040/3.6719</f>
        <v>283.2321141643291</v>
      </c>
      <c r="AC167" s="30">
        <v>19.931</v>
      </c>
      <c r="AG167" s="106"/>
      <c r="AH167" s="30">
        <v>20.82</v>
      </c>
      <c r="AI167" s="92">
        <f>1028/3.673</f>
        <v>279.8802069153281</v>
      </c>
      <c r="AM167" s="30">
        <v>20.82</v>
      </c>
    </row>
    <row r="168" spans="1:39" s="27" customFormat="1" ht="12.75">
      <c r="A168" s="26" t="s">
        <v>322</v>
      </c>
      <c r="C168" s="28"/>
      <c r="D168" s="91"/>
      <c r="E168" s="31"/>
      <c r="F168" s="38">
        <f>AH168</f>
        <v>11.02</v>
      </c>
      <c r="G168" s="38"/>
      <c r="H168" s="38"/>
      <c r="I168" s="30">
        <v>12.466</v>
      </c>
      <c r="M168" s="106"/>
      <c r="N168" s="30">
        <v>11.187</v>
      </c>
      <c r="R168" s="106"/>
      <c r="S168" s="30">
        <v>9.83</v>
      </c>
      <c r="X168" s="30">
        <v>10.323</v>
      </c>
      <c r="AC168" s="30">
        <v>10.694</v>
      </c>
      <c r="AG168" s="106"/>
      <c r="AH168" s="30">
        <v>11.02</v>
      </c>
      <c r="AM168" s="30">
        <v>11.02</v>
      </c>
    </row>
    <row r="169" spans="1:38" s="33" customFormat="1" ht="12.75">
      <c r="A169" s="32" t="s">
        <v>323</v>
      </c>
      <c r="C169" s="34">
        <f>POPS!$C$120</f>
        <v>30.444</v>
      </c>
      <c r="D169" s="128">
        <f>POPS!E120</f>
        <v>371.3</v>
      </c>
      <c r="E169" s="36">
        <f>F169/C169</f>
        <v>1.179197871501774</v>
      </c>
      <c r="F169" s="37">
        <f>F170+F171+F172+F173+3.5</f>
        <v>35.8995</v>
      </c>
      <c r="G169" s="37"/>
      <c r="H169" s="35">
        <f>D169*AG169</f>
        <v>-19.024839513410534</v>
      </c>
      <c r="L169" s="33">
        <v>2.9644</v>
      </c>
      <c r="M169" s="121">
        <f>2.892/L169-1</f>
        <v>-0.024423154769936617</v>
      </c>
      <c r="Q169" s="33">
        <v>3.0965</v>
      </c>
      <c r="R169" s="121">
        <f>2.9644/Q169-1</f>
        <v>-0.04266106894881316</v>
      </c>
      <c r="S169" s="35">
        <f>12.37/0.39</f>
        <v>31.717948717948715</v>
      </c>
      <c r="V169" s="33">
        <v>3.1795</v>
      </c>
      <c r="W169" s="121">
        <f>3.0965/V169-1</f>
        <v>-0.026104733448655493</v>
      </c>
      <c r="Y169" s="120">
        <f>9500/(4*AA169)</f>
        <v>733.7720517811351</v>
      </c>
      <c r="AA169" s="33">
        <v>3.2367</v>
      </c>
      <c r="AB169" s="121">
        <f>3.1795/AA169-1</f>
        <v>-0.017672320573423494</v>
      </c>
      <c r="AC169" s="33">
        <v>33.2</v>
      </c>
      <c r="AF169" s="33">
        <v>3.4115</v>
      </c>
      <c r="AG169" s="121">
        <f>3.2367/AF169-1</f>
        <v>-0.05123845815623629</v>
      </c>
      <c r="AK169" s="33">
        <v>3.344</v>
      </c>
      <c r="AL169" s="121">
        <f>3.4115/AK169-1</f>
        <v>0.020185406698564723</v>
      </c>
    </row>
    <row r="170" spans="1:33" s="33" customFormat="1" ht="12.75">
      <c r="A170" s="32" t="s">
        <v>324</v>
      </c>
      <c r="C170" s="34"/>
      <c r="D170" s="119"/>
      <c r="E170" s="36"/>
      <c r="F170" s="37">
        <f>AC170</f>
        <v>16.7865</v>
      </c>
      <c r="G170" s="120">
        <f>AD170</f>
        <v>425.69406641262924</v>
      </c>
      <c r="H170" s="123">
        <f>AF170</f>
        <v>7.294501905280348</v>
      </c>
      <c r="I170" s="35">
        <v>16.79</v>
      </c>
      <c r="J170" s="120">
        <f>386/L203</f>
        <v>460.8955223880597</v>
      </c>
      <c r="K170" s="124">
        <f>2/6.9</f>
        <v>0.2898550724637681</v>
      </c>
      <c r="L170" s="123">
        <f>6.9/L203</f>
        <v>8.238805970149254</v>
      </c>
      <c r="M170" s="121">
        <f>0.037</f>
        <v>0.037</v>
      </c>
      <c r="N170" s="35">
        <v>16.87</v>
      </c>
      <c r="O170" s="120">
        <f>394/Q203</f>
        <v>424.4774833010127</v>
      </c>
      <c r="P170" s="124">
        <f>2.2/7</f>
        <v>0.31428571428571433</v>
      </c>
      <c r="Q170" s="123">
        <f>7/Q203</f>
        <v>7.541478129713424</v>
      </c>
      <c r="R170" s="121">
        <f>0.04</f>
        <v>0.04</v>
      </c>
      <c r="S170" s="35">
        <v>16.8191</v>
      </c>
      <c r="T170" s="120">
        <f>385/Q203</f>
        <v>414.7812971342383</v>
      </c>
      <c r="U170" s="124">
        <f>2.3/6.8</f>
        <v>0.338235294117647</v>
      </c>
      <c r="V170" s="123">
        <f>6.8/Q203</f>
        <v>7.326007326007326</v>
      </c>
      <c r="W170" s="121">
        <f>0.043</f>
        <v>0.043</v>
      </c>
      <c r="X170" s="35">
        <v>16.773</v>
      </c>
      <c r="Y170" s="120">
        <f>396/AA203</f>
        <v>446.09665427509293</v>
      </c>
      <c r="Z170" s="124">
        <f>2.2/6.8</f>
        <v>0.3235294117647059</v>
      </c>
      <c r="AA170" s="123">
        <f>6.8/AA203</f>
        <v>7.660245578461192</v>
      </c>
      <c r="AB170" s="121">
        <v>0.042</v>
      </c>
      <c r="AC170" s="35">
        <v>16.7865</v>
      </c>
      <c r="AD170" s="120">
        <f>391/AF203</f>
        <v>425.69406641262924</v>
      </c>
      <c r="AE170" s="124">
        <f>2.1/6.7</f>
        <v>0.31343283582089554</v>
      </c>
      <c r="AF170" s="123">
        <f>6.7/AF203</f>
        <v>7.294501905280348</v>
      </c>
      <c r="AG170" s="121">
        <v>0.043</v>
      </c>
    </row>
    <row r="171" spans="1:38" s="33" customFormat="1" ht="12.75">
      <c r="A171" s="32" t="s">
        <v>118</v>
      </c>
      <c r="C171" s="34"/>
      <c r="D171" s="119"/>
      <c r="E171" s="36"/>
      <c r="F171" s="37">
        <f>AH171</f>
        <v>12.07</v>
      </c>
      <c r="G171" s="120">
        <f>AI171</f>
        <v>318.1818181818182</v>
      </c>
      <c r="H171" s="123">
        <f>AK171</f>
        <v>7.476076555023924</v>
      </c>
      <c r="I171" s="35">
        <v>12.489</v>
      </c>
      <c r="J171" s="120">
        <f>1198/L169</f>
        <v>404.1289974362434</v>
      </c>
      <c r="L171" s="123">
        <f>27/L169</f>
        <v>9.108082579948725</v>
      </c>
      <c r="M171" s="121">
        <f>0.047/3</f>
        <v>0.015666666666666666</v>
      </c>
      <c r="N171" s="35">
        <v>12.39</v>
      </c>
      <c r="O171" s="120">
        <f>1165/Q169</f>
        <v>376.2312288067173</v>
      </c>
      <c r="Q171" s="123">
        <f>27/Q169</f>
        <v>8.719522041014049</v>
      </c>
      <c r="R171" s="121">
        <f>0.016</f>
        <v>0.016</v>
      </c>
      <c r="S171" s="35">
        <v>12.37</v>
      </c>
      <c r="T171" s="120">
        <f>1102/V169</f>
        <v>346.59537663154583</v>
      </c>
      <c r="V171" s="123">
        <f>25/V169</f>
        <v>7.862871520679352</v>
      </c>
      <c r="W171" s="121">
        <f>0.047/3</f>
        <v>0.015666666666666666</v>
      </c>
      <c r="X171" s="35">
        <v>12.354</v>
      </c>
      <c r="Y171" s="120">
        <f>1138/AA169</f>
        <v>351.5926715481818</v>
      </c>
      <c r="AA171" s="123">
        <f>25/AA169</f>
        <v>7.723916334538265</v>
      </c>
      <c r="AB171" s="121">
        <f>0.046/3</f>
        <v>0.015333333333333332</v>
      </c>
      <c r="AC171" s="35">
        <v>12.084</v>
      </c>
      <c r="AD171" s="120">
        <f>(1304-206)/AF169</f>
        <v>321.85255752601495</v>
      </c>
      <c r="AF171" s="123">
        <f>25/AF169</f>
        <v>7.328154770628755</v>
      </c>
      <c r="AG171" s="121">
        <f>0.05/3</f>
        <v>0.016666666666666666</v>
      </c>
      <c r="AH171" s="35">
        <v>12.07</v>
      </c>
      <c r="AI171" s="120">
        <f>1064/AK169</f>
        <v>318.1818181818182</v>
      </c>
      <c r="AK171" s="123">
        <f>25/AK169</f>
        <v>7.476076555023924</v>
      </c>
      <c r="AL171" s="121">
        <v>0.051</v>
      </c>
    </row>
    <row r="172" spans="1:33" s="33" customFormat="1" ht="12.75">
      <c r="A172" s="32" t="s">
        <v>325</v>
      </c>
      <c r="C172" s="34"/>
      <c r="D172" s="119"/>
      <c r="E172" s="36"/>
      <c r="F172" s="37">
        <f>AC172</f>
        <v>1</v>
      </c>
      <c r="G172" s="120"/>
      <c r="H172" s="123"/>
      <c r="I172" s="35"/>
      <c r="J172" s="120"/>
      <c r="L172" s="123"/>
      <c r="M172" s="121"/>
      <c r="N172" s="35"/>
      <c r="O172" s="120"/>
      <c r="Q172" s="123"/>
      <c r="R172" s="121"/>
      <c r="S172" s="35">
        <v>0.62</v>
      </c>
      <c r="T172" s="120"/>
      <c r="V172" s="123"/>
      <c r="W172" s="121"/>
      <c r="X172" s="35"/>
      <c r="Y172" s="120"/>
      <c r="AA172" s="123"/>
      <c r="AB172" s="121"/>
      <c r="AC172" s="35">
        <v>1</v>
      </c>
      <c r="AG172" s="121"/>
    </row>
    <row r="173" spans="1:33" s="33" customFormat="1" ht="12.75">
      <c r="A173" s="32" t="s">
        <v>326</v>
      </c>
      <c r="C173" s="34"/>
      <c r="D173" s="119"/>
      <c r="E173" s="36"/>
      <c r="F173" s="37">
        <f>X173</f>
        <v>2.543</v>
      </c>
      <c r="G173" s="120">
        <f>Y173</f>
        <v>96.669</v>
      </c>
      <c r="H173" s="123">
        <f>L173</f>
        <v>13</v>
      </c>
      <c r="I173" s="35">
        <v>1.738</v>
      </c>
      <c r="J173" s="120">
        <v>73.1</v>
      </c>
      <c r="L173" s="123">
        <v>13</v>
      </c>
      <c r="M173" s="121">
        <f>0.064/3</f>
        <v>0.021333333333333333</v>
      </c>
      <c r="R173" s="121"/>
      <c r="S173" s="35">
        <v>2.4</v>
      </c>
      <c r="T173" s="120">
        <v>10.9</v>
      </c>
      <c r="V173" s="123">
        <v>11.4</v>
      </c>
      <c r="W173" s="121">
        <v>0.09230000000000001</v>
      </c>
      <c r="X173" s="35">
        <v>2.543</v>
      </c>
      <c r="Y173" s="120">
        <f>96.669</f>
        <v>96.669</v>
      </c>
      <c r="AG173" s="121"/>
    </row>
    <row r="174" spans="1:38" s="27" customFormat="1" ht="12.75">
      <c r="A174" s="26" t="s">
        <v>32</v>
      </c>
      <c r="C174" s="28">
        <f>POPS!$C$121</f>
        <v>100.998</v>
      </c>
      <c r="D174" s="91">
        <f>POPS!E121</f>
        <v>692.2</v>
      </c>
      <c r="E174" s="31">
        <f>F174/C174</f>
        <v>1.2059941781025365</v>
      </c>
      <c r="F174" s="38">
        <f>SUM(F175:F176)</f>
        <v>121.803</v>
      </c>
      <c r="G174" s="92">
        <f>SUM(G175:G176)</f>
        <v>1098.1385945744282</v>
      </c>
      <c r="H174" s="30">
        <f>D174*AG174</f>
        <v>-2.9292053509566047</v>
      </c>
      <c r="L174" s="27">
        <v>45.071</v>
      </c>
      <c r="M174" s="106">
        <f>44.955/L174-1</f>
        <v>-0.002573717024250577</v>
      </c>
      <c r="N174" s="30">
        <f>46.103/0.398</f>
        <v>115.83668341708542</v>
      </c>
      <c r="Q174" s="27">
        <v>44.6095</v>
      </c>
      <c r="R174" s="106">
        <f>45.071/Q174-1</f>
        <v>0.010345330030598898</v>
      </c>
      <c r="V174" s="27">
        <v>45.1775</v>
      </c>
      <c r="W174" s="106">
        <f>44.61/V174-1</f>
        <v>-0.012561562724807795</v>
      </c>
      <c r="AA174" s="27">
        <v>46.7085</v>
      </c>
      <c r="AB174" s="106">
        <f>45.178/AA174-1</f>
        <v>-0.03276705524690371</v>
      </c>
      <c r="AF174" s="27">
        <v>46.9075</v>
      </c>
      <c r="AG174" s="106">
        <f>46.709/AF174-1</f>
        <v>-0.004231732665351928</v>
      </c>
      <c r="AK174" s="27">
        <v>46.096</v>
      </c>
      <c r="AL174" s="106">
        <f>46.908/AK174-1</f>
        <v>0.017615411315515583</v>
      </c>
    </row>
    <row r="175" spans="1:33" s="27" customFormat="1" ht="12.75">
      <c r="A175" s="26" t="s">
        <v>327</v>
      </c>
      <c r="B175" s="27" t="s">
        <v>328</v>
      </c>
      <c r="C175" s="28"/>
      <c r="D175" s="91"/>
      <c r="E175" s="31"/>
      <c r="F175" s="38">
        <f>AC175</f>
        <v>68.87</v>
      </c>
      <c r="G175" s="92">
        <f>AD175</f>
        <v>577.9885945744284</v>
      </c>
      <c r="H175" s="93">
        <f>AF175</f>
        <v>2.5155891914938975</v>
      </c>
      <c r="M175" s="106"/>
      <c r="N175" s="30">
        <f>69.622+3.391</f>
        <v>73.013</v>
      </c>
      <c r="O175" s="92">
        <f>29176/Q174</f>
        <v>654.0310920319663</v>
      </c>
      <c r="P175" s="107">
        <f>12.454/24.368</f>
        <v>0.5110801050558109</v>
      </c>
      <c r="R175" s="106">
        <v>0.052000000000000005</v>
      </c>
      <c r="S175" s="30">
        <f>68.862+3.676</f>
        <v>72.538</v>
      </c>
      <c r="T175" s="92">
        <f>27309/V174</f>
        <v>604.482319738808</v>
      </c>
      <c r="V175" s="93">
        <f>118/V174</f>
        <v>2.6119196502683857</v>
      </c>
      <c r="X175" s="30">
        <f>67.002+3.789</f>
        <v>70.791</v>
      </c>
      <c r="Y175" s="92">
        <f>27253/AA174</f>
        <v>583.4698181273216</v>
      </c>
      <c r="AC175" s="30">
        <f>64.938+3.932</f>
        <v>68.87</v>
      </c>
      <c r="AD175" s="92">
        <f>27112/AF174</f>
        <v>577.9885945744284</v>
      </c>
      <c r="AF175" s="93">
        <f>118/AF174</f>
        <v>2.5155891914938975</v>
      </c>
      <c r="AG175" s="106"/>
    </row>
    <row r="176" spans="1:33" s="27" customFormat="1" ht="12.75">
      <c r="A176" s="26" t="s">
        <v>329</v>
      </c>
      <c r="B176" s="108" t="s">
        <v>330</v>
      </c>
      <c r="C176" s="28"/>
      <c r="D176" s="91"/>
      <c r="E176" s="31"/>
      <c r="F176" s="38">
        <f>AC176</f>
        <v>52.933</v>
      </c>
      <c r="G176" s="92">
        <f>AD176</f>
        <v>520.15</v>
      </c>
      <c r="H176" s="93">
        <f>V176</f>
        <v>2.855403685462896</v>
      </c>
      <c r="I176" s="30">
        <v>44.04</v>
      </c>
      <c r="J176" s="92">
        <f>20496/L174</f>
        <v>454.74917352621424</v>
      </c>
      <c r="L176" s="93">
        <f>135/L174</f>
        <v>2.9952741230502986</v>
      </c>
      <c r="M176" s="106">
        <v>0.069</v>
      </c>
      <c r="N176" s="30">
        <v>46.103</v>
      </c>
      <c r="R176" s="106"/>
      <c r="S176" s="30">
        <v>48.351</v>
      </c>
      <c r="T176" s="92">
        <f>(21304)/V174</f>
        <v>471.5621714348957</v>
      </c>
      <c r="U176" s="107">
        <f>(11814/21304)</f>
        <v>0.554543747653023</v>
      </c>
      <c r="V176" s="93">
        <f>129/V174</f>
        <v>2.855403685462896</v>
      </c>
      <c r="W176" s="106">
        <v>0.063</v>
      </c>
      <c r="X176" s="30">
        <v>50.112</v>
      </c>
      <c r="Y176" s="92">
        <f>472*1.07</f>
        <v>505.04</v>
      </c>
      <c r="AC176" s="30">
        <v>52.933</v>
      </c>
      <c r="AD176" s="92">
        <f>505*1.03</f>
        <v>520.15</v>
      </c>
      <c r="AG176" s="106"/>
    </row>
    <row r="177" spans="1:38" s="33" customFormat="1" ht="12.75">
      <c r="A177" s="32" t="s">
        <v>33</v>
      </c>
      <c r="B177" s="126" t="s">
        <v>331</v>
      </c>
      <c r="C177" s="34">
        <f>POPS!$C$122</f>
        <v>38.562</v>
      </c>
      <c r="D177" s="119">
        <f>POPS!E122</f>
        <v>954.5</v>
      </c>
      <c r="E177" s="36">
        <f>F177/C177</f>
        <v>1.0822571443389866</v>
      </c>
      <c r="F177" s="37">
        <f>SUM(F178:F180)</f>
        <v>41.733999999999995</v>
      </c>
      <c r="G177" s="37"/>
      <c r="H177" s="35">
        <f>D177*AG177</f>
        <v>-41.38595419847336</v>
      </c>
      <c r="L177" s="33">
        <v>3.6</v>
      </c>
      <c r="M177" s="121">
        <f>3.3145/L177-1</f>
        <v>-0.07930555555555563</v>
      </c>
      <c r="Q177" s="33">
        <v>3.7864</v>
      </c>
      <c r="R177" s="121">
        <f>3.6/Q177-1</f>
        <v>-0.04922881893091058</v>
      </c>
      <c r="V177" s="33">
        <v>3.7756</v>
      </c>
      <c r="W177" s="121">
        <f>3.7864/V177-1</f>
        <v>0.0028604725076808446</v>
      </c>
      <c r="AA177" s="33">
        <v>3.7595</v>
      </c>
      <c r="AB177" s="121">
        <f>3.7756/AA177-1</f>
        <v>0.004282484372921891</v>
      </c>
      <c r="AF177" s="33">
        <v>3.93</v>
      </c>
      <c r="AG177" s="121">
        <f>3.7596/AF177-1</f>
        <v>-0.043358778625954275</v>
      </c>
      <c r="AK177" s="33">
        <v>3.7326</v>
      </c>
      <c r="AL177" s="121">
        <f>3.93/AK177-1</f>
        <v>0.05288538820125388</v>
      </c>
    </row>
    <row r="178" spans="1:33" s="33" customFormat="1" ht="12.75">
      <c r="A178" s="32" t="s">
        <v>332</v>
      </c>
      <c r="C178" s="34"/>
      <c r="D178" s="119"/>
      <c r="E178" s="36"/>
      <c r="F178" s="37">
        <f>AC178</f>
        <v>15.913</v>
      </c>
      <c r="G178" s="120">
        <f>AD178</f>
        <v>396.2983124659771</v>
      </c>
      <c r="H178" s="123">
        <f>AF178</f>
        <v>32.98856831790963</v>
      </c>
      <c r="I178" s="35">
        <v>15.629</v>
      </c>
      <c r="J178" s="120">
        <f>(331+35)/L81</f>
        <v>437.0149253731343</v>
      </c>
      <c r="L178" s="123">
        <f>31.5/L81</f>
        <v>37.61194029850746</v>
      </c>
      <c r="M178" s="121">
        <f>0.393/12</f>
        <v>0.03275</v>
      </c>
      <c r="N178" s="35">
        <f>15.518+0.011</f>
        <v>15.529</v>
      </c>
      <c r="O178" s="120">
        <f>(326+33)/Q81</f>
        <v>386.77009265244556</v>
      </c>
      <c r="Q178" s="123">
        <f>31.1/Q81</f>
        <v>33.50570997629821</v>
      </c>
      <c r="R178" s="121">
        <f>0.401/12</f>
        <v>0.03341666666666667</v>
      </c>
      <c r="S178" s="35">
        <f>15.587+0.008</f>
        <v>15.594999999999999</v>
      </c>
      <c r="T178" s="120">
        <f>(338+36)/V81</f>
        <v>414.86411536328336</v>
      </c>
      <c r="V178" s="123">
        <f>30.7/V81</f>
        <v>34.05435385468663</v>
      </c>
      <c r="W178" s="121">
        <f>0.404/12</f>
        <v>0.03366666666666667</v>
      </c>
      <c r="X178" s="35">
        <v>15.701</v>
      </c>
      <c r="Y178" s="120">
        <f>(330+41)/AA81</f>
        <v>417.93398670722087</v>
      </c>
      <c r="AA178" s="123">
        <f>30.5/AA81</f>
        <v>34.358454432803875</v>
      </c>
      <c r="AB178" s="121">
        <f>0.401/12</f>
        <v>0.03341666666666667</v>
      </c>
      <c r="AC178" s="35">
        <f>15.906+0.007</f>
        <v>15.913</v>
      </c>
      <c r="AD178" s="120">
        <f>(320+44)/AF81</f>
        <v>396.2983124659771</v>
      </c>
      <c r="AF178" s="123">
        <f>30.3/AF81</f>
        <v>32.98856831790963</v>
      </c>
      <c r="AG178" s="121">
        <f>0.394/12</f>
        <v>0.03283333333333333</v>
      </c>
    </row>
    <row r="179" spans="1:33" s="33" customFormat="1" ht="12.75">
      <c r="A179" s="32" t="s">
        <v>333</v>
      </c>
      <c r="B179" s="126" t="s">
        <v>334</v>
      </c>
      <c r="C179" s="34"/>
      <c r="D179" s="119"/>
      <c r="E179" s="36"/>
      <c r="F179" s="37">
        <f>I179</f>
        <v>14</v>
      </c>
      <c r="G179" s="120"/>
      <c r="H179" s="123"/>
      <c r="I179" s="35">
        <v>14</v>
      </c>
      <c r="M179" s="121"/>
      <c r="R179" s="121"/>
      <c r="AG179" s="121"/>
    </row>
    <row r="180" spans="1:38" s="33" customFormat="1" ht="12.75">
      <c r="A180" s="32" t="s">
        <v>335</v>
      </c>
      <c r="C180" s="34"/>
      <c r="D180" s="119"/>
      <c r="E180" s="36"/>
      <c r="F180" s="37">
        <f>AH180</f>
        <v>11.821</v>
      </c>
      <c r="G180" s="120">
        <f>AI180</f>
        <v>403.3268770650564</v>
      </c>
      <c r="H180" s="123">
        <f>AK180</f>
        <v>7.975390224450267</v>
      </c>
      <c r="I180" s="35">
        <v>15.702</v>
      </c>
      <c r="J180" s="120">
        <f>389/L86</f>
        <v>464.4776119402985</v>
      </c>
      <c r="K180" s="124">
        <v>0.38</v>
      </c>
      <c r="L180" s="123">
        <f>6/L86</f>
        <v>7.164179104477612</v>
      </c>
      <c r="M180" s="121">
        <v>0.023</v>
      </c>
      <c r="N180" s="35">
        <v>15.794</v>
      </c>
      <c r="O180" s="120">
        <f>382/Q81</f>
        <v>411.54923507864686</v>
      </c>
      <c r="P180" s="124">
        <v>0.39</v>
      </c>
      <c r="Q180" s="123">
        <f>5/Q81</f>
        <v>5.386770092652445</v>
      </c>
      <c r="R180" s="121">
        <v>0.02</v>
      </c>
      <c r="S180" s="35">
        <v>15.827</v>
      </c>
      <c r="T180" s="120">
        <f>358/V86</f>
        <v>397.11591791458676</v>
      </c>
      <c r="U180" s="124">
        <v>0.39</v>
      </c>
      <c r="V180" s="123">
        <f>6/V86</f>
        <v>6.655574043261231</v>
      </c>
      <c r="W180" s="121">
        <v>0.021</v>
      </c>
      <c r="X180" s="35">
        <v>15.696</v>
      </c>
      <c r="Y180" s="120">
        <f>365/AA86</f>
        <v>411.1749464909316</v>
      </c>
      <c r="Z180" s="124">
        <v>0.39</v>
      </c>
      <c r="AA180" s="123">
        <f>6/AA86</f>
        <v>6.759040216289287</v>
      </c>
      <c r="AB180" s="121">
        <v>0.026000000000000002</v>
      </c>
      <c r="AC180" s="35">
        <v>12.056</v>
      </c>
      <c r="AD180" s="120">
        <f>362/AF86</f>
        <v>394.1208492106695</v>
      </c>
      <c r="AE180" s="124">
        <v>0.4</v>
      </c>
      <c r="AF180" s="123">
        <f>6/AF86</f>
        <v>6.5323897659227</v>
      </c>
      <c r="AG180" s="121">
        <v>0.11</v>
      </c>
      <c r="AH180" s="35">
        <v>11.821</v>
      </c>
      <c r="AI180" s="120">
        <f>354/AK86</f>
        <v>403.3268770650564</v>
      </c>
      <c r="AJ180" s="124">
        <v>0.39</v>
      </c>
      <c r="AK180" s="123">
        <f>7/AK86</f>
        <v>7.975390224450267</v>
      </c>
      <c r="AL180" s="121">
        <v>0.034</v>
      </c>
    </row>
    <row r="181" spans="1:38" s="27" customFormat="1" ht="12.75">
      <c r="A181" s="26" t="s">
        <v>336</v>
      </c>
      <c r="B181" s="27" t="s">
        <v>337</v>
      </c>
      <c r="C181" s="28">
        <f>POPS!$C$123</f>
        <v>10.825</v>
      </c>
      <c r="D181" s="91">
        <f>POPS!E123</f>
        <v>280.4</v>
      </c>
      <c r="E181" s="31">
        <f>F181/C181</f>
        <v>1.0292840646651271</v>
      </c>
      <c r="F181" s="38">
        <f>SUM(F182:F183)</f>
        <v>11.142</v>
      </c>
      <c r="G181" s="38"/>
      <c r="H181" s="30">
        <f>D181*AG181</f>
        <v>-9.40263473053892</v>
      </c>
      <c r="L181" s="27">
        <v>0.8375</v>
      </c>
      <c r="M181" s="106">
        <f>0.7928/L181-1</f>
        <v>-0.05337313432835811</v>
      </c>
      <c r="Q181" s="27">
        <v>0.9282</v>
      </c>
      <c r="R181" s="106">
        <f>0.8375/Q181-1</f>
        <v>-0.09771600948071535</v>
      </c>
      <c r="V181" s="27">
        <v>0.9015000000000001</v>
      </c>
      <c r="W181" s="106">
        <f>0.9282/V181-1</f>
        <v>0.02961730449251232</v>
      </c>
      <c r="AA181" s="27">
        <v>0.8877</v>
      </c>
      <c r="AB181" s="106">
        <f>0.9015/AA181-1</f>
        <v>0.01554579249746535</v>
      </c>
      <c r="AF181" s="27">
        <v>0.9185000000000001</v>
      </c>
      <c r="AG181" s="106">
        <f>0.8877/AF181-1</f>
        <v>-0.033532934131736525</v>
      </c>
      <c r="AK181" s="27">
        <v>0.8777</v>
      </c>
      <c r="AL181" s="106">
        <f>0.9185/AK181-1</f>
        <v>0.046485131593938744</v>
      </c>
    </row>
    <row r="182" spans="1:33" s="27" customFormat="1" ht="12.75">
      <c r="A182" s="26" t="s">
        <v>338</v>
      </c>
      <c r="B182" s="104" t="s">
        <v>205</v>
      </c>
      <c r="C182" s="28"/>
      <c r="D182" s="91"/>
      <c r="E182" s="31"/>
      <c r="F182" s="38">
        <f>X182</f>
        <v>6.234</v>
      </c>
      <c r="G182" s="92">
        <f>Y182</f>
        <v>657.8799143854906</v>
      </c>
      <c r="H182" s="93">
        <f>AA182</f>
        <v>8.33614960009012</v>
      </c>
      <c r="M182" s="106"/>
      <c r="R182" s="106"/>
      <c r="X182" s="30">
        <f>6.234</f>
        <v>6.234</v>
      </c>
      <c r="Y182" s="92">
        <f>584/AA181</f>
        <v>657.8799143854906</v>
      </c>
      <c r="AA182" s="93">
        <f>7.4/AA181</f>
        <v>8.33614960009012</v>
      </c>
      <c r="AG182" s="106"/>
    </row>
    <row r="183" spans="1:33" s="27" customFormat="1" ht="12.75">
      <c r="A183" s="26" t="s">
        <v>339</v>
      </c>
      <c r="C183" s="28"/>
      <c r="D183" s="91"/>
      <c r="E183" s="31"/>
      <c r="F183" s="38">
        <f>AC183</f>
        <v>4.908</v>
      </c>
      <c r="G183" s="92">
        <f>AD183</f>
        <v>238.0248373743347</v>
      </c>
      <c r="H183" s="93">
        <f>AF183</f>
        <v>13.0647795318454</v>
      </c>
      <c r="I183" s="30">
        <v>5.207</v>
      </c>
      <c r="J183" s="92">
        <f>177/L234</f>
        <v>270.5594619382452</v>
      </c>
      <c r="L183" s="27">
        <f>11.9/L181</f>
        <v>14.208955223880597</v>
      </c>
      <c r="M183" s="106"/>
      <c r="N183" s="30">
        <v>5.043</v>
      </c>
      <c r="O183" s="92">
        <f>160/Q234</f>
        <v>237.741456166419</v>
      </c>
      <c r="R183" s="106"/>
      <c r="S183" s="30">
        <f>5.043+0.123-0.238</f>
        <v>4.928</v>
      </c>
      <c r="T183" s="92">
        <f>159/V234</f>
        <v>248.78735722109215</v>
      </c>
      <c r="V183" s="93">
        <f>12.1/V181</f>
        <v>13.422074320576815</v>
      </c>
      <c r="X183" s="30">
        <v>4.9719999999999995</v>
      </c>
      <c r="Y183" s="92">
        <f>166/AA234</f>
        <v>254.91400491400492</v>
      </c>
      <c r="AA183" s="93">
        <f>12.4/AA203</f>
        <v>13.968683113664525</v>
      </c>
      <c r="AC183" s="30">
        <v>4.908</v>
      </c>
      <c r="AD183" s="27">
        <f>161/AF234</f>
        <v>238.0248373743347</v>
      </c>
      <c r="AF183" s="93">
        <f>12/AF181</f>
        <v>13.0647795318454</v>
      </c>
      <c r="AG183" s="106"/>
    </row>
    <row r="184" spans="1:38" s="33" customFormat="1" ht="12.75">
      <c r="A184" s="32" t="s">
        <v>340</v>
      </c>
      <c r="C184" s="34">
        <f>POPS!$C$126</f>
        <v>21.666</v>
      </c>
      <c r="D184" s="119">
        <f>POPS!E126</f>
        <v>392.8</v>
      </c>
      <c r="E184" s="36">
        <f>F184/C184</f>
        <v>1.1342195144465983</v>
      </c>
      <c r="F184" s="37">
        <f>SUM(F185:F187)</f>
        <v>24.573999999999998</v>
      </c>
      <c r="G184" s="37"/>
      <c r="H184" s="35">
        <f>D184*AG184</f>
        <v>-20.21048781074777</v>
      </c>
      <c r="L184" s="33">
        <v>3.7355</v>
      </c>
      <c r="M184" s="121">
        <f>3.4972/L184-1</f>
        <v>-0.06379333422567268</v>
      </c>
      <c r="Q184" s="33">
        <v>4.0949</v>
      </c>
      <c r="R184" s="121">
        <f>3.7355/Q184-1</f>
        <v>-0.08776771105521497</v>
      </c>
      <c r="V184" s="33">
        <v>4.0345</v>
      </c>
      <c r="W184" s="33">
        <f>Q184/V184-1</f>
        <v>0.014970876192836657</v>
      </c>
      <c r="AA184" s="33">
        <v>3.9415</v>
      </c>
      <c r="AB184" s="121">
        <f>4.0345/AA184-1</f>
        <v>0.023595078015983928</v>
      </c>
      <c r="AF184" s="33">
        <v>4.1553</v>
      </c>
      <c r="AG184" s="121">
        <f>3.9415/AF184-1</f>
        <v>-0.05145236204365522</v>
      </c>
      <c r="AK184" s="33">
        <v>3.9213</v>
      </c>
      <c r="AL184" s="121">
        <f>4.1553/AK184-1</f>
        <v>0.05967408767500593</v>
      </c>
    </row>
    <row r="185" spans="1:33" s="33" customFormat="1" ht="12.75">
      <c r="A185" s="32" t="s">
        <v>341</v>
      </c>
      <c r="C185" s="34"/>
      <c r="D185" s="119"/>
      <c r="E185" s="36"/>
      <c r="F185" s="37">
        <f>AC185</f>
        <v>10.177</v>
      </c>
      <c r="G185" s="120">
        <f>AD185</f>
        <v>272.18290691344583</v>
      </c>
      <c r="H185" s="123">
        <f>AF185</f>
        <v>6.967882416984213</v>
      </c>
      <c r="I185" s="35">
        <v>10.531</v>
      </c>
      <c r="J185" s="120">
        <f>190/L81</f>
        <v>226.86567164179104</v>
      </c>
      <c r="L185" s="123">
        <f>6.2/L81</f>
        <v>7.402985074626866</v>
      </c>
      <c r="M185" s="121"/>
      <c r="N185" s="35">
        <v>10.365</v>
      </c>
      <c r="O185" s="120">
        <f>221/Q81</f>
        <v>238.0952380952381</v>
      </c>
      <c r="Q185" s="123">
        <f>6/Q81</f>
        <v>6.464124111182935</v>
      </c>
      <c r="R185" s="121"/>
      <c r="S185" s="35">
        <v>10.205</v>
      </c>
      <c r="V185" s="123">
        <f>6.2/V81</f>
        <v>6.877426511369938</v>
      </c>
      <c r="X185" s="35">
        <v>10.284</v>
      </c>
      <c r="Y185" s="120">
        <f>243/AA81</f>
        <v>273.7411287597161</v>
      </c>
      <c r="AA185" s="123">
        <f>6.3/AA81</f>
        <v>7.096992227103751</v>
      </c>
      <c r="AC185" s="35">
        <v>10.177</v>
      </c>
      <c r="AD185" s="120">
        <f>250/AF81</f>
        <v>272.18290691344583</v>
      </c>
      <c r="AF185" s="123">
        <f>6.4/AF81</f>
        <v>6.967882416984213</v>
      </c>
      <c r="AG185" s="121"/>
    </row>
    <row r="186" spans="1:33" s="33" customFormat="1" ht="12.75">
      <c r="A186" s="32" t="s">
        <v>342</v>
      </c>
      <c r="B186" s="33" t="s">
        <v>343</v>
      </c>
      <c r="C186" s="34"/>
      <c r="D186" s="119"/>
      <c r="E186" s="36"/>
      <c r="F186" s="37">
        <f>AC186</f>
        <v>8.463</v>
      </c>
      <c r="G186" s="120">
        <f>AD186</f>
        <v>184.80189237137787</v>
      </c>
      <c r="H186" s="123">
        <f>AF186</f>
        <v>6.750136091453456</v>
      </c>
      <c r="I186" s="35">
        <v>8.016</v>
      </c>
      <c r="J186" s="120">
        <f>132/L234</f>
        <v>201.77315805564047</v>
      </c>
      <c r="L186" s="123">
        <f>6.2/L181</f>
        <v>7.402985074626866</v>
      </c>
      <c r="M186" s="121"/>
      <c r="N186" s="35">
        <v>8.056</v>
      </c>
      <c r="O186" s="120">
        <f>122/Q234</f>
        <v>181.27786032689448</v>
      </c>
      <c r="R186" s="121"/>
      <c r="S186" s="35">
        <f>8.056+0.02+0.114</f>
        <v>8.19</v>
      </c>
      <c r="T186" s="120">
        <f>120/V234</f>
        <v>187.76404318572995</v>
      </c>
      <c r="V186" s="123">
        <f>6.1/V181</f>
        <v>6.7665002773155845</v>
      </c>
      <c r="X186" s="35">
        <v>8.433</v>
      </c>
      <c r="Y186" s="120">
        <f>125/AA234</f>
        <v>191.95331695331694</v>
      </c>
      <c r="AA186" s="123">
        <f>6.2/AA203</f>
        <v>6.984341556832263</v>
      </c>
      <c r="AC186" s="35">
        <v>8.463</v>
      </c>
      <c r="AD186" s="120">
        <f>125/AF234</f>
        <v>184.80189237137787</v>
      </c>
      <c r="AF186" s="123">
        <f>6.2/AF181</f>
        <v>6.750136091453456</v>
      </c>
      <c r="AG186" s="121"/>
    </row>
    <row r="187" spans="1:38" s="33" customFormat="1" ht="12.75">
      <c r="A187" s="32" t="s">
        <v>344</v>
      </c>
      <c r="B187" s="125" t="s">
        <v>127</v>
      </c>
      <c r="C187" s="34"/>
      <c r="D187" s="119"/>
      <c r="E187" s="36"/>
      <c r="F187" s="37">
        <f>AH187</f>
        <v>5.934</v>
      </c>
      <c r="G187" s="120">
        <f>AI187</f>
        <v>121.90953628802552</v>
      </c>
      <c r="H187" s="123">
        <f>AK187</f>
        <v>5.696707303178762</v>
      </c>
      <c r="I187" s="35">
        <v>6.047</v>
      </c>
      <c r="J187" s="120">
        <f>112/L86</f>
        <v>133.73134328358208</v>
      </c>
      <c r="K187" s="124">
        <v>0.26</v>
      </c>
      <c r="L187" s="123">
        <f>5/L86</f>
        <v>5.970149253731343</v>
      </c>
      <c r="M187" s="121">
        <v>0.029</v>
      </c>
      <c r="N187" s="35">
        <v>6.008</v>
      </c>
      <c r="O187" s="120">
        <f>104/Q81</f>
        <v>112.04481792717087</v>
      </c>
      <c r="P187" s="124">
        <v>0.27</v>
      </c>
      <c r="Q187" s="123">
        <f>4/Q81</f>
        <v>4.309416074121956</v>
      </c>
      <c r="R187" s="121">
        <v>0.028</v>
      </c>
      <c r="S187" s="35">
        <v>6.015</v>
      </c>
      <c r="T187" s="120">
        <f>104/V86</f>
        <v>115.36328341652799</v>
      </c>
      <c r="U187" s="124">
        <v>0.25</v>
      </c>
      <c r="V187" s="123">
        <f>4/V86</f>
        <v>4.437049362174154</v>
      </c>
      <c r="W187" s="121">
        <v>0.027999999999999997</v>
      </c>
      <c r="X187" s="35">
        <v>5.905</v>
      </c>
      <c r="Y187" s="120">
        <f>107/AA86</f>
        <v>120.53621719049228</v>
      </c>
      <c r="Z187" s="124">
        <v>0.27</v>
      </c>
      <c r="AA187" s="123">
        <f>5/AA86</f>
        <v>5.632533513574406</v>
      </c>
      <c r="AB187" s="121">
        <v>0.033</v>
      </c>
      <c r="AC187" s="35">
        <v>5.992</v>
      </c>
      <c r="AD187" s="120">
        <f>115/AF86</f>
        <v>125.20413718018507</v>
      </c>
      <c r="AE187" s="124">
        <v>0.27</v>
      </c>
      <c r="AF187" s="123">
        <f>5/AF86</f>
        <v>5.443658138268916</v>
      </c>
      <c r="AG187" s="121">
        <v>0.031</v>
      </c>
      <c r="AH187" s="35">
        <v>5.934</v>
      </c>
      <c r="AI187" s="120">
        <f>107/AK86</f>
        <v>121.90953628802552</v>
      </c>
      <c r="AJ187" s="124">
        <v>0.29</v>
      </c>
      <c r="AK187" s="123">
        <f>5/AK86</f>
        <v>5.696707303178762</v>
      </c>
      <c r="AL187" s="121">
        <v>0.034</v>
      </c>
    </row>
    <row r="188" spans="1:38" s="27" customFormat="1" ht="12.75">
      <c r="A188" s="26" t="s">
        <v>34</v>
      </c>
      <c r="B188" s="104" t="s">
        <v>345</v>
      </c>
      <c r="C188" s="28">
        <f>POPS!$C$127</f>
        <v>142.423</v>
      </c>
      <c r="D188" s="91">
        <f>POPS!E127</f>
        <v>3565</v>
      </c>
      <c r="E188" s="31">
        <f>F188/C188</f>
        <v>1.7683239364428498</v>
      </c>
      <c r="F188" s="38">
        <f>AC188</f>
        <v>251.85</v>
      </c>
      <c r="G188" s="92">
        <f>SUM(G189:G192)</f>
        <v>3112.975979709786</v>
      </c>
      <c r="H188" s="92">
        <f>D188*AG188</f>
        <v>-399.8144463373083</v>
      </c>
      <c r="I188" s="30">
        <v>239.37</v>
      </c>
      <c r="L188" s="27">
        <v>58.7294</v>
      </c>
      <c r="M188" s="106">
        <f>39.6995/L188-1</f>
        <v>-0.3240268076976778</v>
      </c>
      <c r="N188" s="30">
        <v>238.35</v>
      </c>
      <c r="Q188" s="27">
        <v>58.1995</v>
      </c>
      <c r="R188" s="106">
        <f>58.7294/Q188-1</f>
        <v>0.00910488921726138</v>
      </c>
      <c r="S188" s="30">
        <v>242.325</v>
      </c>
      <c r="V188" s="27">
        <v>55.3596</v>
      </c>
      <c r="W188" s="106">
        <f>58.2/V188-1</f>
        <v>0.05130817419201006</v>
      </c>
      <c r="X188" s="30">
        <v>247.975</v>
      </c>
      <c r="AA188" s="27">
        <v>65.1464</v>
      </c>
      <c r="AB188" s="106">
        <f>55.36/AA188-1</f>
        <v>-0.15022165461176673</v>
      </c>
      <c r="AC188" s="30">
        <v>251.85</v>
      </c>
      <c r="AF188" s="27">
        <v>73.375</v>
      </c>
      <c r="AG188" s="106">
        <f>65.146/AF188-1</f>
        <v>-0.11214991482112435</v>
      </c>
      <c r="AK188" s="27">
        <v>67.6745</v>
      </c>
      <c r="AL188" s="106">
        <f>73.375/AK188-1</f>
        <v>0.08423409112738178</v>
      </c>
    </row>
    <row r="189" spans="1:33" s="27" customFormat="1" ht="12.75">
      <c r="A189" s="26" t="s">
        <v>346</v>
      </c>
      <c r="B189" s="109" t="s">
        <v>347</v>
      </c>
      <c r="C189" s="28"/>
      <c r="D189" s="91" t="s">
        <v>57</v>
      </c>
      <c r="E189" s="31"/>
      <c r="F189" s="38">
        <f>AC189</f>
        <v>77.277</v>
      </c>
      <c r="G189" s="92">
        <f>AD189</f>
        <v>1209.5127768313457</v>
      </c>
      <c r="H189" s="93">
        <f>AF189</f>
        <v>4.404770017035775</v>
      </c>
      <c r="I189" s="30">
        <v>73.254</v>
      </c>
      <c r="J189" s="92">
        <f>(74782+9061)/L188</f>
        <v>1427.615470275535</v>
      </c>
      <c r="L189" s="93">
        <f>337.8/L188</f>
        <v>5.75180403681972</v>
      </c>
      <c r="M189" s="106">
        <f>0.11/3</f>
        <v>0.03666666666666667</v>
      </c>
      <c r="N189" s="30">
        <v>74.495</v>
      </c>
      <c r="O189" s="27">
        <f>(84165-15139)/Q188</f>
        <v>1186.0239349135302</v>
      </c>
      <c r="Q189" s="93">
        <f>315.4/Q188</f>
        <v>5.419290543733193</v>
      </c>
      <c r="R189" s="106">
        <f>0.101/3</f>
        <v>0.03366666666666667</v>
      </c>
      <c r="S189" s="30">
        <v>75.385</v>
      </c>
      <c r="T189" s="92">
        <f>(86729-15706)/AA188</f>
        <v>1090.2060589687228</v>
      </c>
      <c r="U189" s="107">
        <v>0.38299999999999995</v>
      </c>
      <c r="V189" s="93">
        <f>323.6/AA188</f>
        <v>4.967273709675439</v>
      </c>
      <c r="W189" s="106">
        <f>0.091/3</f>
        <v>0.030333333333333334</v>
      </c>
      <c r="X189" s="30">
        <v>76.897</v>
      </c>
      <c r="Y189" s="92">
        <f>(91302-15076)/AA188</f>
        <v>1170.072329399629</v>
      </c>
      <c r="AA189" s="93">
        <f>341.3/AA188</f>
        <v>5.238969459555708</v>
      </c>
      <c r="AB189" s="106">
        <f>0.097/3</f>
        <v>0.03233333333333333</v>
      </c>
      <c r="AC189" s="30">
        <v>77.277</v>
      </c>
      <c r="AD189" s="27">
        <f>(74928+13820)/AF188</f>
        <v>1209.5127768313457</v>
      </c>
      <c r="AE189" s="107">
        <v>0.415</v>
      </c>
      <c r="AF189" s="93">
        <f>323.2/(AF188)</f>
        <v>4.404770017035775</v>
      </c>
      <c r="AG189" s="106">
        <f>0.108/3</f>
        <v>0.036</v>
      </c>
    </row>
    <row r="190" spans="1:38" s="27" customFormat="1" ht="12.75">
      <c r="A190" s="26" t="s">
        <v>348</v>
      </c>
      <c r="B190" s="108" t="s">
        <v>349</v>
      </c>
      <c r="C190" s="28"/>
      <c r="D190" s="91"/>
      <c r="E190" s="31"/>
      <c r="F190" s="38">
        <f>AH190</f>
        <v>57.7</v>
      </c>
      <c r="G190" s="92">
        <f>AI190</f>
        <v>743</v>
      </c>
      <c r="H190" s="93">
        <f>AK190</f>
        <v>3.9</v>
      </c>
      <c r="I190" s="30">
        <v>57.334</v>
      </c>
      <c r="J190" s="92">
        <f>59637/L188</f>
        <v>1015.4539293777904</v>
      </c>
      <c r="L190" s="93">
        <f>325/L188</f>
        <v>5.533855275211393</v>
      </c>
      <c r="M190" s="106"/>
      <c r="N190" s="30">
        <v>55.71</v>
      </c>
      <c r="O190" s="27">
        <v>870</v>
      </c>
      <c r="Q190" s="93">
        <v>4.9</v>
      </c>
      <c r="R190" s="106">
        <f>0.158/3</f>
        <v>0.05266666666666667</v>
      </c>
      <c r="S190" s="30">
        <v>57.158</v>
      </c>
      <c r="T190" s="27">
        <v>1078</v>
      </c>
      <c r="U190" s="107">
        <f>202/1245</f>
        <v>0.16224899598393575</v>
      </c>
      <c r="V190" s="93">
        <v>6.1</v>
      </c>
      <c r="W190" s="106">
        <f>0.128/3</f>
        <v>0.042666666666666665</v>
      </c>
      <c r="X190" s="30">
        <v>58.976</v>
      </c>
      <c r="Y190" s="92">
        <f>61005/AA188</f>
        <v>936.4293345449634</v>
      </c>
      <c r="Z190" s="107">
        <f>11442/61005</f>
        <v>0.187558396852717</v>
      </c>
      <c r="AA190" s="93">
        <f>330/AA188</f>
        <v>5.065513980818587</v>
      </c>
      <c r="AC190" s="30">
        <v>59.777</v>
      </c>
      <c r="AD190" s="27">
        <v>915</v>
      </c>
      <c r="AF190" s="93">
        <v>4.7</v>
      </c>
      <c r="AG190" s="106">
        <f>0.13/3</f>
        <v>0.043333333333333335</v>
      </c>
      <c r="AH190" s="27">
        <v>57.7</v>
      </c>
      <c r="AI190" s="27">
        <v>743</v>
      </c>
      <c r="AK190" s="93">
        <v>3.9</v>
      </c>
      <c r="AL190" s="106">
        <v>0.0533</v>
      </c>
    </row>
    <row r="191" spans="1:33" s="27" customFormat="1" ht="12.75">
      <c r="A191" s="26" t="s">
        <v>350</v>
      </c>
      <c r="B191" s="108" t="s">
        <v>351</v>
      </c>
      <c r="C191" s="28"/>
      <c r="D191" s="91"/>
      <c r="E191" s="31"/>
      <c r="F191" s="38">
        <f>AC191</f>
        <v>74.776</v>
      </c>
      <c r="G191" s="92">
        <f>Y191</f>
        <v>1160.46320287844</v>
      </c>
      <c r="H191" s="93">
        <f>AA191</f>
        <v>5.234243560744589</v>
      </c>
      <c r="I191" s="30">
        <v>69.073</v>
      </c>
      <c r="J191" s="92"/>
      <c r="L191" s="93"/>
      <c r="M191" s="106"/>
      <c r="N191" s="30">
        <v>69.517</v>
      </c>
      <c r="R191" s="106"/>
      <c r="S191" s="27">
        <v>71.4</v>
      </c>
      <c r="X191" s="30">
        <v>73.902</v>
      </c>
      <c r="Y191" s="92">
        <f>(81300-5700)/AA188</f>
        <v>1160.46320287844</v>
      </c>
      <c r="Z191" s="107">
        <v>0.386</v>
      </c>
      <c r="AA191" s="93">
        <f>Y191/(3*X191)</f>
        <v>5.234243560744589</v>
      </c>
      <c r="AC191" s="30">
        <v>74.776</v>
      </c>
      <c r="AG191" s="106"/>
    </row>
    <row r="192" spans="1:33" s="27" customFormat="1" ht="12.75">
      <c r="A192" s="26" t="s">
        <v>352</v>
      </c>
      <c r="C192" s="28"/>
      <c r="D192" s="91"/>
      <c r="E192" s="31"/>
      <c r="F192" s="38">
        <f>AC192</f>
        <v>37.3</v>
      </c>
      <c r="G192" s="92"/>
      <c r="H192" s="93"/>
      <c r="I192" s="30">
        <v>35.355</v>
      </c>
      <c r="M192" s="106"/>
      <c r="N192" s="27">
        <v>34.9</v>
      </c>
      <c r="R192" s="106"/>
      <c r="S192" s="27">
        <v>34.7</v>
      </c>
      <c r="X192" s="27">
        <v>35.5</v>
      </c>
      <c r="AC192" s="27">
        <v>37.3</v>
      </c>
      <c r="AG192" s="106"/>
    </row>
    <row r="193" spans="1:38" s="33" customFormat="1" ht="12.75">
      <c r="A193" s="32" t="s">
        <v>35</v>
      </c>
      <c r="C193" s="34">
        <f>POPS!$C$129</f>
        <v>27.752</v>
      </c>
      <c r="D193" s="128">
        <f>POPS!E129</f>
        <v>1616</v>
      </c>
      <c r="E193" s="36">
        <f>F193/C193</f>
        <v>2.1259729028538485</v>
      </c>
      <c r="F193" s="37">
        <f>X193</f>
        <v>59</v>
      </c>
      <c r="G193" s="37"/>
      <c r="H193" s="35">
        <f>D193*AG193</f>
        <v>-1615.8281677369841</v>
      </c>
      <c r="L193" s="33">
        <v>3.7547</v>
      </c>
      <c r="M193" s="121">
        <f>3.7515/L193-1</f>
        <v>-0.0008522651609982335</v>
      </c>
      <c r="N193" s="35">
        <f>10.6/0.18</f>
        <v>58.888888888888886</v>
      </c>
      <c r="Q193" s="33">
        <v>3.751</v>
      </c>
      <c r="R193" s="121">
        <f>3.7547/Q193-1</f>
        <v>0.0009864036256999054</v>
      </c>
      <c r="S193" s="33">
        <f>11.3/0.2</f>
        <v>56.5</v>
      </c>
      <c r="V193" s="33">
        <v>3.7503</v>
      </c>
      <c r="W193" s="121">
        <f>3.751/V193-1</f>
        <v>0.0001866517345279206</v>
      </c>
      <c r="X193" s="35">
        <f>11.8/0.2</f>
        <v>59</v>
      </c>
      <c r="AA193" s="33">
        <v>3.7516</v>
      </c>
      <c r="AB193" s="121">
        <f>3.7503/AA193-1</f>
        <v>-0.00034651881863723144</v>
      </c>
      <c r="AF193" s="33">
        <v>3.7538</v>
      </c>
      <c r="AG193" s="121">
        <f>3/7516/AF193-1</f>
        <v>-0.9998936681540743</v>
      </c>
      <c r="AK193" s="33">
        <v>3.75</v>
      </c>
      <c r="AL193" s="121">
        <f>3.7538/AK193-1</f>
        <v>0.0010133333333333105</v>
      </c>
    </row>
    <row r="194" spans="1:35" s="33" customFormat="1" ht="12.75">
      <c r="A194" s="32" t="s">
        <v>353</v>
      </c>
      <c r="B194" s="125" t="s">
        <v>354</v>
      </c>
      <c r="C194" s="34"/>
      <c r="D194" s="128"/>
      <c r="E194" s="36"/>
      <c r="F194" s="37">
        <f>X194</f>
        <v>18.29</v>
      </c>
      <c r="G194" s="120">
        <f>AI194</f>
        <v>917.3333333333334</v>
      </c>
      <c r="H194" s="123"/>
      <c r="M194" s="121"/>
      <c r="R194" s="121"/>
      <c r="X194" s="35">
        <f>59*0.31</f>
        <v>18.29</v>
      </c>
      <c r="Y194" s="120">
        <f>3585/AA193</f>
        <v>955.5922806269325</v>
      </c>
      <c r="AD194" s="120">
        <f>3487/AF193</f>
        <v>928.9253556396185</v>
      </c>
      <c r="AG194" s="121"/>
      <c r="AI194" s="120">
        <f>3440/AK193</f>
        <v>917.3333333333334</v>
      </c>
    </row>
    <row r="195" spans="1:33" s="33" customFormat="1" ht="12.75">
      <c r="A195" s="32" t="s">
        <v>355</v>
      </c>
      <c r="B195" s="125" t="s">
        <v>356</v>
      </c>
      <c r="C195" s="34"/>
      <c r="D195" s="119"/>
      <c r="E195" s="36"/>
      <c r="F195" s="37">
        <f>X195</f>
        <v>27.73</v>
      </c>
      <c r="G195" s="120">
        <f>J195</f>
        <v>3070.0189096332597</v>
      </c>
      <c r="H195" s="120"/>
      <c r="J195" s="33">
        <f>46108/(4*L193)</f>
        <v>3070.0189096332597</v>
      </c>
      <c r="M195" s="121"/>
      <c r="R195" s="121"/>
      <c r="X195" s="35">
        <f>59*0.47</f>
        <v>27.73</v>
      </c>
      <c r="AG195" s="121"/>
    </row>
    <row r="196" spans="1:33" s="33" customFormat="1" ht="12.75">
      <c r="A196" s="32" t="s">
        <v>357</v>
      </c>
      <c r="B196" s="125" t="s">
        <v>257</v>
      </c>
      <c r="C196" s="34"/>
      <c r="D196" s="119"/>
      <c r="E196" s="36"/>
      <c r="F196" s="37">
        <f>X196</f>
        <v>11.8</v>
      </c>
      <c r="G196" s="120">
        <f>Y196</f>
        <v>1261.2612612612613</v>
      </c>
      <c r="H196" s="123">
        <f>V196</f>
        <v>15</v>
      </c>
      <c r="I196" s="35">
        <v>9</v>
      </c>
      <c r="J196" s="120">
        <f>1715/(0.3705*4)</f>
        <v>1157.2199730094467</v>
      </c>
      <c r="L196" s="123">
        <v>16</v>
      </c>
      <c r="M196" s="121"/>
      <c r="N196" s="33">
        <v>10.6</v>
      </c>
      <c r="O196" s="120">
        <f>459/0.3705</f>
        <v>1238.8663967611337</v>
      </c>
      <c r="Q196" s="123">
        <v>15</v>
      </c>
      <c r="R196" s="121"/>
      <c r="S196" s="33">
        <v>11.3</v>
      </c>
      <c r="T196" s="33">
        <f>454/0.37</f>
        <v>1227.027027027027</v>
      </c>
      <c r="V196" s="123">
        <v>15</v>
      </c>
      <c r="X196" s="33">
        <v>11.8</v>
      </c>
      <c r="Y196" s="120">
        <f>1400/(3*0.37)</f>
        <v>1261.2612612612613</v>
      </c>
      <c r="AG196" s="121"/>
    </row>
    <row r="197" spans="1:38" s="27" customFormat="1" ht="12.75">
      <c r="A197" s="26" t="s">
        <v>358</v>
      </c>
      <c r="C197" s="28">
        <f>POPS!$C$133</f>
        <v>5.674</v>
      </c>
      <c r="D197" s="91">
        <f>POPS!E133</f>
        <v>445.2</v>
      </c>
      <c r="E197" s="31">
        <f>F197/C197</f>
        <v>1.4583500372907967</v>
      </c>
      <c r="F197" s="38">
        <f>AC197</f>
        <v>8.274678111587981</v>
      </c>
      <c r="G197" s="38"/>
      <c r="H197" s="30">
        <f>D197*AG197</f>
        <v>-1.3527133973996661</v>
      </c>
      <c r="L197" s="27">
        <v>1.3363</v>
      </c>
      <c r="M197" s="106">
        <f>1.2771/L197-1</f>
        <v>-0.04430142931976366</v>
      </c>
      <c r="N197" s="30">
        <f>4.088/0.504</f>
        <v>8.11111111111111</v>
      </c>
      <c r="Q197" s="27">
        <v>1.3693</v>
      </c>
      <c r="R197" s="106">
        <f>1.3363/Q197-1</f>
        <v>-0.02409990506098003</v>
      </c>
      <c r="S197" s="30">
        <f>1.883/0.231</f>
        <v>8.15151515151515</v>
      </c>
      <c r="V197" s="27">
        <v>1.3498</v>
      </c>
      <c r="W197" s="106">
        <f>1.3693/V197-1</f>
        <v>0.014446584679211671</v>
      </c>
      <c r="AA197" s="27">
        <v>1.4109</v>
      </c>
      <c r="AB197" s="106">
        <f>1.3498/AA197-1</f>
        <v>-0.043305691402650726</v>
      </c>
      <c r="AC197" s="30">
        <f>(1.195+0.733)/0.233</f>
        <v>8.274678111587981</v>
      </c>
      <c r="AF197" s="27">
        <v>1.4152</v>
      </c>
      <c r="AG197" s="106">
        <f>1.4109/AF197-1</f>
        <v>-0.003038439796495207</v>
      </c>
      <c r="AK197" s="27">
        <v>1.3507</v>
      </c>
      <c r="AL197" s="106">
        <f>1.4152/AK197-1</f>
        <v>0.047753016954172</v>
      </c>
    </row>
    <row r="198" spans="1:33" s="27" customFormat="1" ht="12.75">
      <c r="A198" s="26" t="s">
        <v>359</v>
      </c>
      <c r="B198" s="27" t="s">
        <v>360</v>
      </c>
      <c r="C198" s="28"/>
      <c r="D198" s="91"/>
      <c r="E198" s="31"/>
      <c r="F198" s="38">
        <f>AC198</f>
        <v>4.101</v>
      </c>
      <c r="G198" s="92">
        <f>AD198</f>
        <v>378.7450537026569</v>
      </c>
      <c r="H198" s="93">
        <f>AF198</f>
        <v>34.62408140192199</v>
      </c>
      <c r="I198" s="30">
        <v>4.092</v>
      </c>
      <c r="J198" s="92">
        <f>533/L197</f>
        <v>398.86253086881686</v>
      </c>
      <c r="L198" s="93">
        <f>(18*17+22*76)/(40*L197)</f>
        <v>37.00516351118761</v>
      </c>
      <c r="M198" s="106"/>
      <c r="N198" s="30">
        <v>4.088</v>
      </c>
      <c r="O198" s="92">
        <f>(322+108+196)/Q197</f>
        <v>457.16789600525817</v>
      </c>
      <c r="P198" s="107">
        <v>0.48</v>
      </c>
      <c r="Q198" s="93">
        <f>48/Q197</f>
        <v>35.05440736142555</v>
      </c>
      <c r="R198" s="106"/>
      <c r="S198" s="30">
        <v>4.082</v>
      </c>
      <c r="T198" s="92">
        <f>(327+78+202+28)/V197</f>
        <v>470.44006519484367</v>
      </c>
      <c r="U198" s="107">
        <v>0.48</v>
      </c>
      <c r="V198" s="93">
        <f>49/V197</f>
        <v>36.30167432212179</v>
      </c>
      <c r="X198" s="30">
        <v>4.094</v>
      </c>
      <c r="Y198" s="92">
        <f>(328+91+203+23)/AA197</f>
        <v>457.15500744205826</v>
      </c>
      <c r="AC198" s="30">
        <f>4.094+0.007</f>
        <v>4.101</v>
      </c>
      <c r="AD198" s="92">
        <f>(536)/AF197</f>
        <v>378.7450537026569</v>
      </c>
      <c r="AE198" s="107">
        <v>0.51</v>
      </c>
      <c r="AF198" s="93">
        <f>49/AF197</f>
        <v>34.62408140192199</v>
      </c>
      <c r="AG198" s="106"/>
    </row>
    <row r="199" spans="1:33" s="27" customFormat="1" ht="12.75">
      <c r="A199" s="26" t="s">
        <v>361</v>
      </c>
      <c r="B199" s="104" t="s">
        <v>362</v>
      </c>
      <c r="C199" s="28"/>
      <c r="D199" s="91"/>
      <c r="E199" s="31"/>
      <c r="F199" s="38">
        <f>AC199</f>
        <v>1.9300000000000002</v>
      </c>
      <c r="G199" s="92">
        <f>AD199</f>
        <v>199.97173544375354</v>
      </c>
      <c r="H199" s="93">
        <f>AF199</f>
        <v>30.739903923964828</v>
      </c>
      <c r="M199" s="106"/>
      <c r="R199" s="106"/>
      <c r="S199" s="30">
        <v>1.883</v>
      </c>
      <c r="T199" s="92">
        <f>240/V197</f>
        <v>177.8041191287598</v>
      </c>
      <c r="U199" s="107">
        <v>0.431</v>
      </c>
      <c r="V199" s="93">
        <f>(62.1*12+14.9*7)/(19*V197)</f>
        <v>33.12381561400909</v>
      </c>
      <c r="AC199" s="30">
        <v>1.9300000000000002</v>
      </c>
      <c r="AD199" s="27">
        <f>(308-25)/AF197</f>
        <v>199.97173544375354</v>
      </c>
      <c r="AE199" s="107">
        <v>0.46299999999999997</v>
      </c>
      <c r="AF199" s="27">
        <f>(1.195*61.6+0.733*14)/((1.195+0.733)*AF197)</f>
        <v>30.739903923964828</v>
      </c>
      <c r="AG199" s="106"/>
    </row>
    <row r="200" spans="1:38" s="33" customFormat="1" ht="12.75">
      <c r="A200" s="32" t="s">
        <v>36</v>
      </c>
      <c r="B200" s="126" t="s">
        <v>363</v>
      </c>
      <c r="C200" s="34">
        <f>POPS!$C$137</f>
        <v>53.675</v>
      </c>
      <c r="D200" s="119">
        <f>POPS!E137</f>
        <v>704.5</v>
      </c>
      <c r="E200" s="36">
        <f>F200/C200</f>
        <v>1.9421332091290173</v>
      </c>
      <c r="F200" s="37">
        <f>SUM(F201:F202)</f>
        <v>104.244</v>
      </c>
      <c r="G200" s="37"/>
      <c r="H200" s="35">
        <f>D200*AG200</f>
        <v>-97.15123383039592</v>
      </c>
      <c r="L200" s="33">
        <v>11.7357</v>
      </c>
      <c r="M200" s="121">
        <f>11.32/L200-1</f>
        <v>-0.03542183252809794</v>
      </c>
      <c r="Q200" s="33">
        <v>12.1207</v>
      </c>
      <c r="R200" s="121">
        <f>11.7357/Q200-1</f>
        <v>-0.031763842022325406</v>
      </c>
      <c r="V200" s="33">
        <v>12.2177</v>
      </c>
      <c r="W200" s="121">
        <f>12.121/V200-1</f>
        <v>-0.007914746638074233</v>
      </c>
      <c r="AA200" s="33">
        <v>13.348700000000001</v>
      </c>
      <c r="AB200" s="121">
        <f>12.218/AA200-1</f>
        <v>-0.08470487762853318</v>
      </c>
      <c r="AF200" s="33">
        <v>15.4843</v>
      </c>
      <c r="AG200" s="121">
        <f>13.349/AF200-1</f>
        <v>-0.13790097066060458</v>
      </c>
      <c r="AK200" s="33">
        <v>14.6938</v>
      </c>
      <c r="AL200" s="121">
        <f>15.484/AK200-1</f>
        <v>0.05377778382719245</v>
      </c>
    </row>
    <row r="201" spans="1:33" s="33" customFormat="1" ht="12.75">
      <c r="A201" s="32" t="s">
        <v>364</v>
      </c>
      <c r="B201" s="125" t="s">
        <v>365</v>
      </c>
      <c r="C201" s="34"/>
      <c r="D201" s="119"/>
      <c r="E201" s="36"/>
      <c r="F201" s="37">
        <f>AC201</f>
        <v>73.656</v>
      </c>
      <c r="G201" s="120">
        <f>AD201</f>
        <v>1404.0673456339648</v>
      </c>
      <c r="H201" s="123">
        <f>AF201</f>
        <v>7.491459090821025</v>
      </c>
      <c r="I201" s="35">
        <v>68.953</v>
      </c>
      <c r="J201" s="33">
        <f>857/L234</f>
        <v>1309.9969428309385</v>
      </c>
      <c r="L201" s="123">
        <f>70/L200</f>
        <v>5.9647059826001</v>
      </c>
      <c r="M201" s="121"/>
      <c r="N201" s="35">
        <v>68.508</v>
      </c>
      <c r="O201" s="120">
        <f>847/Q234</f>
        <v>1258.5438335809806</v>
      </c>
      <c r="R201" s="121"/>
      <c r="S201" s="35">
        <f>68.508+0.029+2.829</f>
        <v>71.36599999999999</v>
      </c>
      <c r="T201" s="120">
        <f>(846-34)/V234</f>
        <v>1270.536692223439</v>
      </c>
      <c r="V201" s="123">
        <f>69/V200</f>
        <v>5.6475441367851555</v>
      </c>
      <c r="W201" s="121">
        <f>0.694/12</f>
        <v>0.05783333333333334</v>
      </c>
      <c r="X201" s="35">
        <v>73.395</v>
      </c>
      <c r="Y201" s="120">
        <f>(824-33)/AA234</f>
        <v>1214.6805896805897</v>
      </c>
      <c r="AA201" s="123">
        <f>69/AA200</f>
        <v>5.169042678313244</v>
      </c>
      <c r="AB201" s="121">
        <f>0.74/12</f>
        <v>0.06166666666666667</v>
      </c>
      <c r="AC201" s="35">
        <f>73.656</f>
        <v>73.656</v>
      </c>
      <c r="AD201" s="33">
        <f>21741/AF200</f>
        <v>1404.0673456339648</v>
      </c>
      <c r="AE201" s="124">
        <f>4487/17116</f>
        <v>0.2621523720495443</v>
      </c>
      <c r="AF201" s="123">
        <f>116/AF200</f>
        <v>7.491459090821025</v>
      </c>
      <c r="AG201" s="121">
        <f>0.806/12</f>
        <v>0.06716666666666667</v>
      </c>
    </row>
    <row r="202" spans="1:33" s="33" customFormat="1" ht="12.75">
      <c r="A202" s="32" t="s">
        <v>366</v>
      </c>
      <c r="B202" s="129" t="s">
        <v>367</v>
      </c>
      <c r="C202" s="34"/>
      <c r="D202" s="119"/>
      <c r="E202" s="36"/>
      <c r="F202" s="37">
        <f>AC202</f>
        <v>30.588</v>
      </c>
      <c r="G202" s="120">
        <f>AD202</f>
        <v>646.4289635308022</v>
      </c>
      <c r="H202" s="123">
        <f>AF202</f>
        <v>6.4</v>
      </c>
      <c r="I202" s="35">
        <v>28</v>
      </c>
      <c r="J202" s="120">
        <f>38922/(4*L200)</f>
        <v>829.1367366241469</v>
      </c>
      <c r="M202" s="121"/>
      <c r="R202" s="121"/>
      <c r="S202" s="33">
        <v>28.5</v>
      </c>
      <c r="T202" s="120">
        <f>18882/(2*V200)</f>
        <v>772.7313651505602</v>
      </c>
      <c r="U202" s="124">
        <v>0.301</v>
      </c>
      <c r="X202" s="35">
        <v>29.077</v>
      </c>
      <c r="Y202" s="120">
        <f>29.077*3*7.21</f>
        <v>628.93551</v>
      </c>
      <c r="Z202" s="124">
        <v>0.315</v>
      </c>
      <c r="AA202" s="123">
        <f>96.21/AA200</f>
        <v>7.20744342145677</v>
      </c>
      <c r="AC202" s="35">
        <v>30.588</v>
      </c>
      <c r="AD202" s="120">
        <f>40038/(4*AF200)</f>
        <v>646.4289635308022</v>
      </c>
      <c r="AF202" s="123">
        <v>6.4</v>
      </c>
      <c r="AG202" s="121"/>
    </row>
    <row r="203" spans="1:38" s="27" customFormat="1" ht="12.75">
      <c r="A203" s="26" t="s">
        <v>37</v>
      </c>
      <c r="B203" s="108" t="s">
        <v>368</v>
      </c>
      <c r="C203" s="28">
        <f>POPS!$C$139</f>
        <v>48.146</v>
      </c>
      <c r="D203" s="91">
        <f>POPS!E139</f>
        <v>1566</v>
      </c>
      <c r="E203" s="31">
        <f>F203/C203</f>
        <v>1.1363456985003946</v>
      </c>
      <c r="F203" s="38">
        <f>3+SUM(F204:F207)</f>
        <v>54.710499999999996</v>
      </c>
      <c r="G203" s="92">
        <f>SUM(G204:G207)</f>
        <v>3061.950448899437</v>
      </c>
      <c r="H203" s="92">
        <f>D203*AG203</f>
        <v>-52.5125748502994</v>
      </c>
      <c r="L203" s="27">
        <v>0.8375</v>
      </c>
      <c r="M203" s="106">
        <f>0.7928/L203-1</f>
        <v>-0.05337313432835811</v>
      </c>
      <c r="Q203" s="27">
        <v>0.9282</v>
      </c>
      <c r="R203" s="106">
        <f>0.8375/Q203-1</f>
        <v>-0.09771600948071535</v>
      </c>
      <c r="V203" s="27">
        <v>0.9015000000000001</v>
      </c>
      <c r="W203" s="106">
        <f>0.9282/V203-1</f>
        <v>0.02961730449251232</v>
      </c>
      <c r="AA203" s="27">
        <v>0.8877</v>
      </c>
      <c r="AB203" s="106">
        <f>0.9015/AA203-1</f>
        <v>0.01554579249746535</v>
      </c>
      <c r="AF203" s="27">
        <v>0.9185000000000001</v>
      </c>
      <c r="AG203" s="106">
        <f>0.8877/AF203-1</f>
        <v>-0.033532934131736525</v>
      </c>
      <c r="AK203" s="27">
        <v>0.8777</v>
      </c>
      <c r="AL203" s="106">
        <f>0.9185/AK203-1</f>
        <v>0.046485131593938744</v>
      </c>
    </row>
    <row r="204" spans="1:33" s="27" customFormat="1" ht="12.75">
      <c r="A204" s="26" t="s">
        <v>369</v>
      </c>
      <c r="B204" s="27" t="s">
        <v>370</v>
      </c>
      <c r="C204" s="28"/>
      <c r="D204" s="91"/>
      <c r="E204" s="31"/>
      <c r="F204" s="38">
        <f>AC204</f>
        <v>17.2585</v>
      </c>
      <c r="G204" s="92">
        <f>AD204</f>
        <v>1216.113228089276</v>
      </c>
      <c r="H204" s="93">
        <f>AF204</f>
        <v>16.548720740337505</v>
      </c>
      <c r="I204" s="30">
        <v>17.575</v>
      </c>
      <c r="J204" s="92">
        <f>1138/L203</f>
        <v>1358.8059701492537</v>
      </c>
      <c r="K204" s="107">
        <f>7.1/15.5</f>
        <v>0.45806451612903226</v>
      </c>
      <c r="L204" s="93">
        <f>15.5/L203</f>
        <v>18.507462686567163</v>
      </c>
      <c r="M204" s="106">
        <v>0.019</v>
      </c>
      <c r="N204" s="30">
        <v>17.448</v>
      </c>
      <c r="O204" s="92">
        <f>1024/Q203</f>
        <v>1103.2105149752208</v>
      </c>
      <c r="P204" s="107">
        <f>7.2/15</f>
        <v>0.48000000000000004</v>
      </c>
      <c r="Q204" s="27">
        <f>15/Q203</f>
        <v>16.160310277957336</v>
      </c>
      <c r="R204" s="106">
        <f>0.018</f>
        <v>0.018000000000000002</v>
      </c>
      <c r="S204" s="30">
        <v>17.3307</v>
      </c>
      <c r="T204" s="92">
        <f>1108/V203</f>
        <v>1229.0626733222407</v>
      </c>
      <c r="U204" s="107">
        <f>7.6/15.3</f>
        <v>0.4967320261437908</v>
      </c>
      <c r="V204" s="93">
        <f>15.3/Q203</f>
        <v>16.483516483516485</v>
      </c>
      <c r="W204" s="106">
        <f>0.017</f>
        <v>0.017</v>
      </c>
      <c r="X204" s="30">
        <v>17.272</v>
      </c>
      <c r="Y204" s="92">
        <f>1089/AA203</f>
        <v>1226.7657992565055</v>
      </c>
      <c r="Z204" s="107">
        <f>8.3/15.7</f>
        <v>0.5286624203821657</v>
      </c>
      <c r="AA204" s="93">
        <f>15.7/AA203</f>
        <v>17.686155232623634</v>
      </c>
      <c r="AB204" s="106">
        <v>0.017</v>
      </c>
      <c r="AC204" s="30">
        <v>17.2585</v>
      </c>
      <c r="AD204" s="27">
        <f>1117/AF203</f>
        <v>1216.113228089276</v>
      </c>
      <c r="AE204" s="107">
        <f>8.1/15.2</f>
        <v>0.5328947368421053</v>
      </c>
      <c r="AF204" s="93">
        <f>15.2/AF203</f>
        <v>16.548720740337505</v>
      </c>
      <c r="AG204" s="106">
        <v>0.016</v>
      </c>
    </row>
    <row r="205" spans="1:33" s="27" customFormat="1" ht="12.75">
      <c r="A205" s="26" t="s">
        <v>371</v>
      </c>
      <c r="C205" s="28"/>
      <c r="D205" s="91"/>
      <c r="E205" s="31"/>
      <c r="F205" s="38">
        <f>AC205</f>
        <v>14.255</v>
      </c>
      <c r="G205" s="92">
        <f>AD205</f>
        <v>802.7794204612655</v>
      </c>
      <c r="H205" s="93">
        <f>AF205</f>
        <v>18.072945019052803</v>
      </c>
      <c r="I205" s="30">
        <v>14.811</v>
      </c>
      <c r="J205" s="92">
        <f>654/L234</f>
        <v>999.6942830938551</v>
      </c>
      <c r="L205" s="93">
        <f>17.7/L203</f>
        <v>21.134328358208954</v>
      </c>
      <c r="M205" s="106"/>
      <c r="N205" s="30">
        <v>14.179</v>
      </c>
      <c r="O205" s="92">
        <f>584/Q234</f>
        <v>867.7563150074294</v>
      </c>
      <c r="R205" s="106"/>
      <c r="S205" s="30">
        <f>14.179+0.054-0.082</f>
        <v>14.151</v>
      </c>
      <c r="T205" s="92">
        <f>(803-257)/V234</f>
        <v>854.3263964950712</v>
      </c>
      <c r="V205" s="93">
        <f>16.9/V203</f>
        <v>18.7465335551858</v>
      </c>
      <c r="W205" s="106">
        <f>0.297/12</f>
        <v>0.024749999999999998</v>
      </c>
      <c r="X205" s="30">
        <v>14.186</v>
      </c>
      <c r="Y205" s="92">
        <f>(823-255)/AA234</f>
        <v>872.2358722358722</v>
      </c>
      <c r="AA205" s="93">
        <f>17.3/AA203</f>
        <v>19.488565956967445</v>
      </c>
      <c r="AB205" s="106">
        <f>0.293/12</f>
        <v>0.024416666666666666</v>
      </c>
      <c r="AC205" s="30">
        <v>14.255</v>
      </c>
      <c r="AD205" s="92">
        <f>(805-262)/AF234</f>
        <v>802.7794204612655</v>
      </c>
      <c r="AF205" s="93">
        <f>16.6/AF203</f>
        <v>18.072945019052803</v>
      </c>
      <c r="AG205" s="106">
        <f>0.269/12</f>
        <v>0.022416666666666668</v>
      </c>
    </row>
    <row r="206" spans="1:33" s="27" customFormat="1" ht="12.75">
      <c r="A206" s="26" t="s">
        <v>372</v>
      </c>
      <c r="C206" s="28"/>
      <c r="D206" s="91"/>
      <c r="E206" s="31"/>
      <c r="F206" s="38">
        <f>AC206</f>
        <v>16.798</v>
      </c>
      <c r="G206" s="92">
        <f>AD206</f>
        <v>794.7740881872618</v>
      </c>
      <c r="H206" s="93">
        <f>AF206</f>
        <v>14.91562329885683</v>
      </c>
      <c r="I206" s="30">
        <v>12.613</v>
      </c>
      <c r="J206" s="92">
        <f>(597+137)/L81</f>
        <v>876.4179104477612</v>
      </c>
      <c r="L206" s="93">
        <f>15.3/L81</f>
        <v>18.26865671641791</v>
      </c>
      <c r="M206" s="106">
        <f>0.29/12</f>
        <v>0.024166666666666666</v>
      </c>
      <c r="N206" s="30">
        <v>12.768</v>
      </c>
      <c r="O206" s="92">
        <f>(569+127)/Q81</f>
        <v>749.8383968972204</v>
      </c>
      <c r="Q206" s="27">
        <f>15/Q81</f>
        <v>16.160310277957336</v>
      </c>
      <c r="R206" s="106">
        <f>0.289/12</f>
        <v>0.02408333333333333</v>
      </c>
      <c r="S206" s="30">
        <f>12.856+3.514</f>
        <v>16.37</v>
      </c>
      <c r="T206" s="92">
        <f>(576+111)/V81</f>
        <v>762.0632279534109</v>
      </c>
      <c r="V206" s="93">
        <f>14.6/V81</f>
        <v>16.195230171935663</v>
      </c>
      <c r="W206" s="106">
        <f>0.293/12</f>
        <v>0.024416666666666666</v>
      </c>
      <c r="X206" s="30">
        <f>15.169+1.487</f>
        <v>16.656</v>
      </c>
      <c r="Y206" s="92">
        <f>(631+128)/AA203</f>
        <v>855.0185873605948</v>
      </c>
      <c r="AA206" s="93">
        <f>14.2/AA203</f>
        <v>15.99639517855131</v>
      </c>
      <c r="AB206" s="106">
        <f>0.287/12</f>
        <v>0.02391666666666667</v>
      </c>
      <c r="AC206" s="30">
        <f>15.248+1.55</f>
        <v>16.798</v>
      </c>
      <c r="AD206" s="92">
        <f>(626+104)/AF81</f>
        <v>794.7740881872618</v>
      </c>
      <c r="AF206" s="93">
        <f>13.7/AF81</f>
        <v>14.91562329885683</v>
      </c>
      <c r="AG206" s="106">
        <f>0.268/12</f>
        <v>0.022333333333333334</v>
      </c>
    </row>
    <row r="207" spans="1:33" s="27" customFormat="1" ht="12.75">
      <c r="A207" s="26" t="s">
        <v>316</v>
      </c>
      <c r="C207" s="28"/>
      <c r="D207" s="91"/>
      <c r="E207" s="31"/>
      <c r="F207" s="38">
        <f>X207</f>
        <v>3.399</v>
      </c>
      <c r="G207" s="92">
        <f>Y207</f>
        <v>248.28371216163342</v>
      </c>
      <c r="H207" s="93">
        <f>AA207</f>
        <v>17.12290188126619</v>
      </c>
      <c r="I207" s="30">
        <v>4.044</v>
      </c>
      <c r="J207" s="92">
        <f>2028/L211</f>
        <v>254.5915613191559</v>
      </c>
      <c r="L207" s="93">
        <f>12.9/L203</f>
        <v>15.402985074626866</v>
      </c>
      <c r="M207" s="106">
        <f>0.25/12</f>
        <v>0.020833333333333332</v>
      </c>
      <c r="R207" s="106"/>
      <c r="X207" s="30">
        <v>3.399</v>
      </c>
      <c r="Y207" s="92">
        <f>2094/AA211</f>
        <v>248.28371216163342</v>
      </c>
      <c r="AA207" s="93">
        <f>15.2/AA203</f>
        <v>17.12290188126619</v>
      </c>
      <c r="AB207" s="106">
        <f>0.37/12</f>
        <v>0.030833333333333334</v>
      </c>
      <c r="AG207" s="106"/>
    </row>
    <row r="208" spans="1:38" s="33" customFormat="1" ht="12.75">
      <c r="A208" s="32" t="s">
        <v>373</v>
      </c>
      <c r="C208" s="34">
        <f>POPS!$C$141</f>
        <v>36.108</v>
      </c>
      <c r="D208" s="119">
        <f>POPS!E141</f>
        <v>159.1</v>
      </c>
      <c r="E208" s="36">
        <f>F208/C208</f>
        <v>0.7835571875160426</v>
      </c>
      <c r="F208" s="37">
        <f>S208</f>
        <v>28.292682926829265</v>
      </c>
      <c r="G208" s="120"/>
      <c r="H208" s="35">
        <f>D208*AG208</f>
        <v>-3.838634025589892</v>
      </c>
      <c r="L208" s="33">
        <v>5.6925</v>
      </c>
      <c r="M208" s="121">
        <f>5.6925/L208-1</f>
        <v>0</v>
      </c>
      <c r="N208" s="35">
        <f>11.6/0.41</f>
        <v>28.292682926829265</v>
      </c>
      <c r="Q208" s="33">
        <v>5.97</v>
      </c>
      <c r="R208" s="121">
        <f>5.6925/Q208-1</f>
        <v>-0.04648241206030146</v>
      </c>
      <c r="S208" s="35">
        <f>11.6/0.41</f>
        <v>28.292682926829265</v>
      </c>
      <c r="V208" s="33">
        <v>5.966</v>
      </c>
      <c r="W208" s="121">
        <f>5.97/V208-1</f>
        <v>0.0006704659738516749</v>
      </c>
      <c r="AA208" s="33">
        <v>6.0771</v>
      </c>
      <c r="AB208" s="121">
        <f>5.966/AA208-1</f>
        <v>-0.01828174622764145</v>
      </c>
      <c r="AF208" s="33">
        <v>6.2212</v>
      </c>
      <c r="AG208" s="121">
        <f>6.0711/AF208-1</f>
        <v>-0.024127178036391528</v>
      </c>
      <c r="AK208" s="33">
        <v>6.0991</v>
      </c>
      <c r="AL208" s="121">
        <f>6.2212/AK208-1</f>
        <v>0.020019347116787767</v>
      </c>
    </row>
    <row r="209" spans="1:33" s="33" customFormat="1" ht="12.75">
      <c r="A209" s="32" t="s">
        <v>374</v>
      </c>
      <c r="B209" s="33" t="s">
        <v>257</v>
      </c>
      <c r="C209" s="34"/>
      <c r="D209" s="119"/>
      <c r="E209" s="36"/>
      <c r="F209" s="37">
        <f>X209</f>
        <v>12.296</v>
      </c>
      <c r="G209" s="120">
        <f>Y209</f>
        <v>196</v>
      </c>
      <c r="H209" s="123">
        <f>V209</f>
        <v>5</v>
      </c>
      <c r="I209" s="35">
        <f>11.4+0.692</f>
        <v>12.092</v>
      </c>
      <c r="J209" s="33">
        <f>(669+71)/4</f>
        <v>185</v>
      </c>
      <c r="L209" s="123">
        <v>5</v>
      </c>
      <c r="M209" s="121"/>
      <c r="N209" s="35">
        <f>11.6+0.714</f>
        <v>12.314</v>
      </c>
      <c r="O209" s="33">
        <v>195</v>
      </c>
      <c r="Q209" s="123">
        <v>5</v>
      </c>
      <c r="R209" s="121"/>
      <c r="S209" s="35">
        <f>11.6+0.715</f>
        <v>12.315</v>
      </c>
      <c r="T209" s="33">
        <f>179+19</f>
        <v>198</v>
      </c>
      <c r="V209" s="123">
        <v>5</v>
      </c>
      <c r="X209" s="35">
        <f>11.6+0.696</f>
        <v>12.296</v>
      </c>
      <c r="Y209" s="120">
        <f>533+56-198-195</f>
        <v>196</v>
      </c>
      <c r="AG209" s="121"/>
    </row>
    <row r="210" spans="1:33" s="33" customFormat="1" ht="12.75">
      <c r="A210" s="32" t="s">
        <v>375</v>
      </c>
      <c r="C210" s="34"/>
      <c r="D210" s="119"/>
      <c r="E210" s="36"/>
      <c r="F210" s="37">
        <f>AC210</f>
        <v>9.661999999999999</v>
      </c>
      <c r="G210" s="120">
        <f>AD210</f>
        <v>85.89345336889625</v>
      </c>
      <c r="H210" s="123">
        <f>AF210</f>
        <v>2.61</v>
      </c>
      <c r="I210" s="35">
        <v>9</v>
      </c>
      <c r="J210" s="120">
        <f>2701/(4*L200)</f>
        <v>57.53811021072455</v>
      </c>
      <c r="M210" s="121"/>
      <c r="R210" s="121"/>
      <c r="S210" s="33">
        <v>8.8</v>
      </c>
      <c r="T210" s="120"/>
      <c r="X210" s="35">
        <f>8.315+1.084</f>
        <v>9.399</v>
      </c>
      <c r="Y210" s="120">
        <f>9.399*3*2.61</f>
        <v>73.59417</v>
      </c>
      <c r="Z210" s="124">
        <v>0.183</v>
      </c>
      <c r="AA210" s="123">
        <f>15.89/AA208</f>
        <v>2.614734001415149</v>
      </c>
      <c r="AC210" s="33">
        <f>8.462+1.2</f>
        <v>9.661999999999999</v>
      </c>
      <c r="AD210" s="120">
        <f>(1862+798)/(2*AF200)</f>
        <v>85.89345336889625</v>
      </c>
      <c r="AF210" s="33">
        <v>2.61</v>
      </c>
      <c r="AG210" s="121"/>
    </row>
    <row r="211" spans="1:38" s="27" customFormat="1" ht="12.75">
      <c r="A211" s="26" t="s">
        <v>376</v>
      </c>
      <c r="C211" s="28">
        <f>POPS!$C$142</f>
        <v>9.801</v>
      </c>
      <c r="D211" s="91">
        <f>POPS!E142</f>
        <v>448.2</v>
      </c>
      <c r="E211" s="31">
        <f>F211/C211</f>
        <v>1.4499540863177227</v>
      </c>
      <c r="F211" s="38">
        <f>SUM(F212:F215)</f>
        <v>14.211</v>
      </c>
      <c r="G211" s="38"/>
      <c r="H211" s="30">
        <f>D211*AG211</f>
        <v>1.0066524064170923</v>
      </c>
      <c r="L211" s="27">
        <v>7.9657</v>
      </c>
      <c r="M211" s="106">
        <f>7.2211/L211-1</f>
        <v>-0.09347577739558355</v>
      </c>
      <c r="Q211" s="27">
        <v>8.6019</v>
      </c>
      <c r="R211" s="106">
        <f>7.9657/Q211-1</f>
        <v>-0.0739604040967694</v>
      </c>
      <c r="V211" s="27">
        <v>8.3323</v>
      </c>
      <c r="W211" s="106">
        <f>8.6019/V211-1</f>
        <v>0.03235601214550621</v>
      </c>
      <c r="AA211" s="27">
        <v>8.4339</v>
      </c>
      <c r="AB211" s="106">
        <f>8.3323/AA211-1</f>
        <v>-0.012046621373267397</v>
      </c>
      <c r="AF211" s="27">
        <v>8.415</v>
      </c>
      <c r="AG211" s="106">
        <f>8.4339/AF211-1</f>
        <v>0.00224598930481279</v>
      </c>
      <c r="AK211" s="27">
        <v>8.1357</v>
      </c>
      <c r="AL211" s="106">
        <f>8.415/AK211-1</f>
        <v>0.03433017441646058</v>
      </c>
    </row>
    <row r="212" spans="1:33" s="27" customFormat="1" ht="12.75">
      <c r="A212" s="26" t="s">
        <v>316</v>
      </c>
      <c r="C212" s="28"/>
      <c r="D212" s="91"/>
      <c r="E212" s="31"/>
      <c r="F212" s="38">
        <f>X212</f>
        <v>6.138</v>
      </c>
      <c r="G212" s="92">
        <f>Y212</f>
        <v>542.9279455530657</v>
      </c>
      <c r="H212" s="93">
        <f>L212</f>
        <v>23.852266593017564</v>
      </c>
      <c r="I212" s="30">
        <v>6.578</v>
      </c>
      <c r="J212" s="92">
        <f>(3491+1150)/L211</f>
        <v>582.6229960957605</v>
      </c>
      <c r="L212" s="93">
        <f>190/L211</f>
        <v>23.852266593017564</v>
      </c>
      <c r="M212" s="106">
        <f>0.18/12</f>
        <v>0.015</v>
      </c>
      <c r="R212" s="106"/>
      <c r="X212" s="30">
        <v>6.138</v>
      </c>
      <c r="Y212" s="92">
        <f>(3575+1004)/AA211</f>
        <v>542.9279455530657</v>
      </c>
      <c r="AA212" s="93">
        <f>208/AA211</f>
        <v>24.6623744649569</v>
      </c>
      <c r="AB212" s="106">
        <f>0.17/12</f>
        <v>0.014166666666666668</v>
      </c>
      <c r="AG212" s="106"/>
    </row>
    <row r="213" spans="1:33" s="27" customFormat="1" ht="12.75">
      <c r="A213" s="26" t="s">
        <v>377</v>
      </c>
      <c r="C213" s="28"/>
      <c r="D213" s="91"/>
      <c r="E213" s="31"/>
      <c r="F213" s="38">
        <f>X213</f>
        <v>3.714</v>
      </c>
      <c r="G213" s="92">
        <f>Y213</f>
        <v>327.72501452471573</v>
      </c>
      <c r="H213" s="93"/>
      <c r="M213" s="106"/>
      <c r="R213" s="106"/>
      <c r="X213" s="30">
        <v>3.714</v>
      </c>
      <c r="Y213" s="92">
        <f>2764/AA211</f>
        <v>327.72501452471573</v>
      </c>
      <c r="AG213" s="106"/>
    </row>
    <row r="214" spans="1:33" s="27" customFormat="1" ht="12.75">
      <c r="A214" s="130" t="s">
        <v>378</v>
      </c>
      <c r="B214" s="104" t="s">
        <v>379</v>
      </c>
      <c r="C214" s="28"/>
      <c r="D214" s="91"/>
      <c r="E214" s="31"/>
      <c r="F214" s="38">
        <f>S214</f>
        <v>1.855</v>
      </c>
      <c r="G214" s="92">
        <f>T214</f>
        <v>202.6451279958715</v>
      </c>
      <c r="H214" s="93">
        <f>V214</f>
        <v>34.36626141641564</v>
      </c>
      <c r="I214" s="30">
        <v>1.666</v>
      </c>
      <c r="J214" s="92">
        <f>(6407-3054)/(2*L211)</f>
        <v>210.4648681220734</v>
      </c>
      <c r="L214" s="93">
        <f>287.37/L211</f>
        <v>36.07592553071293</v>
      </c>
      <c r="M214" s="106"/>
      <c r="R214" s="106"/>
      <c r="S214" s="30">
        <v>1.855</v>
      </c>
      <c r="T214" s="92">
        <f>3377/(2*V211)</f>
        <v>202.6451279958715</v>
      </c>
      <c r="V214" s="93">
        <f>286.35/V211</f>
        <v>34.36626141641564</v>
      </c>
      <c r="W214" s="106">
        <v>0.015</v>
      </c>
      <c r="AG214" s="106"/>
    </row>
    <row r="215" spans="1:33" s="27" customFormat="1" ht="12.75">
      <c r="A215" s="130" t="s">
        <v>380</v>
      </c>
      <c r="C215" s="28"/>
      <c r="D215" s="91"/>
      <c r="E215" s="31"/>
      <c r="F215" s="38">
        <f>X215</f>
        <v>2.504</v>
      </c>
      <c r="G215" s="92">
        <f>Y215</f>
        <v>288.93731264221134</v>
      </c>
      <c r="H215" s="93">
        <f>AA215</f>
        <v>27.208263607141568</v>
      </c>
      <c r="I215" s="30">
        <v>2.509</v>
      </c>
      <c r="J215" s="92">
        <f>2325/L160</f>
        <v>304.57052281331465</v>
      </c>
      <c r="L215" s="93">
        <f>208/L160</f>
        <v>27.247599460287933</v>
      </c>
      <c r="M215" s="106"/>
      <c r="R215" s="106"/>
      <c r="X215" s="30">
        <v>2.504</v>
      </c>
      <c r="Y215" s="92">
        <f>2400/AA160</f>
        <v>288.93731264221134</v>
      </c>
      <c r="AA215" s="93">
        <f>226/AA160</f>
        <v>27.208263607141568</v>
      </c>
      <c r="AG215" s="106"/>
    </row>
    <row r="216" spans="1:38" s="33" customFormat="1" ht="12.75">
      <c r="A216" s="32" t="s">
        <v>381</v>
      </c>
      <c r="C216" s="34">
        <f>POPS!$C$143</f>
        <v>8.121</v>
      </c>
      <c r="D216" s="119">
        <f>POPS!E143</f>
        <v>472.8</v>
      </c>
      <c r="E216" s="36">
        <f>F216/C216</f>
        <v>1.06390838566679</v>
      </c>
      <c r="F216" s="37">
        <f>SUM(F217:F218)</f>
        <v>8.64</v>
      </c>
      <c r="G216" s="37"/>
      <c r="H216" s="35">
        <f>D216*AG216</f>
        <v>-16.30998796630565</v>
      </c>
      <c r="L216" s="33">
        <v>1.0065</v>
      </c>
      <c r="M216" s="121">
        <f>0.9562/L216-1</f>
        <v>-0.04997516145057124</v>
      </c>
      <c r="Q216" s="33">
        <v>0.9698</v>
      </c>
      <c r="R216" s="121">
        <f>1.0065/Q216-1</f>
        <v>0.03784285419674149</v>
      </c>
      <c r="V216" s="33">
        <v>0.9413</v>
      </c>
      <c r="W216" s="121">
        <f>0.9698/V216-1</f>
        <v>0.030277276107510964</v>
      </c>
      <c r="AA216" s="33">
        <v>0.9628000000000001</v>
      </c>
      <c r="AB216" s="121">
        <f>0.9413/AA216-1</f>
        <v>-0.022330702118820156</v>
      </c>
      <c r="AF216" s="33">
        <v>0.9972000000000001</v>
      </c>
      <c r="AG216" s="121">
        <f>0.9628/AF216-1</f>
        <v>-0.03449659045326914</v>
      </c>
      <c r="AK216" s="33">
        <v>0.9581000000000001</v>
      </c>
      <c r="AL216" s="121">
        <f>0.9972/AK216-1</f>
        <v>0.04080993633232444</v>
      </c>
    </row>
    <row r="217" spans="1:33" s="33" customFormat="1" ht="12.75">
      <c r="A217" s="32" t="s">
        <v>382</v>
      </c>
      <c r="B217" s="125" t="s">
        <v>383</v>
      </c>
      <c r="C217" s="34"/>
      <c r="D217" s="119"/>
      <c r="E217" s="36"/>
      <c r="F217" s="37">
        <f>I217</f>
        <v>6.54</v>
      </c>
      <c r="G217" s="120">
        <f>J217</f>
        <v>692.4987580725286</v>
      </c>
      <c r="H217" s="123"/>
      <c r="I217" s="35">
        <v>6.54</v>
      </c>
      <c r="J217" s="120">
        <f>(697)/L216</f>
        <v>692.4987580725286</v>
      </c>
      <c r="L217" s="123">
        <f>39/L216</f>
        <v>38.74813710879285</v>
      </c>
      <c r="M217" s="121">
        <v>0.06</v>
      </c>
      <c r="R217" s="121"/>
      <c r="AG217" s="121"/>
    </row>
    <row r="218" spans="1:33" s="33" customFormat="1" ht="12.75">
      <c r="A218" s="32" t="s">
        <v>384</v>
      </c>
      <c r="B218" s="33" t="s">
        <v>114</v>
      </c>
      <c r="C218" s="34"/>
      <c r="D218" s="119"/>
      <c r="E218" s="36"/>
      <c r="F218" s="37">
        <f>I218</f>
        <v>2.1</v>
      </c>
      <c r="G218" s="120"/>
      <c r="H218" s="123"/>
      <c r="I218" s="33">
        <v>2.1</v>
      </c>
      <c r="M218" s="121"/>
      <c r="R218" s="121"/>
      <c r="AG218" s="121"/>
    </row>
    <row r="219" spans="1:38" s="27" customFormat="1" ht="12.75">
      <c r="A219" s="26" t="s">
        <v>38</v>
      </c>
      <c r="C219" s="28">
        <f>POPS!$C$147</f>
        <v>67.976</v>
      </c>
      <c r="D219" s="91">
        <f>POPS!E147</f>
        <v>985.5</v>
      </c>
      <c r="E219" s="31">
        <f>F219/C219</f>
        <v>1.203424738142874</v>
      </c>
      <c r="F219" s="38">
        <f>SUM(F220:F222)</f>
        <v>81.804</v>
      </c>
      <c r="G219" s="38"/>
      <c r="H219" s="30">
        <f>D219*AG219</f>
        <v>-7.85182666148463</v>
      </c>
      <c r="L219" s="27">
        <v>33.063</v>
      </c>
      <c r="M219" s="106">
        <f>32.47/L219-1</f>
        <v>-0.01793545655264206</v>
      </c>
      <c r="N219" s="30">
        <f>41.951/0.462</f>
        <v>90.8030303030303</v>
      </c>
      <c r="Q219" s="27">
        <v>32.5135</v>
      </c>
      <c r="R219" s="106">
        <f>33.063/Q219-1</f>
        <v>0.016900672028542063</v>
      </c>
      <c r="V219" s="27">
        <v>33.8195</v>
      </c>
      <c r="W219" s="106">
        <f>32.514/V219-1</f>
        <v>-0.038601989976197015</v>
      </c>
      <c r="AA219" s="27">
        <v>35.7345</v>
      </c>
      <c r="AB219" s="106">
        <f>33.82/AA219-1</f>
        <v>-0.0535756761672892</v>
      </c>
      <c r="AF219" s="27">
        <v>36.022</v>
      </c>
      <c r="AG219" s="106">
        <f>35.735/AF219-1</f>
        <v>-0.00796735328410414</v>
      </c>
      <c r="AK219" s="27">
        <v>35.17</v>
      </c>
      <c r="AL219" s="106">
        <f>36.022/AK219-1</f>
        <v>0.024225191924935885</v>
      </c>
    </row>
    <row r="220" spans="1:33" s="27" customFormat="1" ht="12.75">
      <c r="A220" s="26" t="s">
        <v>385</v>
      </c>
      <c r="C220" s="28"/>
      <c r="D220" s="91"/>
      <c r="E220" s="31"/>
      <c r="F220" s="38">
        <f>AC220</f>
        <v>38.488</v>
      </c>
      <c r="G220" s="92">
        <f>AD220</f>
        <v>353</v>
      </c>
      <c r="H220" s="93"/>
      <c r="I220" s="30">
        <v>44.301</v>
      </c>
      <c r="J220" s="92">
        <f>(113/0.2332)/L197</f>
        <v>362.6151367238768</v>
      </c>
      <c r="M220" s="106"/>
      <c r="N220" s="30">
        <v>41.951</v>
      </c>
      <c r="O220" s="92"/>
      <c r="R220" s="106"/>
      <c r="S220" s="30">
        <v>40.061</v>
      </c>
      <c r="T220" s="92">
        <f>(116/0.2332)/V197</f>
        <v>368.51911483233516</v>
      </c>
      <c r="X220" s="30">
        <v>37.811</v>
      </c>
      <c r="Y220" s="92">
        <f>346*1.02</f>
        <v>352.92</v>
      </c>
      <c r="AC220" s="30">
        <v>38.488</v>
      </c>
      <c r="AD220" s="27">
        <v>353</v>
      </c>
      <c r="AG220" s="106"/>
    </row>
    <row r="221" spans="1:33" s="27" customFormat="1" ht="12.75">
      <c r="A221" s="26" t="s">
        <v>386</v>
      </c>
      <c r="C221" s="28"/>
      <c r="D221" s="91"/>
      <c r="E221" s="31"/>
      <c r="F221" s="38">
        <f>X221</f>
        <v>24.851</v>
      </c>
      <c r="G221" s="92">
        <f>Y221</f>
        <v>752.4868689295249</v>
      </c>
      <c r="H221" s="93">
        <f>AA221</f>
        <v>6.139917893646991</v>
      </c>
      <c r="I221" s="30">
        <v>28.008</v>
      </c>
      <c r="J221" s="92">
        <f>(3922/0.655)/L160</f>
        <v>784.3884694894984</v>
      </c>
      <c r="L221" s="93">
        <f>46/L160</f>
        <v>6.0259114191021395</v>
      </c>
      <c r="M221" s="106"/>
      <c r="R221" s="106"/>
      <c r="X221" s="30">
        <v>24.851</v>
      </c>
      <c r="Y221" s="92">
        <f>4094/(0.655*AA160)</f>
        <v>752.4868689295249</v>
      </c>
      <c r="AA221" s="93">
        <f>51/(AA160)</f>
        <v>6.139917893646991</v>
      </c>
      <c r="AG221" s="106"/>
    </row>
    <row r="222" spans="1:33" s="27" customFormat="1" ht="12.75">
      <c r="A222" s="26" t="s">
        <v>387</v>
      </c>
      <c r="B222" s="104" t="s">
        <v>388</v>
      </c>
      <c r="C222" s="28"/>
      <c r="D222" s="91"/>
      <c r="E222" s="31"/>
      <c r="F222" s="38">
        <f>X222</f>
        <v>18.465</v>
      </c>
      <c r="G222" s="92">
        <f>Y222</f>
        <v>251.12958065734796</v>
      </c>
      <c r="H222" s="93">
        <f>AA222</f>
        <v>4.533434076312807</v>
      </c>
      <c r="M222" s="106"/>
      <c r="R222" s="106"/>
      <c r="X222" s="30">
        <v>18.465</v>
      </c>
      <c r="Y222" s="92">
        <f>18.465*3*162/AA219</f>
        <v>251.12958065734796</v>
      </c>
      <c r="Z222" s="107">
        <v>0.439</v>
      </c>
      <c r="AA222" s="93">
        <f>162/AA219</f>
        <v>4.533434076312807</v>
      </c>
      <c r="AG222" s="106"/>
    </row>
    <row r="223" spans="1:38" s="33" customFormat="1" ht="12.75">
      <c r="A223" s="32" t="s">
        <v>389</v>
      </c>
      <c r="B223" s="125"/>
      <c r="C223" s="34">
        <f>POPS!$C$149</f>
        <v>11.037</v>
      </c>
      <c r="D223" s="128">
        <f>POPS!E149</f>
        <v>124.3</v>
      </c>
      <c r="E223" s="36">
        <f>F223/C223</f>
        <v>1.0315950245278867</v>
      </c>
      <c r="F223" s="37">
        <f>SUM(F224:F225)</f>
        <v>11.385714285714286</v>
      </c>
      <c r="G223" s="37"/>
      <c r="H223" s="35">
        <f>D223*AG223</f>
        <v>-4.925071281093296</v>
      </c>
      <c r="L223" s="33">
        <v>1.877</v>
      </c>
      <c r="M223" s="121">
        <f>1.8025/L223-1</f>
        <v>-0.03969099627064465</v>
      </c>
      <c r="Q223" s="33">
        <v>1.9582000000000002</v>
      </c>
      <c r="R223" s="121">
        <f>1.877/Q223-1</f>
        <v>-0.04146665304871833</v>
      </c>
      <c r="V223" s="33">
        <v>1.9568</v>
      </c>
      <c r="W223" s="121">
        <f>1.9582/V223-1</f>
        <v>0.0007154538021258983</v>
      </c>
      <c r="AA223" s="33">
        <v>1.9536</v>
      </c>
      <c r="AB223" s="121">
        <f>1.9568/AA223-1</f>
        <v>0.0016380016380017626</v>
      </c>
      <c r="AF223" s="33">
        <v>2.0342</v>
      </c>
      <c r="AG223" s="121">
        <f>1.9536/AF223-1</f>
        <v>-0.039622456002359585</v>
      </c>
      <c r="AK223" s="33">
        <v>2.0044</v>
      </c>
      <c r="AL223" s="121">
        <f>2.0342/AK223-1</f>
        <v>0.014867291957693096</v>
      </c>
    </row>
    <row r="224" spans="1:33" s="33" customFormat="1" ht="12.75">
      <c r="A224" s="32" t="s">
        <v>390</v>
      </c>
      <c r="B224" s="125"/>
      <c r="C224" s="34"/>
      <c r="D224" s="128"/>
      <c r="E224" s="36"/>
      <c r="F224" s="37">
        <f>X224</f>
        <v>3.8857142857142857</v>
      </c>
      <c r="G224" s="37"/>
      <c r="H224" s="37"/>
      <c r="M224" s="121"/>
      <c r="N224" s="35">
        <f>1.659/0.49</f>
        <v>3.3857142857142857</v>
      </c>
      <c r="R224" s="121"/>
      <c r="X224" s="35">
        <f>1.904/0.49</f>
        <v>3.8857142857142857</v>
      </c>
      <c r="AG224" s="121"/>
    </row>
    <row r="225" spans="1:33" s="33" customFormat="1" ht="12.75">
      <c r="A225" s="32" t="s">
        <v>391</v>
      </c>
      <c r="B225" s="131" t="s">
        <v>80</v>
      </c>
      <c r="C225" s="34"/>
      <c r="D225" s="119"/>
      <c r="E225" s="36"/>
      <c r="F225" s="37">
        <f>X225</f>
        <v>7.5</v>
      </c>
      <c r="G225" s="120">
        <f>Y225</f>
        <v>129.54412195837</v>
      </c>
      <c r="H225" s="123"/>
      <c r="M225" s="121"/>
      <c r="N225" s="35">
        <v>7.39</v>
      </c>
      <c r="O225" s="120">
        <v>161.3</v>
      </c>
      <c r="R225" s="121"/>
      <c r="X225" s="33">
        <v>7.5</v>
      </c>
      <c r="Y225" s="120">
        <f>1414/(3*3.6384)</f>
        <v>129.54412195837</v>
      </c>
      <c r="AG225" s="121"/>
    </row>
    <row r="226" spans="1:38" s="27" customFormat="1" ht="12.75">
      <c r="A226" s="26" t="s">
        <v>39</v>
      </c>
      <c r="C226" s="28">
        <f>POPS!$C$150</f>
        <v>79.414</v>
      </c>
      <c r="D226" s="91">
        <f>POPS!E150</f>
        <v>1508</v>
      </c>
      <c r="E226" s="31">
        <f>F226/C226</f>
        <v>0.9364595663233182</v>
      </c>
      <c r="F226" s="38">
        <f>SUM(F227:F229)</f>
        <v>74.368</v>
      </c>
      <c r="G226" s="38"/>
      <c r="H226" s="30">
        <f>D226*AG226</f>
        <v>3.470834764685499</v>
      </c>
      <c r="L226" s="27">
        <v>2.3476</v>
      </c>
      <c r="M226" s="106">
        <f>2.2827/L226-1</f>
        <v>-0.027645254728232982</v>
      </c>
      <c r="Q226" s="27">
        <v>2.5967000000000002</v>
      </c>
      <c r="R226" s="106">
        <f>2.3476/Q226-1</f>
        <v>-0.09592944891593191</v>
      </c>
      <c r="V226" s="27">
        <v>2.6818</v>
      </c>
      <c r="W226" s="106">
        <f>2.5967/V226-1</f>
        <v>-0.0317324185248713</v>
      </c>
      <c r="AA226" s="27">
        <v>2.9177</v>
      </c>
      <c r="AB226" s="106">
        <f>2.6818/AA226-1</f>
        <v>-0.08085135551975875</v>
      </c>
      <c r="AF226" s="27">
        <v>2.911</v>
      </c>
      <c r="AG226" s="106">
        <f>2.9177/AF226-1</f>
        <v>0.0023016145654413123</v>
      </c>
      <c r="AK226" s="27">
        <v>2.8224</v>
      </c>
      <c r="AL226" s="106">
        <f>2.911/AK226-1</f>
        <v>0.03139172335600904</v>
      </c>
    </row>
    <row r="227" spans="1:33" s="27" customFormat="1" ht="12.75">
      <c r="A227" s="26" t="s">
        <v>392</v>
      </c>
      <c r="B227" s="104" t="s">
        <v>393</v>
      </c>
      <c r="C227" s="28"/>
      <c r="D227" s="91"/>
      <c r="E227" s="31"/>
      <c r="F227" s="38">
        <f>AC227</f>
        <v>35.8</v>
      </c>
      <c r="G227" s="92">
        <f>AD227</f>
        <v>925.7879999999999</v>
      </c>
      <c r="H227" s="93">
        <f>AF227</f>
        <v>8.622466506355204</v>
      </c>
      <c r="I227" s="27">
        <v>34.6</v>
      </c>
      <c r="J227" s="92">
        <f>2392/L226</f>
        <v>1018.9129323564492</v>
      </c>
      <c r="L227" s="27">
        <v>10.3</v>
      </c>
      <c r="M227" s="106">
        <f>0.077/3</f>
        <v>0.025666666666666667</v>
      </c>
      <c r="N227" s="27">
        <v>34.3</v>
      </c>
      <c r="O227" s="92">
        <f>(2711-349)/Q226</f>
        <v>909.6160511418337</v>
      </c>
      <c r="Q227" s="93">
        <v>9.2</v>
      </c>
      <c r="R227" s="106">
        <f>0.077/3</f>
        <v>0.025666666666666667</v>
      </c>
      <c r="S227" s="30">
        <v>34</v>
      </c>
      <c r="T227" s="27">
        <f>2834.6/V226</f>
        <v>1056.9766574688642</v>
      </c>
      <c r="V227" s="93">
        <v>9.1</v>
      </c>
      <c r="W227" s="106">
        <f>0.08/3</f>
        <v>0.02666666666666667</v>
      </c>
      <c r="X227" s="27">
        <v>34.2</v>
      </c>
      <c r="Y227" s="92">
        <f>34.2*3*9.2</f>
        <v>943.92</v>
      </c>
      <c r="AA227" s="93">
        <v>9.2</v>
      </c>
      <c r="AB227" s="106">
        <v>0.023</v>
      </c>
      <c r="AC227" s="27">
        <v>35.8</v>
      </c>
      <c r="AD227" s="92">
        <f>35.8*3*8.62</f>
        <v>925.7879999999999</v>
      </c>
      <c r="AF227" s="93">
        <f>25.1/AF226</f>
        <v>8.622466506355204</v>
      </c>
      <c r="AG227" s="106">
        <f>0.079/3</f>
        <v>0.026333333333333334</v>
      </c>
    </row>
    <row r="228" spans="1:33" s="27" customFormat="1" ht="12.75">
      <c r="A228" s="26" t="s">
        <v>394</v>
      </c>
      <c r="B228" s="104" t="s">
        <v>395</v>
      </c>
      <c r="C228" s="28"/>
      <c r="D228" s="91"/>
      <c r="E228" s="31"/>
      <c r="F228" s="38">
        <f>AC228</f>
        <v>21.868</v>
      </c>
      <c r="G228" s="92">
        <f>AD228</f>
        <v>575.103489059728</v>
      </c>
      <c r="H228" s="93">
        <f>AF228</f>
        <v>8.862933699759534</v>
      </c>
      <c r="I228" s="30">
        <v>20.547</v>
      </c>
      <c r="J228" s="92">
        <f>400/L234</f>
        <v>611.4338122898196</v>
      </c>
      <c r="L228" s="93">
        <f>22.6/L226</f>
        <v>9.626852956210598</v>
      </c>
      <c r="M228" s="106"/>
      <c r="N228" s="30">
        <v>20.747</v>
      </c>
      <c r="O228" s="92">
        <f>385/Q234</f>
        <v>572.0653789004457</v>
      </c>
      <c r="R228" s="106"/>
      <c r="S228" s="30">
        <f>20.747+0.31-0.009</f>
        <v>21.048</v>
      </c>
      <c r="T228" s="92">
        <f>(392-13)/V234</f>
        <v>593.0214363949303</v>
      </c>
      <c r="V228" s="93">
        <f>24.2/V226</f>
        <v>9.023789991796555</v>
      </c>
      <c r="W228" s="106">
        <f>0.355/12</f>
        <v>0.029583333333333333</v>
      </c>
      <c r="X228" s="30">
        <v>21.561</v>
      </c>
      <c r="Y228" s="92">
        <f>(400-14)/AA234</f>
        <v>592.7518427518428</v>
      </c>
      <c r="AA228" s="93">
        <f>25.9/AA226</f>
        <v>8.876855057065496</v>
      </c>
      <c r="AB228" s="106">
        <f>0.314/12</f>
        <v>0.026166666666666668</v>
      </c>
      <c r="AC228" s="30">
        <v>21.868</v>
      </c>
      <c r="AD228" s="92">
        <f>(405-16)/AF234</f>
        <v>575.103489059728</v>
      </c>
      <c r="AF228" s="93">
        <f>25.8/AF226</f>
        <v>8.862933699759534</v>
      </c>
      <c r="AG228" s="106">
        <f>0.33/12</f>
        <v>0.0275</v>
      </c>
    </row>
    <row r="229" spans="1:33" s="27" customFormat="1" ht="12.75">
      <c r="A229" s="26" t="s">
        <v>396</v>
      </c>
      <c r="B229" s="104" t="s">
        <v>397</v>
      </c>
      <c r="C229" s="28"/>
      <c r="D229" s="91"/>
      <c r="E229" s="31"/>
      <c r="F229" s="38">
        <f>S229</f>
        <v>16.7</v>
      </c>
      <c r="G229" s="92">
        <f>T229</f>
        <v>454.54545454545456</v>
      </c>
      <c r="H229" s="93">
        <f>V229</f>
        <v>8.576329331046312</v>
      </c>
      <c r="M229" s="106"/>
      <c r="R229" s="106"/>
      <c r="S229" s="27">
        <v>16.7</v>
      </c>
      <c r="T229" s="92">
        <f>1219/V226</f>
        <v>454.54545454545456</v>
      </c>
      <c r="V229" s="93">
        <f>23/V226</f>
        <v>8.576329331046312</v>
      </c>
      <c r="AG229" s="106"/>
    </row>
    <row r="230" spans="1:38" s="33" customFormat="1" ht="12.75">
      <c r="A230" s="32" t="s">
        <v>398</v>
      </c>
      <c r="B230" s="126" t="s">
        <v>345</v>
      </c>
      <c r="C230" s="34">
        <f>POPS!$C$153</f>
        <v>44.429</v>
      </c>
      <c r="D230" s="119">
        <f>POPS!E153</f>
        <v>370.8</v>
      </c>
      <c r="E230" s="36">
        <f>F230/C230</f>
        <v>1.3218843548132975</v>
      </c>
      <c r="F230" s="37">
        <f>AC230</f>
        <v>58.73</v>
      </c>
      <c r="G230" s="37"/>
      <c r="H230" s="35">
        <f>D230*AG230</f>
        <v>-325.77406525719994</v>
      </c>
      <c r="I230" s="35">
        <f>SUM(I231:I233)</f>
        <v>59.362</v>
      </c>
      <c r="L230" s="33">
        <v>15.8185</v>
      </c>
      <c r="M230" s="121">
        <f>12.954/L230-1</f>
        <v>-0.18108543793659315</v>
      </c>
      <c r="N230" s="35">
        <v>59.247</v>
      </c>
      <c r="Q230" s="33">
        <v>23.4534</v>
      </c>
      <c r="R230" s="121">
        <f>15.8185/Q230-1</f>
        <v>-0.3255348904636427</v>
      </c>
      <c r="S230" s="35">
        <v>59.455</v>
      </c>
      <c r="V230" s="33">
        <v>21.01</v>
      </c>
      <c r="W230" s="121">
        <f>23.453/V230-1</f>
        <v>0.1162779628748214</v>
      </c>
      <c r="X230" s="35">
        <v>59.222</v>
      </c>
      <c r="AA230" s="33">
        <v>21.85</v>
      </c>
      <c r="AB230" s="121">
        <f>21.01/AA230-1</f>
        <v>-0.03844393592677342</v>
      </c>
      <c r="AC230" s="35">
        <v>58.73</v>
      </c>
      <c r="AF230" s="33">
        <v>24.028</v>
      </c>
      <c r="AG230" s="121">
        <f>2.9177/AF230-1</f>
        <v>-0.8785708340269686</v>
      </c>
      <c r="AK230" s="33">
        <v>26.05</v>
      </c>
      <c r="AL230" s="121">
        <f>24.028/AK230-1</f>
        <v>-0.07761996161228413</v>
      </c>
    </row>
    <row r="231" spans="1:38" s="33" customFormat="1" ht="12.75">
      <c r="A231" s="32" t="s">
        <v>399</v>
      </c>
      <c r="C231" s="34"/>
      <c r="D231" s="119"/>
      <c r="E231" s="36"/>
      <c r="F231" s="37">
        <f>AH231</f>
        <v>25.3</v>
      </c>
      <c r="G231" s="120">
        <f>AI231</f>
        <v>126</v>
      </c>
      <c r="H231" s="123">
        <f>AK231</f>
        <v>1.6</v>
      </c>
      <c r="I231" s="35">
        <v>26.329</v>
      </c>
      <c r="J231" s="120">
        <f>2870/L230</f>
        <v>181.43313209217055</v>
      </c>
      <c r="L231" s="123">
        <f>36.1/L230</f>
        <v>2.282138002971205</v>
      </c>
      <c r="M231" s="121"/>
      <c r="N231" s="35">
        <v>26.146</v>
      </c>
      <c r="O231" s="33">
        <v>151</v>
      </c>
      <c r="Q231" s="123">
        <v>1.8</v>
      </c>
      <c r="R231" s="121">
        <v>0.018000000000000002</v>
      </c>
      <c r="S231" s="35">
        <v>26.055</v>
      </c>
      <c r="T231" s="33">
        <v>143</v>
      </c>
      <c r="V231" s="123">
        <v>1.8</v>
      </c>
      <c r="W231" s="121">
        <f>0.05/3</f>
        <v>0.016666666666666666</v>
      </c>
      <c r="X231" s="35">
        <v>25.732</v>
      </c>
      <c r="Y231" s="120">
        <f>3348/AA230</f>
        <v>153.22654462242562</v>
      </c>
      <c r="AA231" s="123">
        <f>42/AA230</f>
        <v>1.9221967963386726</v>
      </c>
      <c r="AC231" s="33">
        <v>25.4</v>
      </c>
      <c r="AD231" s="33">
        <v>141</v>
      </c>
      <c r="AF231" s="123">
        <v>1.8</v>
      </c>
      <c r="AG231" s="121">
        <f>0.064/3</f>
        <v>0.021333333333333333</v>
      </c>
      <c r="AH231" s="33">
        <v>25.3</v>
      </c>
      <c r="AI231" s="33">
        <v>126</v>
      </c>
      <c r="AK231" s="123">
        <v>1.6</v>
      </c>
      <c r="AL231" s="121">
        <f>0.05/3</f>
        <v>0.016666666666666666</v>
      </c>
    </row>
    <row r="232" spans="1:38" s="33" customFormat="1" ht="12.75">
      <c r="A232" s="32" t="s">
        <v>400</v>
      </c>
      <c r="B232" s="33" t="s">
        <v>401</v>
      </c>
      <c r="C232" s="34"/>
      <c r="D232" s="119"/>
      <c r="E232" s="36"/>
      <c r="F232" s="37">
        <f>AC232</f>
        <v>20.43</v>
      </c>
      <c r="G232" s="120">
        <f>AD232</f>
        <v>94.54173764906304</v>
      </c>
      <c r="H232" s="123">
        <f>AF232</f>
        <v>1.526405451448041</v>
      </c>
      <c r="I232" s="35">
        <v>22.733</v>
      </c>
      <c r="J232" s="120">
        <f>2277/L230</f>
        <v>143.94538040901475</v>
      </c>
      <c r="L232" s="123">
        <f>113.8/L188</f>
        <v>1.9377007086740201</v>
      </c>
      <c r="M232" s="121">
        <f>0.176/3</f>
        <v>0.058666666666666666</v>
      </c>
      <c r="N232" s="35">
        <v>20.25</v>
      </c>
      <c r="O232" s="120">
        <f>7904/Q188</f>
        <v>135.8087268790969</v>
      </c>
      <c r="Q232" s="123">
        <f>128.4/Q188</f>
        <v>2.206204520657394</v>
      </c>
      <c r="R232" s="121">
        <f>0.055/3</f>
        <v>0.018333333333333333</v>
      </c>
      <c r="S232" s="33">
        <v>20.3</v>
      </c>
      <c r="T232" s="120">
        <f>5904/V188</f>
        <v>106.64816942318947</v>
      </c>
      <c r="U232" s="124">
        <v>0.28600000000000003</v>
      </c>
      <c r="V232" s="123">
        <f>95.7/V188</f>
        <v>1.728697461686862</v>
      </c>
      <c r="W232" s="121">
        <f>0.056/3</f>
        <v>0.018666666666666668</v>
      </c>
      <c r="X232" s="35">
        <v>20.289</v>
      </c>
      <c r="Y232" s="120">
        <f>7450/AA188</f>
        <v>114.35781562757113</v>
      </c>
      <c r="Z232" s="124">
        <f>34.4/120.9</f>
        <v>0.2845326716294458</v>
      </c>
      <c r="AA232" s="123">
        <f>120.9/AA188</f>
        <v>1.855820122063537</v>
      </c>
      <c r="AB232" s="121">
        <v>0.023</v>
      </c>
      <c r="AC232" s="35">
        <v>20.43</v>
      </c>
      <c r="AD232" s="120">
        <f>6937/AF188</f>
        <v>94.54173764906304</v>
      </c>
      <c r="AE232" s="124">
        <v>0.309</v>
      </c>
      <c r="AF232" s="123">
        <f>112/AF188</f>
        <v>1.526405451448041</v>
      </c>
      <c r="AG232" s="121">
        <f>0.066/3</f>
        <v>0.022000000000000002</v>
      </c>
      <c r="AK232" s="123"/>
      <c r="AL232" s="121"/>
    </row>
    <row r="233" spans="1:33" s="33" customFormat="1" ht="12.75">
      <c r="A233" s="32" t="s">
        <v>402</v>
      </c>
      <c r="C233" s="34"/>
      <c r="D233" s="119"/>
      <c r="E233" s="36"/>
      <c r="F233" s="37">
        <f>AC233</f>
        <v>10.6</v>
      </c>
      <c r="G233" s="120">
        <f>AD233</f>
        <v>48.23123023139671</v>
      </c>
      <c r="H233" s="123">
        <f>V233</f>
        <v>1.6</v>
      </c>
      <c r="I233" s="33">
        <v>10.3</v>
      </c>
      <c r="J233" s="120">
        <v>74.5</v>
      </c>
      <c r="L233" s="123">
        <v>2.4</v>
      </c>
      <c r="M233" s="121"/>
      <c r="N233" s="33">
        <v>10.3</v>
      </c>
      <c r="O233" s="120">
        <v>51.4</v>
      </c>
      <c r="R233" s="121"/>
      <c r="S233" s="35">
        <v>10.6</v>
      </c>
      <c r="T233" s="120">
        <v>50.2</v>
      </c>
      <c r="V233" s="123">
        <v>1.6</v>
      </c>
      <c r="X233" s="33">
        <v>10.8</v>
      </c>
      <c r="Y233" s="120">
        <v>55.4</v>
      </c>
      <c r="AC233" s="33">
        <v>10.6</v>
      </c>
      <c r="AD233" s="120">
        <f>1158.9/AF230</f>
        <v>48.23123023139671</v>
      </c>
      <c r="AG233" s="121"/>
    </row>
    <row r="234" spans="1:38" s="27" customFormat="1" ht="12.75">
      <c r="A234" s="26" t="s">
        <v>40</v>
      </c>
      <c r="C234" s="28">
        <f>POPS!$C$155</f>
        <v>64.088</v>
      </c>
      <c r="D234" s="91">
        <f>POPS!E155</f>
        <v>2549</v>
      </c>
      <c r="E234" s="31">
        <f>F234/C234</f>
        <v>1.2067594557483463</v>
      </c>
      <c r="F234" s="38">
        <f>SUM(F235:F238)</f>
        <v>77.3388</v>
      </c>
      <c r="G234" s="92">
        <f>SUM(G235:G238)</f>
        <v>6707.111626826953</v>
      </c>
      <c r="H234" s="92">
        <f>D234*AG234</f>
        <v>-94.96570076877573</v>
      </c>
      <c r="L234" s="27">
        <v>0.6542</v>
      </c>
      <c r="M234" s="106">
        <f>0.6176/L234-1</f>
        <v>-0.055946193824518486</v>
      </c>
      <c r="Q234" s="27">
        <v>0.673</v>
      </c>
      <c r="R234" s="106">
        <f>0.6542/Q234-1</f>
        <v>-0.027934621099554247</v>
      </c>
      <c r="V234" s="27">
        <v>0.6391</v>
      </c>
      <c r="W234" s="106">
        <f>0.673/V234-1</f>
        <v>0.05304334219996876</v>
      </c>
      <c r="AA234" s="27">
        <v>0.6512</v>
      </c>
      <c r="AB234" s="106">
        <f>0.6391/AA234-1</f>
        <v>-0.01858108108108103</v>
      </c>
      <c r="AF234" s="27">
        <v>0.6764</v>
      </c>
      <c r="AG234" s="106">
        <f>0.6512/AF234-1</f>
        <v>-0.037256061502069726</v>
      </c>
      <c r="AK234" s="27">
        <v>0.7028</v>
      </c>
      <c r="AL234" s="106">
        <f>0.6764/AK234-1</f>
        <v>-0.037564029595902104</v>
      </c>
    </row>
    <row r="235" spans="1:33" s="27" customFormat="1" ht="12.75">
      <c r="A235" s="26" t="s">
        <v>403</v>
      </c>
      <c r="B235" s="27" t="s">
        <v>404</v>
      </c>
      <c r="C235" s="28"/>
      <c r="D235" s="91"/>
      <c r="E235" s="31"/>
      <c r="F235" s="38">
        <f>AC235</f>
        <v>18.395</v>
      </c>
      <c r="G235" s="92">
        <f>AD235</f>
        <v>1639.5623891188645</v>
      </c>
      <c r="H235" s="93">
        <f>AF235</f>
        <v>27.794204612655236</v>
      </c>
      <c r="I235" s="30">
        <v>19.853</v>
      </c>
      <c r="J235" s="92">
        <f>1132/L234</f>
        <v>1730.3576887801896</v>
      </c>
      <c r="L235" s="93">
        <f>17.8/L234</f>
        <v>27.208804646896976</v>
      </c>
      <c r="M235" s="106"/>
      <c r="N235" s="30">
        <v>18.415</v>
      </c>
      <c r="O235" s="92">
        <f>1110/Q234</f>
        <v>1649.331352154532</v>
      </c>
      <c r="R235" s="106"/>
      <c r="S235" s="30">
        <f>18.415+0.083-0.181</f>
        <v>18.316999999999997</v>
      </c>
      <c r="T235" s="92">
        <f>(1429-325)/V234</f>
        <v>1727.4291973087154</v>
      </c>
      <c r="V235" s="93">
        <f>18.8/V234</f>
        <v>29.41636676576436</v>
      </c>
      <c r="W235" s="106">
        <f>0.289/12</f>
        <v>0.02408333333333333</v>
      </c>
      <c r="X235" s="30">
        <v>18.333</v>
      </c>
      <c r="Y235" s="92">
        <f>(1512-402)/AA234</f>
        <v>1704.5454545454545</v>
      </c>
      <c r="AA235" s="93">
        <f>18.6/AA234</f>
        <v>28.562653562653566</v>
      </c>
      <c r="AB235" s="106">
        <f>0.279/12</f>
        <v>0.023250000000000003</v>
      </c>
      <c r="AC235" s="30">
        <v>18.395</v>
      </c>
      <c r="AD235" s="27">
        <f>(1442-333)/AF234</f>
        <v>1639.5623891188645</v>
      </c>
      <c r="AF235" s="93">
        <f>18.8/AF234</f>
        <v>27.794204612655236</v>
      </c>
      <c r="AG235" s="106">
        <f>0.275/12</f>
        <v>0.02291666666666667</v>
      </c>
    </row>
    <row r="236" spans="1:33" s="27" customFormat="1" ht="12.75">
      <c r="A236" s="26" t="s">
        <v>405</v>
      </c>
      <c r="B236" s="27" t="s">
        <v>406</v>
      </c>
      <c r="C236" s="28"/>
      <c r="D236" s="91"/>
      <c r="E236" s="31"/>
      <c r="F236" s="38">
        <f>AC236</f>
        <v>25.12</v>
      </c>
      <c r="G236" s="92">
        <f>AD236</f>
        <v>2040.212891780012</v>
      </c>
      <c r="H236" s="93">
        <f>AF236</f>
        <v>28.089887640449437</v>
      </c>
      <c r="M236" s="106"/>
      <c r="N236" s="30">
        <v>25.218</v>
      </c>
      <c r="O236" s="92">
        <f>1541/Q234</f>
        <v>2289.7473997028233</v>
      </c>
      <c r="P236" s="107">
        <v>0.617</v>
      </c>
      <c r="Q236" s="93">
        <f>18.6/Q234</f>
        <v>27.637444279346212</v>
      </c>
      <c r="R236" s="106">
        <v>0.02</v>
      </c>
      <c r="S236" s="30">
        <v>25.165</v>
      </c>
      <c r="T236" s="92">
        <f>1506/V234</f>
        <v>2356.4387419809104</v>
      </c>
      <c r="U236" s="107">
        <v>0.6</v>
      </c>
      <c r="V236" s="93">
        <f>19/V234</f>
        <v>29.729306837740573</v>
      </c>
      <c r="W236" s="106">
        <v>0.02</v>
      </c>
      <c r="X236" s="30">
        <v>25.124</v>
      </c>
      <c r="Y236" s="92">
        <f>1391/AA234</f>
        <v>2136.056511056511</v>
      </c>
      <c r="Z236" s="107">
        <v>0.633</v>
      </c>
      <c r="AA236" s="27">
        <f>19.1/AA234</f>
        <v>29.330466830466833</v>
      </c>
      <c r="AB236" s="106">
        <f>0.021</f>
        <v>0.021</v>
      </c>
      <c r="AC236" s="27">
        <v>25.12</v>
      </c>
      <c r="AD236" s="27">
        <f>1380/AF234</f>
        <v>2040.212891780012</v>
      </c>
      <c r="AF236" s="27">
        <f>19/AF234</f>
        <v>28.089887640449437</v>
      </c>
      <c r="AG236" s="106">
        <v>0.02</v>
      </c>
    </row>
    <row r="237" spans="1:33" s="27" customFormat="1" ht="12.75">
      <c r="A237" s="26" t="s">
        <v>407</v>
      </c>
      <c r="B237" s="27" t="s">
        <v>408</v>
      </c>
      <c r="C237" s="28"/>
      <c r="D237" s="91"/>
      <c r="E237" s="31"/>
      <c r="F237" s="38">
        <f>AC237</f>
        <v>25.0188</v>
      </c>
      <c r="G237" s="92">
        <f>AD237</f>
        <v>2189.439303211758</v>
      </c>
      <c r="H237" s="93">
        <f>AF237</f>
        <v>21.01252041371802</v>
      </c>
      <c r="I237" s="30">
        <v>24.479</v>
      </c>
      <c r="J237" s="92">
        <f>1913/L203</f>
        <v>2284.179104477612</v>
      </c>
      <c r="K237" s="107">
        <f>10.7/18.6</f>
        <v>0.575268817204301</v>
      </c>
      <c r="L237" s="93">
        <f>18.6/L203</f>
        <v>22.208955223880597</v>
      </c>
      <c r="M237" s="106">
        <v>0.018000000000000002</v>
      </c>
      <c r="N237" s="30">
        <v>24.617</v>
      </c>
      <c r="O237" s="92">
        <f>1851/Q203</f>
        <v>1994.1822882999354</v>
      </c>
      <c r="P237" s="107">
        <f>10.9/18.8</f>
        <v>0.5797872340425532</v>
      </c>
      <c r="Q237" s="93">
        <f>18.8/Q203</f>
        <v>20.254255548373195</v>
      </c>
      <c r="R237" s="106">
        <v>0.017</v>
      </c>
      <c r="S237" s="30">
        <v>24.8165</v>
      </c>
      <c r="T237" s="92">
        <f>1953/Q203</f>
        <v>2104.072398190045</v>
      </c>
      <c r="U237" s="107">
        <f>11.4/19.6</f>
        <v>0.5816326530612245</v>
      </c>
      <c r="V237" s="93">
        <f>19.6/Q203</f>
        <v>21.116138763197586</v>
      </c>
      <c r="W237" s="106">
        <v>0.016</v>
      </c>
      <c r="X237" s="30">
        <v>25.04</v>
      </c>
      <c r="Y237" s="92">
        <f>2023/AA203</f>
        <v>2278.9230595922045</v>
      </c>
      <c r="Z237" s="107">
        <f>11.3/19.4</f>
        <v>0.5824742268041238</v>
      </c>
      <c r="AA237" s="93">
        <f>19.4/AA203</f>
        <v>21.854230032668692</v>
      </c>
      <c r="AB237" s="106">
        <v>0.017</v>
      </c>
      <c r="AC237" s="30">
        <v>25.0188</v>
      </c>
      <c r="AD237" s="27">
        <f>2011/AF203</f>
        <v>2189.439303211758</v>
      </c>
      <c r="AE237" s="107">
        <f>11.3/19.3</f>
        <v>0.5854922279792746</v>
      </c>
      <c r="AF237" s="93">
        <f>19.3/AF203</f>
        <v>21.01252041371802</v>
      </c>
      <c r="AG237" s="106">
        <v>0.022000000000000002</v>
      </c>
    </row>
    <row r="238" spans="1:33" s="27" customFormat="1" ht="12.75">
      <c r="A238" s="26" t="s">
        <v>409</v>
      </c>
      <c r="C238" s="28"/>
      <c r="D238" s="91"/>
      <c r="E238" s="31"/>
      <c r="F238" s="38">
        <f>S238</f>
        <v>8.805</v>
      </c>
      <c r="G238" s="92">
        <f>T238</f>
        <v>837.8970427163198</v>
      </c>
      <c r="H238" s="93">
        <f>V238</f>
        <v>31.888593334376466</v>
      </c>
      <c r="I238" s="30">
        <v>8.414</v>
      </c>
      <c r="J238" s="92">
        <f>(2063-974)/(2*L234)</f>
        <v>832.314276979517</v>
      </c>
      <c r="L238" s="27">
        <f>20.81/L234</f>
        <v>31.809844084377865</v>
      </c>
      <c r="M238" s="106"/>
      <c r="R238" s="106"/>
      <c r="S238" s="30">
        <v>8.805</v>
      </c>
      <c r="T238" s="92">
        <f>1071/(2*V234)</f>
        <v>837.8970427163198</v>
      </c>
      <c r="V238" s="93">
        <f>20.38/V234</f>
        <v>31.888593334376466</v>
      </c>
      <c r="W238" s="106">
        <v>0.015</v>
      </c>
      <c r="AG238" s="106"/>
    </row>
    <row r="239" spans="1:38" s="33" customFormat="1" ht="12.75">
      <c r="A239" s="32" t="s">
        <v>41</v>
      </c>
      <c r="B239" s="125" t="s">
        <v>410</v>
      </c>
      <c r="C239" s="34">
        <f>POPS!$C$156</f>
        <v>321.368</v>
      </c>
      <c r="D239" s="119">
        <f>POPS!E156</f>
        <v>17420</v>
      </c>
      <c r="E239" s="36">
        <f>F239/C239</f>
        <v>1.2367130517039655</v>
      </c>
      <c r="F239" s="37">
        <f>AH239</f>
        <v>397.44</v>
      </c>
      <c r="G239" s="120">
        <f>SUM(G240:G243)</f>
        <v>56254</v>
      </c>
      <c r="H239" s="123">
        <f>D239*AG239</f>
        <v>0</v>
      </c>
      <c r="I239" s="35">
        <v>370.392</v>
      </c>
      <c r="L239" s="33">
        <v>1</v>
      </c>
      <c r="M239" s="121">
        <f>1/L239-1</f>
        <v>0</v>
      </c>
      <c r="N239" s="35">
        <v>374.794</v>
      </c>
      <c r="Q239" s="33">
        <v>1</v>
      </c>
      <c r="R239" s="121">
        <f>1/Q239-1</f>
        <v>0</v>
      </c>
      <c r="S239" s="35">
        <v>379.662</v>
      </c>
      <c r="V239" s="33">
        <v>1</v>
      </c>
      <c r="W239" s="121">
        <f>1/V239-1</f>
        <v>0</v>
      </c>
      <c r="X239" s="35">
        <v>387.497</v>
      </c>
      <c r="AA239" s="33">
        <v>1</v>
      </c>
      <c r="AB239" s="121">
        <f>1/AA239-1</f>
        <v>0</v>
      </c>
      <c r="AC239" s="35">
        <v>392.864</v>
      </c>
      <c r="AF239" s="33">
        <v>1</v>
      </c>
      <c r="AG239" s="121">
        <f>1/AF239-1</f>
        <v>0</v>
      </c>
      <c r="AH239" s="35">
        <v>397.44</v>
      </c>
      <c r="AK239" s="33">
        <v>1</v>
      </c>
      <c r="AL239" s="33">
        <f>1/AK239-1</f>
        <v>0</v>
      </c>
    </row>
    <row r="240" spans="1:38" s="33" customFormat="1" ht="12.75">
      <c r="A240" s="32" t="str">
        <f>US_Cellular!$A$2</f>
        <v>Verizon Wireless (VZW)</v>
      </c>
      <c r="B240" s="33" t="str">
        <f>US_Cellular!$B$2</f>
        <v>VZ</v>
      </c>
      <c r="C240" s="34"/>
      <c r="D240" s="119"/>
      <c r="E240" s="36"/>
      <c r="F240" s="37">
        <f>AH240</f>
        <v>112.573</v>
      </c>
      <c r="G240" s="120">
        <f>AI240</f>
        <v>22004</v>
      </c>
      <c r="H240" s="123">
        <f>AK240</f>
        <v>65.15475883796884</v>
      </c>
      <c r="I240" s="35">
        <f>US_Cellular!$AT$2</f>
        <v>108.211</v>
      </c>
      <c r="J240" s="33">
        <v>23449</v>
      </c>
      <c r="L240" s="123">
        <f>J240/(3*I240)</f>
        <v>72.232336207348</v>
      </c>
      <c r="M240" s="121">
        <v>0.013900000000000001</v>
      </c>
      <c r="N240" s="35">
        <f>US_Cellular!$AU$2</f>
        <v>108.582</v>
      </c>
      <c r="O240" s="33">
        <v>22328</v>
      </c>
      <c r="Q240" s="123">
        <f>O240/(3*N240)</f>
        <v>68.54420315214922</v>
      </c>
      <c r="R240" s="121">
        <v>0.013300000000000001</v>
      </c>
      <c r="S240" s="35">
        <f>US_Cellular!$AV$2</f>
        <v>109.548</v>
      </c>
      <c r="T240" s="33">
        <v>22613</v>
      </c>
      <c r="V240" s="123">
        <f>T240/(3*S240)</f>
        <v>68.80697654604982</v>
      </c>
      <c r="W240" s="121">
        <v>0.0126</v>
      </c>
      <c r="X240" s="35">
        <f>US_Cellular!$AW$2</f>
        <v>110.76</v>
      </c>
      <c r="Y240" s="120">
        <v>23005</v>
      </c>
      <c r="AA240" s="123">
        <f>Y240/(3*X240)</f>
        <v>69.233778740821</v>
      </c>
      <c r="AB240" s="121">
        <v>0.0121</v>
      </c>
      <c r="AC240" s="35">
        <f>US_Cellular!$AX$2</f>
        <v>112.108</v>
      </c>
      <c r="AD240" s="33">
        <v>23734</v>
      </c>
      <c r="AF240" s="123">
        <f>AD240/(3*AC240)</f>
        <v>70.56885622197642</v>
      </c>
      <c r="AG240" s="121">
        <v>0.0123</v>
      </c>
      <c r="AH240" s="35">
        <f>US_Cellular!$AY$2</f>
        <v>112.573</v>
      </c>
      <c r="AI240" s="33">
        <v>22004</v>
      </c>
      <c r="AK240" s="123">
        <f>AI240/(3*AH240)</f>
        <v>65.15475883796884</v>
      </c>
      <c r="AL240" s="121">
        <v>0.0123</v>
      </c>
    </row>
    <row r="241" spans="1:38" s="33" customFormat="1" ht="12.75">
      <c r="A241" s="32" t="str">
        <f>US_Cellular!$A$3</f>
        <v>AT&amp;T Wireless (T)</v>
      </c>
      <c r="B241" s="33" t="s">
        <v>411</v>
      </c>
      <c r="C241" s="34"/>
      <c r="D241" s="119"/>
      <c r="E241" s="36"/>
      <c r="F241" s="37">
        <f>AH241</f>
        <v>130.421</v>
      </c>
      <c r="G241" s="120">
        <f>AI241</f>
        <v>18000</v>
      </c>
      <c r="H241" s="123">
        <f>AF241</f>
        <v>38.78</v>
      </c>
      <c r="I241" s="35">
        <f>US_Cellular!$AT$3</f>
        <v>120.554</v>
      </c>
      <c r="J241" s="33">
        <v>19859</v>
      </c>
      <c r="L241" s="33">
        <f>42.04</f>
        <v>42.04</v>
      </c>
      <c r="M241" s="121">
        <v>0.0159</v>
      </c>
      <c r="N241" s="35">
        <f>US_Cellular!$AU$3</f>
        <v>121.772</v>
      </c>
      <c r="O241" s="33">
        <v>18186</v>
      </c>
      <c r="Q241" s="123">
        <f>40.78</f>
        <v>40.78</v>
      </c>
      <c r="R241" s="121">
        <v>0.014</v>
      </c>
      <c r="S241" s="35">
        <f>US_Cellular!$AV$3</f>
        <v>123.902</v>
      </c>
      <c r="T241" s="33">
        <v>18304</v>
      </c>
      <c r="V241" s="123">
        <v>41.07</v>
      </c>
      <c r="W241" s="121">
        <v>0.0136</v>
      </c>
      <c r="X241" s="35">
        <f>US_Cellular!$AW$3</f>
        <v>126.406</v>
      </c>
      <c r="Y241" s="33">
        <f>9545+8784</f>
        <v>18329</v>
      </c>
      <c r="AA241" s="33">
        <v>40.19</v>
      </c>
      <c r="AB241" s="121">
        <v>0.019</v>
      </c>
      <c r="AC241" s="35">
        <f>US_Cellular!$AX$3</f>
        <v>128.64000000000001</v>
      </c>
      <c r="AD241" s="33">
        <f>10138+8749</f>
        <v>18887</v>
      </c>
      <c r="AF241" s="123">
        <f>38.78</f>
        <v>38.78</v>
      </c>
      <c r="AG241" s="121">
        <f>(10138*0.011+54981*0.0197)/(10138+54981)</f>
        <v>0.018345547382484374</v>
      </c>
      <c r="AH241" s="35">
        <f>US_Cellular!$AY$3</f>
        <v>130.421</v>
      </c>
      <c r="AI241" s="33">
        <v>18000</v>
      </c>
      <c r="AL241" s="121">
        <v>0.014199999999999999</v>
      </c>
    </row>
    <row r="242" spans="1:38" s="33" customFormat="1" ht="12.75">
      <c r="A242" s="32" t="str">
        <f>US_Cellular!$A$4</f>
        <v>Sprint Nextel (S)</v>
      </c>
      <c r="B242" s="33" t="str">
        <f>US_Cellular!$B$4</f>
        <v>S</v>
      </c>
      <c r="C242" s="34"/>
      <c r="D242" s="119"/>
      <c r="E242" s="36"/>
      <c r="F242" s="37">
        <f>AH242</f>
        <v>58.806</v>
      </c>
      <c r="G242" s="120">
        <f>AI242</f>
        <v>7651</v>
      </c>
      <c r="H242" s="123">
        <f>AK242</f>
        <v>44.07322307488754</v>
      </c>
      <c r="I242" s="35">
        <f>US_Cellular!$AT$4</f>
        <v>55.929</v>
      </c>
      <c r="J242" s="33">
        <v>8973</v>
      </c>
      <c r="L242" s="123">
        <f>(3*58.63+2*27.12)/5</f>
        <v>46.026</v>
      </c>
      <c r="M242" s="121">
        <f>(3*0.0233+2*0.0397)/5</f>
        <v>0.029859999999999998</v>
      </c>
      <c r="N242" s="35">
        <f>US_Cellular!$AU$4</f>
        <v>57.141</v>
      </c>
      <c r="O242" s="33">
        <v>8282</v>
      </c>
      <c r="Q242" s="123">
        <f>(30*56.72+16*27.95)/(30+16)</f>
        <v>46.713043478260865</v>
      </c>
      <c r="R242" s="121">
        <f>(30*0.0187+16*0.0384)/(30+16)</f>
        <v>0.025552173913043482</v>
      </c>
      <c r="S242" s="35">
        <f>US_Cellular!$AV$4</f>
        <v>56.812</v>
      </c>
      <c r="T242" s="33">
        <v>8027</v>
      </c>
      <c r="V242" s="123">
        <f>(30.016*55.48+15.34*27.81)/(30.016+15.34)</f>
        <v>46.12163947438046</v>
      </c>
      <c r="W242" s="121">
        <f>(30.016*0.0156+15.34*0.0508)/(30.015+15.34)</f>
        <v>0.02750571271083673</v>
      </c>
      <c r="X242" s="35">
        <f>US_Cellular!$AW$4</f>
        <v>58.578</v>
      </c>
      <c r="Y242" s="33">
        <v>7975</v>
      </c>
      <c r="AA242" s="123">
        <f>(30*54.02+15*27.54)/45</f>
        <v>45.193333333333335</v>
      </c>
      <c r="AB242" s="121">
        <f>(30*0.0154+15*0.0507)/45</f>
        <v>0.02716666666666667</v>
      </c>
      <c r="AC242" s="35">
        <f>US_Cellular!$AX$4</f>
        <v>58.359</v>
      </c>
      <c r="AD242" s="33">
        <v>7670</v>
      </c>
      <c r="AF242" s="123">
        <f>(30859*52.48+14661*27.44)/(30859+14661)</f>
        <v>44.415161687170475</v>
      </c>
      <c r="AG242" s="121">
        <f>(30859*0.0162+14661*0.0582)/(30859+14661)</f>
        <v>0.02972728471001758</v>
      </c>
      <c r="AH242" s="35">
        <f>US_Cellular!$AY$4</f>
        <v>58.806</v>
      </c>
      <c r="AI242" s="33">
        <v>7651</v>
      </c>
      <c r="AK242" s="123">
        <f>(30.951*51.68+14.397*27.72)/(30.951+14.397)</f>
        <v>44.07322307488754</v>
      </c>
      <c r="AL242" s="121">
        <f>(30.951*0.0172+14.397*0.0565)/(30.951+14.397)</f>
        <v>0.02967689203492988</v>
      </c>
    </row>
    <row r="243" spans="1:38" s="33" customFormat="1" ht="12.75">
      <c r="A243" s="32" t="str">
        <f>US_Cellular!$A$7</f>
        <v>T-Mobile VoiceStream (TMUS)</v>
      </c>
      <c r="B243" s="33" t="str">
        <f>US_Cellular!$B$7</f>
        <v>DT</v>
      </c>
      <c r="C243" s="34"/>
      <c r="D243" s="119"/>
      <c r="E243" s="36"/>
      <c r="F243" s="37">
        <f>AH243</f>
        <v>65.503</v>
      </c>
      <c r="G243" s="120">
        <f>AI243</f>
        <v>8599</v>
      </c>
      <c r="H243" s="123">
        <f>AK243</f>
        <v>34</v>
      </c>
      <c r="I243" s="35">
        <f>US_Cellular!$AT$7</f>
        <v>55.018</v>
      </c>
      <c r="J243" s="33">
        <v>8132</v>
      </c>
      <c r="K243" s="124">
        <v>0.54</v>
      </c>
      <c r="L243" s="123">
        <v>35</v>
      </c>
      <c r="M243" s="121">
        <f>0.036</f>
        <v>0.036000000000000004</v>
      </c>
      <c r="N243" s="35">
        <f>US_Cellular!$AU$7</f>
        <v>56.836</v>
      </c>
      <c r="O243" s="33">
        <v>7778</v>
      </c>
      <c r="P243" s="124">
        <v>0.55</v>
      </c>
      <c r="Q243" s="123">
        <v>34</v>
      </c>
      <c r="R243" s="121">
        <v>0.033</v>
      </c>
      <c r="S243" s="35">
        <f>US_Cellular!$AV$7</f>
        <v>58.908</v>
      </c>
      <c r="T243" s="33">
        <v>8227</v>
      </c>
      <c r="U243" s="124">
        <v>0.56</v>
      </c>
      <c r="V243" s="123">
        <f>35</f>
        <v>35</v>
      </c>
      <c r="W243" s="121">
        <v>0.035</v>
      </c>
      <c r="X243" s="35">
        <f>US_Cellular!$AW$7</f>
        <v>61.22</v>
      </c>
      <c r="Y243" s="33">
        <v>7849</v>
      </c>
      <c r="Z243" s="124">
        <v>0.57</v>
      </c>
      <c r="AA243" s="123">
        <v>34</v>
      </c>
      <c r="AB243" s="121">
        <v>0.035</v>
      </c>
      <c r="AC243" s="35">
        <f>US_Cellular!$AX$7</f>
        <v>63.282</v>
      </c>
      <c r="AD243" s="33">
        <v>8213</v>
      </c>
      <c r="AE243" s="124">
        <v>0.58</v>
      </c>
      <c r="AF243" s="123">
        <v>35</v>
      </c>
      <c r="AG243" s="121"/>
      <c r="AH243" s="35">
        <f>US_Cellular!$AY$7</f>
        <v>65.503</v>
      </c>
      <c r="AI243" s="33">
        <f>8599</f>
        <v>8599</v>
      </c>
      <c r="AJ243" s="124">
        <v>0.581</v>
      </c>
      <c r="AK243" s="123">
        <v>34</v>
      </c>
      <c r="AL243" s="121">
        <f>(32.736*0.0133+18.438*0.0384)/(32.736+18.438)</f>
        <v>0.022343533825770902</v>
      </c>
    </row>
    <row r="244" spans="1:35" s="33" customFormat="1" ht="12.75">
      <c r="A244" s="32" t="s">
        <v>412</v>
      </c>
      <c r="B244" s="33" t="s">
        <v>413</v>
      </c>
      <c r="C244" s="34"/>
      <c r="D244" s="119"/>
      <c r="E244" s="36"/>
      <c r="F244" s="37">
        <f>AH244</f>
        <v>27.97</v>
      </c>
      <c r="G244" s="120">
        <f>AI244</f>
        <v>12423</v>
      </c>
      <c r="H244" s="123"/>
      <c r="I244" s="35">
        <v>22.576999999999998</v>
      </c>
      <c r="J244" s="33">
        <v>10661</v>
      </c>
      <c r="M244" s="121"/>
      <c r="N244" s="35">
        <v>22.375</v>
      </c>
      <c r="O244" s="33">
        <v>11430</v>
      </c>
      <c r="R244" s="121"/>
      <c r="S244" s="35">
        <v>27.265</v>
      </c>
      <c r="T244" s="33">
        <v>11729</v>
      </c>
      <c r="X244" s="35">
        <v>27.421</v>
      </c>
      <c r="Y244" s="33">
        <v>11740</v>
      </c>
      <c r="AC244" s="35">
        <v>27.701</v>
      </c>
      <c r="AD244" s="33">
        <v>11980</v>
      </c>
      <c r="AG244" s="121"/>
      <c r="AH244" s="35">
        <v>27.97</v>
      </c>
      <c r="AI244" s="33">
        <v>12423</v>
      </c>
    </row>
    <row r="245" spans="1:37" s="33" customFormat="1" ht="12.75">
      <c r="A245" s="32" t="s">
        <v>414</v>
      </c>
      <c r="B245" s="126" t="s">
        <v>415</v>
      </c>
      <c r="C245" s="34"/>
      <c r="D245" s="119"/>
      <c r="E245" s="36"/>
      <c r="F245" s="37">
        <f>AH245</f>
        <v>16.117</v>
      </c>
      <c r="G245" s="120">
        <f>AI245</f>
        <v>6191</v>
      </c>
      <c r="H245" s="123">
        <f>AK245</f>
        <v>129.06</v>
      </c>
      <c r="I245" s="35">
        <f>14.457+0.674</f>
        <v>15.131</v>
      </c>
      <c r="J245" s="33">
        <v>5790</v>
      </c>
      <c r="L245" s="132">
        <v>127.35</v>
      </c>
      <c r="M245" s="121"/>
      <c r="N245" s="35">
        <f>14.511+0.687</f>
        <v>15.197999999999999</v>
      </c>
      <c r="O245" s="33">
        <f>4735+836</f>
        <v>5571</v>
      </c>
      <c r="Q245" s="33">
        <v>125.94</v>
      </c>
      <c r="R245" s="121"/>
      <c r="S245" s="35">
        <f>14.716+0.718</f>
        <v>15.434</v>
      </c>
      <c r="T245" s="33">
        <f>4758+480</f>
        <v>5238</v>
      </c>
      <c r="X245" s="35">
        <f>14.929+0.734</f>
        <v>15.663</v>
      </c>
      <c r="Y245" s="33">
        <v>5922</v>
      </c>
      <c r="AC245" s="35">
        <f>15.129+0.752</f>
        <v>15.881</v>
      </c>
      <c r="AD245" s="33">
        <v>6072</v>
      </c>
      <c r="AG245" s="121"/>
      <c r="AH245" s="35">
        <f>15.129+0.752+0.236</f>
        <v>16.117</v>
      </c>
      <c r="AI245" s="33">
        <v>6191</v>
      </c>
      <c r="AK245" s="33">
        <v>129.06</v>
      </c>
    </row>
    <row r="246" spans="1:37" s="33" customFormat="1" ht="12.75">
      <c r="A246" s="32" t="s">
        <v>416</v>
      </c>
      <c r="B246" s="33" t="s">
        <v>417</v>
      </c>
      <c r="C246" s="34"/>
      <c r="D246" s="119"/>
      <c r="E246" s="36"/>
      <c r="F246" s="37">
        <f>AH246</f>
        <v>3.12</v>
      </c>
      <c r="G246" s="120">
        <f>AI246</f>
        <v>1480</v>
      </c>
      <c r="H246" s="123">
        <f>AK246</f>
        <v>157.91</v>
      </c>
      <c r="M246" s="121"/>
      <c r="N246" s="35">
        <v>3.112</v>
      </c>
      <c r="O246" s="33">
        <v>1417</v>
      </c>
      <c r="Q246" s="33">
        <v>155.34</v>
      </c>
      <c r="R246" s="121"/>
      <c r="S246" s="35">
        <v>3.112</v>
      </c>
      <c r="T246" s="33">
        <v>1481</v>
      </c>
      <c r="V246" s="123">
        <v>158.52</v>
      </c>
      <c r="X246" s="35">
        <v>3.107</v>
      </c>
      <c r="Y246" s="33">
        <v>1447</v>
      </c>
      <c r="AA246" s="33">
        <v>155.04</v>
      </c>
      <c r="AG246" s="121"/>
      <c r="AH246" s="33">
        <v>3.12</v>
      </c>
      <c r="AI246" s="33">
        <v>1480</v>
      </c>
      <c r="AK246" s="33">
        <v>157.91</v>
      </c>
    </row>
    <row r="247" spans="1:38" s="27" customFormat="1" ht="12.75">
      <c r="A247" s="26" t="s">
        <v>418</v>
      </c>
      <c r="B247" s="108" t="s">
        <v>419</v>
      </c>
      <c r="C247" s="28">
        <f>POPS!$C$159</f>
        <v>29.275</v>
      </c>
      <c r="D247" s="91">
        <f>POPS!E159</f>
        <v>538.9</v>
      </c>
      <c r="E247" s="31">
        <f>F247/C247</f>
        <v>0.7742613151152861</v>
      </c>
      <c r="F247" s="38">
        <f>SUM(F248:F250)</f>
        <v>22.6665</v>
      </c>
      <c r="G247" s="55"/>
      <c r="H247" s="38">
        <f>D247*AG247</f>
        <v>0</v>
      </c>
      <c r="L247" s="27">
        <v>6.35</v>
      </c>
      <c r="M247" s="106">
        <f>6.2877/L247-1</f>
        <v>-0.009811023622047221</v>
      </c>
      <c r="Q247" s="27">
        <v>6.35</v>
      </c>
      <c r="R247" s="106">
        <f>6.35/Q247-1</f>
        <v>0</v>
      </c>
      <c r="V247" s="27">
        <v>6.35</v>
      </c>
      <c r="W247" s="106">
        <f>6.35/V247-1</f>
        <v>0</v>
      </c>
      <c r="AA247" s="27">
        <v>6.35</v>
      </c>
      <c r="AB247" s="106">
        <f>6.35/AA247-1</f>
        <v>0</v>
      </c>
      <c r="AF247" s="27">
        <v>6.35</v>
      </c>
      <c r="AG247" s="106">
        <f>6.35/AF247-1</f>
        <v>0</v>
      </c>
      <c r="AK247" s="27">
        <v>9.95</v>
      </c>
      <c r="AL247" s="106">
        <f>6.35/AK247-1</f>
        <v>-0.36180904522613067</v>
      </c>
    </row>
    <row r="248" spans="1:33" s="27" customFormat="1" ht="12.75">
      <c r="A248" s="26" t="s">
        <v>176</v>
      </c>
      <c r="C248" s="28"/>
      <c r="D248" s="91"/>
      <c r="E248" s="31"/>
      <c r="F248" s="38">
        <f>AC248</f>
        <v>22.6665</v>
      </c>
      <c r="G248" s="92">
        <f>AD248</f>
        <v>450.7348938486663</v>
      </c>
      <c r="H248" s="93">
        <f>AF248</f>
        <v>4.463799673380511</v>
      </c>
      <c r="I248" s="30">
        <v>21.471</v>
      </c>
      <c r="J248" s="27">
        <f>912/L203</f>
        <v>1088.955223880597</v>
      </c>
      <c r="K248" s="107">
        <f>4.4/9.7</f>
        <v>0.45360824742268047</v>
      </c>
      <c r="L248" s="93">
        <f>9.7/L203</f>
        <v>11.582089552238806</v>
      </c>
      <c r="M248" s="106">
        <v>0.048</v>
      </c>
      <c r="N248" s="27">
        <v>21.8996</v>
      </c>
      <c r="O248" s="92">
        <f>426/Q203</f>
        <v>458.9528118939883</v>
      </c>
      <c r="P248" s="107">
        <f>21/52</f>
        <v>0.40384615384615385</v>
      </c>
      <c r="Q248" s="93">
        <f>5.2/Q203</f>
        <v>5.602240896358543</v>
      </c>
      <c r="R248" s="106">
        <v>0.026000000000000002</v>
      </c>
      <c r="S248" s="30">
        <v>22.1618</v>
      </c>
      <c r="T248" s="92">
        <f>150/Q203</f>
        <v>161.60310277957336</v>
      </c>
      <c r="U248" s="107">
        <f>1.1/2.9</f>
        <v>0.37931034482758624</v>
      </c>
      <c r="V248" s="93">
        <f>2.9/Q203</f>
        <v>3.1243266537384184</v>
      </c>
      <c r="W248" s="106">
        <f>0.029</f>
        <v>0.029</v>
      </c>
      <c r="X248" s="30">
        <v>22.316</v>
      </c>
      <c r="Y248" s="92">
        <f>388/AA203</f>
        <v>437.08460065337385</v>
      </c>
      <c r="Z248" s="107">
        <f>1.6/4</f>
        <v>0.4</v>
      </c>
      <c r="AA248" s="93">
        <f>4/AA203</f>
        <v>4.506026810859525</v>
      </c>
      <c r="AB248" s="106">
        <v>0.027999999999999997</v>
      </c>
      <c r="AC248" s="30">
        <v>22.6665</v>
      </c>
      <c r="AD248" s="92">
        <f>414/AF203</f>
        <v>450.7348938486663</v>
      </c>
      <c r="AE248" s="107">
        <f>1.8/4.1</f>
        <v>0.4390243902439025</v>
      </c>
      <c r="AF248" s="93">
        <f>4.1/AF203</f>
        <v>4.463799673380511</v>
      </c>
      <c r="AG248" s="106">
        <v>0.028999999999999998</v>
      </c>
    </row>
    <row r="249" spans="1:33" s="27" customFormat="1" ht="12.75">
      <c r="A249" s="26" t="s">
        <v>420</v>
      </c>
      <c r="B249" s="104" t="s">
        <v>421</v>
      </c>
      <c r="C249" s="28" t="s">
        <v>422</v>
      </c>
      <c r="D249" s="91"/>
      <c r="E249" s="31"/>
      <c r="F249" s="38"/>
      <c r="G249" s="38"/>
      <c r="H249" s="38"/>
      <c r="M249" s="106"/>
      <c r="R249" s="106"/>
      <c r="AG249" s="106"/>
    </row>
    <row r="250" spans="1:113" s="96" customFormat="1" ht="12.75">
      <c r="A250" s="95" t="s">
        <v>423</v>
      </c>
      <c r="B250" s="104" t="s">
        <v>424</v>
      </c>
      <c r="C250" s="97"/>
      <c r="D250" s="91"/>
      <c r="E250" s="31"/>
      <c r="F250" s="98"/>
      <c r="G250" s="99"/>
      <c r="H250" s="99"/>
      <c r="M250" s="102"/>
      <c r="R250" s="102"/>
      <c r="AG250" s="102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</row>
    <row r="251" spans="1:113" s="137" customFormat="1" ht="12.75">
      <c r="A251" s="133" t="s">
        <v>42</v>
      </c>
      <c r="B251" s="88" t="s">
        <v>425</v>
      </c>
      <c r="C251" s="79">
        <f>POPS!$C$160</f>
        <v>94.348</v>
      </c>
      <c r="D251" s="80">
        <f>POPS!E160</f>
        <v>510.7</v>
      </c>
      <c r="E251" s="81">
        <f>F251/C251</f>
        <v>1.575020138211727</v>
      </c>
      <c r="F251" s="134">
        <f>SUM(F252:F256)</f>
        <v>148.60000000000002</v>
      </c>
      <c r="G251" s="135">
        <f>SUM(G252:G255)</f>
        <v>3748.2062778007585</v>
      </c>
      <c r="H251" s="136">
        <f>D251*AG251</f>
        <v>0.06813875917278638</v>
      </c>
      <c r="L251" s="137">
        <v>21415</v>
      </c>
      <c r="M251" s="138">
        <f>21210/L251-1</f>
        <v>-0.009572729395283641</v>
      </c>
      <c r="Q251" s="137">
        <v>21555</v>
      </c>
      <c r="R251" s="138">
        <f>21415/Q251-1</f>
        <v>-0.0064950127580607475</v>
      </c>
      <c r="V251" s="137">
        <v>21805</v>
      </c>
      <c r="W251" s="138">
        <f>21555/V251-1</f>
        <v>-0.011465260261407928</v>
      </c>
      <c r="AA251" s="137">
        <v>22487.5</v>
      </c>
      <c r="AB251" s="138">
        <f>21805/AA251-1</f>
        <v>-0.030350194552529186</v>
      </c>
      <c r="AC251" s="137">
        <v>120.6</v>
      </c>
      <c r="AF251" s="137">
        <v>22485</v>
      </c>
      <c r="AG251" s="138">
        <f>22488/AF251-1</f>
        <v>0.00013342228152102287</v>
      </c>
      <c r="AK251" s="137">
        <v>22294.5</v>
      </c>
      <c r="AL251" s="138">
        <f>22485/AK251-1</f>
        <v>0.008544708336136742</v>
      </c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</row>
    <row r="252" spans="1:113" s="137" customFormat="1" ht="12.75">
      <c r="A252" s="133" t="s">
        <v>426</v>
      </c>
      <c r="B252" s="139" t="s">
        <v>427</v>
      </c>
      <c r="C252" s="79"/>
      <c r="D252" s="80"/>
      <c r="E252" s="81"/>
      <c r="F252" s="134">
        <f>AH252</f>
        <v>67.9</v>
      </c>
      <c r="G252" s="135">
        <f>AD252</f>
        <v>2250</v>
      </c>
      <c r="H252" s="135"/>
      <c r="I252" s="137">
        <v>57.4</v>
      </c>
      <c r="M252" s="138"/>
      <c r="R252" s="138"/>
      <c r="AC252" s="136">
        <v>67</v>
      </c>
      <c r="AD252" s="137">
        <v>2250</v>
      </c>
      <c r="AG252" s="138"/>
      <c r="AH252" s="137">
        <v>67.9</v>
      </c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</row>
    <row r="253" spans="1:113" s="137" customFormat="1" ht="12.75">
      <c r="A253" s="133" t="s">
        <v>428</v>
      </c>
      <c r="B253" s="139" t="s">
        <v>429</v>
      </c>
      <c r="C253" s="140"/>
      <c r="D253" s="141"/>
      <c r="E253" s="81"/>
      <c r="F253" s="134">
        <f>I253</f>
        <v>40.2</v>
      </c>
      <c r="G253" s="135">
        <f>AD253</f>
        <v>398.0431398710251</v>
      </c>
      <c r="H253" s="135"/>
      <c r="I253" s="137">
        <v>40.2</v>
      </c>
      <c r="J253" s="135">
        <f>(1870-480)/3</f>
        <v>463.3333333333333</v>
      </c>
      <c r="M253" s="138"/>
      <c r="R253" s="138"/>
      <c r="AD253" s="135">
        <f>35800000/(4*AF251)</f>
        <v>398.0431398710251</v>
      </c>
      <c r="AG253" s="138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</row>
    <row r="254" spans="1:113" s="137" customFormat="1" ht="12.75">
      <c r="A254" s="133" t="s">
        <v>430</v>
      </c>
      <c r="C254" s="140"/>
      <c r="D254" s="141"/>
      <c r="E254" s="81"/>
      <c r="F254" s="134">
        <f>AC254</f>
        <v>10.8</v>
      </c>
      <c r="G254" s="135">
        <f>AD254</f>
        <v>110.61454998221274</v>
      </c>
      <c r="H254" s="135"/>
      <c r="I254" s="137">
        <v>9.4</v>
      </c>
      <c r="J254" s="135"/>
      <c r="M254" s="138"/>
      <c r="R254" s="138"/>
      <c r="AC254" s="137">
        <v>10.8</v>
      </c>
      <c r="AD254" s="135">
        <f>9950/(4*22.488)</f>
        <v>110.61454998221274</v>
      </c>
      <c r="AG254" s="138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</row>
    <row r="255" spans="1:113" s="148" customFormat="1" ht="12.75">
      <c r="A255" s="142" t="s">
        <v>431</v>
      </c>
      <c r="B255" s="88" t="s">
        <v>432</v>
      </c>
      <c r="C255" s="143"/>
      <c r="D255" s="144"/>
      <c r="E255" s="145"/>
      <c r="F255" s="134">
        <f>AC255</f>
        <v>29.7</v>
      </c>
      <c r="G255" s="146">
        <f>AD255</f>
        <v>989.5485879475206</v>
      </c>
      <c r="H255" s="146"/>
      <c r="I255" s="147">
        <v>26</v>
      </c>
      <c r="M255" s="149"/>
      <c r="R255" s="149"/>
      <c r="AC255" s="148">
        <v>29.7</v>
      </c>
      <c r="AD255" s="146">
        <f>89000000/(4*AF251)</f>
        <v>989.5485879475206</v>
      </c>
      <c r="AG255" s="149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</row>
    <row r="256" spans="1:148" s="148" customFormat="1" ht="12.75">
      <c r="A256" s="142"/>
      <c r="B256" s="88"/>
      <c r="C256" s="143"/>
      <c r="D256" s="144"/>
      <c r="E256" s="145"/>
      <c r="F256" s="134"/>
      <c r="G256" s="146"/>
      <c r="H256" s="146" t="s">
        <v>433</v>
      </c>
      <c r="R256" s="149"/>
      <c r="W256" s="149"/>
      <c r="AL256" s="149"/>
      <c r="EE256" s="55"/>
      <c r="EF256" s="55"/>
      <c r="EG256" s="55"/>
      <c r="EH256" s="55"/>
      <c r="EI256" s="55"/>
      <c r="EJ256" s="55"/>
      <c r="EK256" s="55"/>
      <c r="EL256" s="55"/>
      <c r="EM256" s="55"/>
      <c r="EN256" s="55"/>
      <c r="EO256" s="55"/>
      <c r="EP256" s="55"/>
      <c r="EQ256" s="55"/>
      <c r="ER256" s="55"/>
    </row>
    <row r="257" spans="1:43" s="55" customFormat="1" ht="12.75">
      <c r="A257" s="64" t="s">
        <v>434</v>
      </c>
      <c r="B257" s="90"/>
      <c r="C257" s="90">
        <f>SUM(C2:C239)</f>
        <v>5925.943</v>
      </c>
      <c r="D257" s="150">
        <f>SUM(D2:D255)</f>
        <v>100733.1</v>
      </c>
      <c r="E257" s="31">
        <f>F257/C257</f>
        <v>1.0656997416693887</v>
      </c>
      <c r="F257" s="68">
        <f>F2+F6+F10+F15+F19+F24+F28+F34+F37+F42+F46+F51+F55+F60+F64+F67+F71+F74+F78+F81+F86+F90+F93+F97+F108+F113+F116+F120+F124+F129+F133+F137+F141+F145+F149+F152+F156+F163+F169+F174+F177+F181+F184+F188+F193+F197+F200+F203+F208+F211+F216+F219+F223+F226+F230+F234+F239+F247+F251</f>
        <v>6315.275924247523</v>
      </c>
      <c r="G257" s="151">
        <f>SUM(G2:G255)-G28-G37-G51-G81-G86-G97-G108-G124-G129-G156-G163-G188-G203-G234-G239-G244-G245-G246</f>
        <v>229297.83445527818</v>
      </c>
      <c r="H257" s="69">
        <f>(H2+H6+H10+H15+H19+H24+H28+H34+H37+H42+H46+H51+H55+H60+H64+H67+H71+H74+H78+H81+H86+H90+H93+H97+H108+H113+H116+H120+H124+H129+H133+H137+H141+H145+H149+H152+H156+H160+H163+H169+H177+H181+H184+H188+H193+H197+H200+H203+H208+H211+H216+H219+H223+H226+H230+H234+H239+H247+H251)/D257</f>
        <v>-0.04965079580623106</v>
      </c>
      <c r="I257" s="55" t="s">
        <v>435</v>
      </c>
      <c r="AQ257" s="69">
        <v>-0.0328</v>
      </c>
    </row>
    <row r="258" spans="3:30" ht="12.75">
      <c r="C258" s="15"/>
      <c r="D258" s="40"/>
      <c r="E258" s="15"/>
      <c r="G258" s="2" t="s">
        <v>57</v>
      </c>
      <c r="AB258" s="152"/>
      <c r="AD258" s="55" t="s">
        <v>57</v>
      </c>
    </row>
    <row r="259" ht="12.75">
      <c r="G259" s="2" t="s">
        <v>45</v>
      </c>
    </row>
    <row r="260" spans="1:43" s="2" customFormat="1" ht="12.75">
      <c r="A260" s="49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8"/>
      <c r="AJ260" s="67"/>
      <c r="AK260" s="67"/>
      <c r="AL260" s="67"/>
      <c r="AM260" s="67"/>
      <c r="AQ260" s="49"/>
    </row>
    <row r="261" spans="22:39" s="153" customFormat="1" ht="12.75">
      <c r="V261" s="154"/>
      <c r="W261" s="154"/>
      <c r="X261" s="154"/>
      <c r="Y261" s="154"/>
      <c r="Z261" s="154"/>
      <c r="AA261" s="154"/>
      <c r="AB261" s="154"/>
      <c r="AC261" s="154"/>
      <c r="AD261" s="154"/>
      <c r="AE261" s="154"/>
      <c r="AF261" s="154"/>
      <c r="AG261" s="154"/>
      <c r="AH261" s="154"/>
      <c r="AI261" s="154"/>
      <c r="AJ261" s="154"/>
      <c r="AK261" s="154"/>
      <c r="AL261" s="154"/>
      <c r="AM261" s="154"/>
    </row>
    <row r="262" spans="1:39" s="153" customFormat="1" ht="12.75">
      <c r="A262" s="153" t="s">
        <v>436</v>
      </c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/>
      <c r="AL262" s="154"/>
      <c r="AM262" s="154"/>
    </row>
    <row r="263" spans="1:235" s="156" customFormat="1" ht="12.75">
      <c r="A263" s="155" t="s">
        <v>437</v>
      </c>
      <c r="C263" s="156" t="s">
        <v>438</v>
      </c>
      <c r="D263" s="156" t="s">
        <v>439</v>
      </c>
      <c r="E263" s="156" t="s">
        <v>440</v>
      </c>
      <c r="F263" s="156" t="s">
        <v>441</v>
      </c>
      <c r="G263" s="156" t="s">
        <v>442</v>
      </c>
      <c r="H263" s="156" t="s">
        <v>443</v>
      </c>
      <c r="I263" s="156" t="s">
        <v>444</v>
      </c>
      <c r="J263" s="156" t="s">
        <v>445</v>
      </c>
      <c r="K263" s="156" t="s">
        <v>446</v>
      </c>
      <c r="L263" s="156" t="s">
        <v>447</v>
      </c>
      <c r="M263" s="156" t="s">
        <v>448</v>
      </c>
      <c r="N263" s="156" t="s">
        <v>449</v>
      </c>
      <c r="O263" s="156" t="s">
        <v>450</v>
      </c>
      <c r="P263" s="156" t="s">
        <v>451</v>
      </c>
      <c r="Q263" s="156" t="s">
        <v>452</v>
      </c>
      <c r="R263" s="156" t="s">
        <v>453</v>
      </c>
      <c r="S263" s="156" t="s">
        <v>454</v>
      </c>
      <c r="T263" s="156" t="s">
        <v>455</v>
      </c>
      <c r="U263" s="156" t="s">
        <v>456</v>
      </c>
      <c r="V263" s="157" t="s">
        <v>457</v>
      </c>
      <c r="W263" s="157" t="s">
        <v>458</v>
      </c>
      <c r="X263" s="157" t="s">
        <v>459</v>
      </c>
      <c r="Y263" s="157" t="s">
        <v>460</v>
      </c>
      <c r="Z263" s="157" t="s">
        <v>461</v>
      </c>
      <c r="AA263" s="157"/>
      <c r="AB263" s="157"/>
      <c r="AC263" s="157"/>
      <c r="AD263" s="157"/>
      <c r="AE263" s="157"/>
      <c r="AF263" s="157"/>
      <c r="AG263" s="157"/>
      <c r="AH263" s="157"/>
      <c r="AI263" s="157"/>
      <c r="AJ263" s="157"/>
      <c r="AK263" s="158"/>
      <c r="AL263" s="157"/>
      <c r="AM263" s="157"/>
      <c r="HY263"/>
      <c r="HZ263"/>
      <c r="IA263"/>
    </row>
    <row r="264" spans="1:43" ht="12.75">
      <c r="A264" s="45"/>
      <c r="B264" s="67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AQ264"/>
    </row>
    <row r="265" spans="1:235" s="45" customFormat="1" ht="12.75">
      <c r="A265" s="45" t="s">
        <v>462</v>
      </c>
      <c r="B265" s="159"/>
      <c r="C265" s="159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  <c r="AA265" s="159"/>
      <c r="AB265" s="159"/>
      <c r="AC265" s="159"/>
      <c r="AD265" s="159"/>
      <c r="AE265" s="159"/>
      <c r="AF265" s="159"/>
      <c r="AG265" s="159"/>
      <c r="AH265" s="159"/>
      <c r="AI265" s="159"/>
      <c r="AJ265" s="159"/>
      <c r="AK265" s="67"/>
      <c r="AL265" s="159"/>
      <c r="AM265" s="159"/>
      <c r="HY265"/>
      <c r="HZ265"/>
      <c r="IA265"/>
    </row>
    <row r="266" spans="1:235" s="45" customFormat="1" ht="12.75">
      <c r="A266" s="45" t="s">
        <v>463</v>
      </c>
      <c r="B266" s="67" t="s">
        <v>464</v>
      </c>
      <c r="C266" s="68">
        <v>213.8</v>
      </c>
      <c r="D266" s="68">
        <v>260.645</v>
      </c>
      <c r="E266" s="68">
        <v>316.12</v>
      </c>
      <c r="F266" s="159"/>
      <c r="G266" s="68">
        <v>477.164</v>
      </c>
      <c r="H266" s="68">
        <v>538.9</v>
      </c>
      <c r="I266" s="68">
        <v>600.84</v>
      </c>
      <c r="J266" s="68">
        <v>667.195</v>
      </c>
      <c r="K266" s="68">
        <v>683.076</v>
      </c>
      <c r="L266" s="68">
        <v>698.508</v>
      </c>
      <c r="M266" s="68">
        <v>710.298</v>
      </c>
      <c r="N266" s="68">
        <v>726.31</v>
      </c>
      <c r="O266" s="68">
        <v>740.154</v>
      </c>
      <c r="P266" s="68">
        <v>755.186</v>
      </c>
      <c r="Q266" s="68">
        <v>767.206</v>
      </c>
      <c r="R266" s="68">
        <v>781.082</v>
      </c>
      <c r="S266" s="68">
        <v>790.614</v>
      </c>
      <c r="T266" s="68">
        <v>796.035</v>
      </c>
      <c r="U266" s="68">
        <v>806.634</v>
      </c>
      <c r="V266" s="68">
        <v>815.384</v>
      </c>
      <c r="W266" s="68">
        <v>817.196</v>
      </c>
      <c r="X266" s="68">
        <v>820.145</v>
      </c>
      <c r="Y266" s="68">
        <v>826.241</v>
      </c>
      <c r="Z266" s="68">
        <v>833.852</v>
      </c>
      <c r="AA266" s="159"/>
      <c r="AB266" s="159"/>
      <c r="AC266" s="159"/>
      <c r="AD266" s="159"/>
      <c r="AE266" s="159"/>
      <c r="AF266" s="159"/>
      <c r="AG266" s="159"/>
      <c r="AH266" s="159"/>
      <c r="AI266" s="159"/>
      <c r="AJ266" s="159"/>
      <c r="AK266" s="67"/>
      <c r="AL266" s="159"/>
      <c r="AM266" s="159"/>
      <c r="HY266"/>
      <c r="HZ266"/>
      <c r="IA266"/>
    </row>
    <row r="267" spans="1:236" s="2" customFormat="1" ht="12.75">
      <c r="A267" s="45" t="s">
        <v>465</v>
      </c>
      <c r="B267" s="67"/>
      <c r="C267" s="67"/>
      <c r="D267" s="67"/>
      <c r="E267" s="68">
        <v>136</v>
      </c>
      <c r="F267" s="68">
        <v>198</v>
      </c>
      <c r="G267" s="68">
        <v>232</v>
      </c>
      <c r="H267" s="68">
        <v>285</v>
      </c>
      <c r="I267" s="68">
        <v>403</v>
      </c>
      <c r="J267" s="68">
        <v>445.444</v>
      </c>
      <c r="K267" s="68">
        <v>462.157</v>
      </c>
      <c r="L267" s="68">
        <v>455.007</v>
      </c>
      <c r="M267" s="68">
        <v>473</v>
      </c>
      <c r="N267" s="68">
        <v>468</v>
      </c>
      <c r="O267" s="68">
        <v>477</v>
      </c>
      <c r="P267" s="68">
        <f>3.931+9.495+473.503</f>
        <v>486.929</v>
      </c>
      <c r="Q267" s="68">
        <v>500.851</v>
      </c>
      <c r="R267" s="68">
        <v>514</v>
      </c>
      <c r="S267" s="68">
        <v>511.531</v>
      </c>
      <c r="T267" s="68">
        <v>532</v>
      </c>
      <c r="U267" s="68">
        <v>529.926</v>
      </c>
      <c r="V267" s="68">
        <v>555</v>
      </c>
      <c r="W267" s="68">
        <v>565</v>
      </c>
      <c r="X267" s="68">
        <v>577</v>
      </c>
      <c r="Y267" s="68">
        <v>595</v>
      </c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IB267"/>
    </row>
    <row r="268" spans="1:43" ht="12.75">
      <c r="A268" s="45" t="s">
        <v>403</v>
      </c>
      <c r="B268" s="67" t="s">
        <v>93</v>
      </c>
      <c r="C268" s="55">
        <v>154.8</v>
      </c>
      <c r="D268" s="55"/>
      <c r="E268" s="55"/>
      <c r="F268" s="55"/>
      <c r="G268" s="68">
        <v>302.611</v>
      </c>
      <c r="H268" s="55">
        <v>341.1</v>
      </c>
      <c r="I268" s="68">
        <v>347.708</v>
      </c>
      <c r="J268" s="68">
        <v>446.536</v>
      </c>
      <c r="K268" s="68">
        <v>448.776</v>
      </c>
      <c r="L268" s="68">
        <v>450.509</v>
      </c>
      <c r="M268" s="68">
        <v>447.517</v>
      </c>
      <c r="N268" s="68">
        <v>448.394</v>
      </c>
      <c r="O268" s="68">
        <v>453.633</v>
      </c>
      <c r="P268" s="68">
        <v>411.456</v>
      </c>
      <c r="Q268" s="68">
        <v>419.404</v>
      </c>
      <c r="R268" s="68">
        <v>433.681</v>
      </c>
      <c r="S268" s="68">
        <v>435.852</v>
      </c>
      <c r="T268" s="68">
        <v>438.469</v>
      </c>
      <c r="U268" s="68">
        <v>443.552</v>
      </c>
      <c r="V268" s="68">
        <v>445.836</v>
      </c>
      <c r="W268" s="68">
        <f>445.836+4.288</f>
        <v>450.124</v>
      </c>
      <c r="X268" s="68">
        <v>454.205</v>
      </c>
      <c r="Y268" s="68">
        <v>460.991</v>
      </c>
      <c r="AQ268"/>
    </row>
    <row r="269" spans="1:235" s="45" customFormat="1" ht="12.75">
      <c r="A269" s="45" t="s">
        <v>466</v>
      </c>
      <c r="B269" s="67" t="s">
        <v>467</v>
      </c>
      <c r="C269" s="68">
        <v>116.4</v>
      </c>
      <c r="D269" s="68">
        <v>130.54</v>
      </c>
      <c r="E269" s="68">
        <v>147</v>
      </c>
      <c r="F269" s="159"/>
      <c r="G269" s="68">
        <v>137.692</v>
      </c>
      <c r="H269" s="68">
        <v>152.1</v>
      </c>
      <c r="I269" s="68">
        <v>174.84</v>
      </c>
      <c r="J269" s="68">
        <v>209.487</v>
      </c>
      <c r="K269" s="68">
        <v>219.249</v>
      </c>
      <c r="L269" s="68">
        <v>229.487</v>
      </c>
      <c r="M269" s="68">
        <v>239.312</v>
      </c>
      <c r="N269" s="68">
        <v>250.708</v>
      </c>
      <c r="O269" s="68">
        <v>262.169</v>
      </c>
      <c r="P269" s="68">
        <v>272.8</v>
      </c>
      <c r="Q269" s="68">
        <v>280.983</v>
      </c>
      <c r="R269" s="68">
        <v>289.6937</v>
      </c>
      <c r="S269" s="68">
        <v>295.003</v>
      </c>
      <c r="T269" s="68">
        <v>297.07</v>
      </c>
      <c r="U269" s="68">
        <v>299.098</v>
      </c>
      <c r="V269" s="68">
        <v>294.751</v>
      </c>
      <c r="W269" s="68">
        <v>289.307</v>
      </c>
      <c r="X269" s="68">
        <v>287.858</v>
      </c>
      <c r="Y269" s="68">
        <v>286.657</v>
      </c>
      <c r="Z269" s="159"/>
      <c r="AA269" s="159"/>
      <c r="AB269" s="159"/>
      <c r="AC269" s="159"/>
      <c r="AD269" s="159"/>
      <c r="AE269" s="159"/>
      <c r="AF269" s="159"/>
      <c r="AG269" s="159"/>
      <c r="AH269" s="159"/>
      <c r="AI269" s="159"/>
      <c r="AJ269" s="159"/>
      <c r="AK269" s="67"/>
      <c r="AL269" s="159"/>
      <c r="AM269" s="159"/>
      <c r="HY269"/>
      <c r="HZ269"/>
      <c r="IA269"/>
    </row>
    <row r="270" spans="1:43" ht="12.75">
      <c r="A270" s="45" t="s">
        <v>468</v>
      </c>
      <c r="B270" s="67" t="s">
        <v>118</v>
      </c>
      <c r="C270" s="55">
        <v>66.3</v>
      </c>
      <c r="D270" s="55">
        <v>100.6</v>
      </c>
      <c r="E270" s="55"/>
      <c r="F270" s="55">
        <v>159.2</v>
      </c>
      <c r="G270" s="55">
        <v>186.6</v>
      </c>
      <c r="H270" s="68">
        <v>206.429</v>
      </c>
      <c r="I270" s="68">
        <v>231</v>
      </c>
      <c r="J270" s="68">
        <v>245.969</v>
      </c>
      <c r="K270" s="68">
        <v>251.829</v>
      </c>
      <c r="L270" s="55">
        <v>255.9</v>
      </c>
      <c r="M270" s="68">
        <v>261.558</v>
      </c>
      <c r="N270" s="55">
        <v>262.9</v>
      </c>
      <c r="O270" s="68">
        <v>262.043</v>
      </c>
      <c r="P270" s="68">
        <v>265.104</v>
      </c>
      <c r="Q270" s="68">
        <v>269.883</v>
      </c>
      <c r="R270" s="55">
        <v>272.2</v>
      </c>
      <c r="S270" s="68">
        <v>266.866</v>
      </c>
      <c r="T270" s="55">
        <v>286.8</v>
      </c>
      <c r="U270" s="68">
        <v>289.449</v>
      </c>
      <c r="V270" s="68">
        <v>289.646</v>
      </c>
      <c r="W270" s="68">
        <v>288.796</v>
      </c>
      <c r="X270" s="55">
        <v>288.395</v>
      </c>
      <c r="Y270" s="68">
        <v>285.534</v>
      </c>
      <c r="Z270" s="68">
        <v>283.865</v>
      </c>
      <c r="AQ270"/>
    </row>
    <row r="271" spans="1:43" ht="12.75">
      <c r="A271" s="45" t="s">
        <v>469</v>
      </c>
      <c r="B271" s="160" t="s">
        <v>107</v>
      </c>
      <c r="C271" s="55"/>
      <c r="D271" s="55"/>
      <c r="E271" s="55"/>
      <c r="F271" s="55"/>
      <c r="G271" s="55"/>
      <c r="H271" s="68"/>
      <c r="I271" s="68"/>
      <c r="J271" s="68"/>
      <c r="K271" s="68"/>
      <c r="L271" s="55"/>
      <c r="M271" s="68"/>
      <c r="N271" s="68">
        <v>219</v>
      </c>
      <c r="O271" s="68">
        <v>229.9</v>
      </c>
      <c r="P271" s="55">
        <v>239.6</v>
      </c>
      <c r="Q271" s="68">
        <v>243.8</v>
      </c>
      <c r="R271" s="55">
        <v>258.3</v>
      </c>
      <c r="S271" s="68">
        <f>13.441+62.868+9.491+24.018+139.01+2.104</f>
        <v>250.932</v>
      </c>
      <c r="T271" s="55">
        <v>250.9</v>
      </c>
      <c r="U271" s="68">
        <f>12.968+59.643+9.539+25.289+150.536+2.003</f>
        <v>259.978</v>
      </c>
      <c r="V271" s="68">
        <f>12.279+52.147+9.807+26.289+157.8+1.87</f>
        <v>260.192</v>
      </c>
      <c r="W271" s="68">
        <f>12.34+45.983+27.368+10.142+162.079+4.088</f>
        <v>262</v>
      </c>
      <c r="X271" s="68">
        <v>262.71</v>
      </c>
      <c r="Y271" s="68">
        <f>12.25+41.902+28.317+10.312+171.912+1.93</f>
        <v>266.623</v>
      </c>
      <c r="AQ271"/>
    </row>
    <row r="272" spans="1:43" ht="12.75">
      <c r="A272" s="45" t="s">
        <v>470</v>
      </c>
      <c r="B272" s="67" t="s">
        <v>471</v>
      </c>
      <c r="C272" s="55">
        <v>81.4</v>
      </c>
      <c r="D272" s="55">
        <v>98.5</v>
      </c>
      <c r="E272" s="55"/>
      <c r="F272" s="55"/>
      <c r="G272" s="68">
        <v>198.177</v>
      </c>
      <c r="H272" s="55">
        <v>206.7</v>
      </c>
      <c r="I272" s="68">
        <v>223.053</v>
      </c>
      <c r="J272" s="68">
        <v>241.084</v>
      </c>
      <c r="K272" s="68">
        <v>243.506</v>
      </c>
      <c r="L272" s="68">
        <v>245.636</v>
      </c>
      <c r="M272" s="68">
        <v>247.269</v>
      </c>
      <c r="N272" s="68">
        <v>247.312</v>
      </c>
      <c r="O272" s="68">
        <v>249.46</v>
      </c>
      <c r="P272" s="68">
        <v>252.188</v>
      </c>
      <c r="Q272" s="68">
        <v>254.717</v>
      </c>
      <c r="R272" s="68">
        <v>247.534</v>
      </c>
      <c r="S272" s="68">
        <v>249.428</v>
      </c>
      <c r="T272" s="68">
        <v>249.417</v>
      </c>
      <c r="U272" s="68">
        <v>249.978</v>
      </c>
      <c r="V272" s="68">
        <v>252.753</v>
      </c>
      <c r="W272" s="68">
        <v>253.5975</v>
      </c>
      <c r="X272" s="68">
        <v>251.382</v>
      </c>
      <c r="Y272" s="68">
        <v>247.085</v>
      </c>
      <c r="AQ272"/>
    </row>
    <row r="273" spans="1:43" ht="12.75">
      <c r="A273" s="45" t="s">
        <v>472</v>
      </c>
      <c r="B273" s="67" t="s">
        <v>473</v>
      </c>
      <c r="C273" s="55"/>
      <c r="D273" s="55">
        <v>87.7</v>
      </c>
      <c r="E273" s="55">
        <v>109.2</v>
      </c>
      <c r="F273" s="55"/>
      <c r="G273" s="55"/>
      <c r="H273" s="55">
        <v>133</v>
      </c>
      <c r="I273" s="55">
        <v>127.9</v>
      </c>
      <c r="J273" s="68">
        <v>129.138</v>
      </c>
      <c r="K273" s="68">
        <f>129.915</f>
        <v>129.915</v>
      </c>
      <c r="L273" s="55">
        <v>131.3</v>
      </c>
      <c r="M273" s="68">
        <v>132.316</v>
      </c>
      <c r="N273" s="68">
        <v>132.959</v>
      </c>
      <c r="O273" s="55">
        <v>143.6</v>
      </c>
      <c r="P273" s="152">
        <f>37.936+45.039+56.825</f>
        <v>139.8</v>
      </c>
      <c r="Q273" s="161">
        <f>46.684+38.625+56.679</f>
        <v>141.988</v>
      </c>
      <c r="R273" s="68">
        <f>145.351</f>
        <v>145.351</v>
      </c>
      <c r="S273" s="68">
        <f>39.337+50.545+56.485</f>
        <v>146.36700000000002</v>
      </c>
      <c r="T273" s="68">
        <v>149.139</v>
      </c>
      <c r="U273" s="68">
        <v>150.513</v>
      </c>
      <c r="V273" s="68">
        <v>152.401</v>
      </c>
      <c r="W273" s="68">
        <v>154.718</v>
      </c>
      <c r="X273" s="68">
        <f>157.358</f>
        <v>157.358</v>
      </c>
      <c r="Y273" s="68">
        <v>156.392</v>
      </c>
      <c r="Z273" s="68">
        <v>158.354</v>
      </c>
      <c r="AQ273"/>
    </row>
    <row r="274" spans="1:235" s="2" customFormat="1" ht="12.75">
      <c r="A274" s="45" t="s">
        <v>474</v>
      </c>
      <c r="B274" s="67" t="s">
        <v>114</v>
      </c>
      <c r="C274" s="67"/>
      <c r="D274" s="67"/>
      <c r="E274" s="67"/>
      <c r="F274" s="67"/>
      <c r="G274" s="68">
        <v>183.5</v>
      </c>
      <c r="H274" s="68">
        <v>123.7</v>
      </c>
      <c r="I274" s="68">
        <v>156.7</v>
      </c>
      <c r="J274" s="68">
        <v>166.187</v>
      </c>
      <c r="K274" s="68">
        <f>165.669+5.663</f>
        <v>171.33200000000002</v>
      </c>
      <c r="L274" s="68">
        <f>168.767+13.456</f>
        <v>182.22299999999998</v>
      </c>
      <c r="M274" s="68">
        <f>172.404+5.031</f>
        <v>177.435</v>
      </c>
      <c r="N274" s="68">
        <v>171.8</v>
      </c>
      <c r="O274" s="68">
        <f>173.629+4.644</f>
        <v>178.273</v>
      </c>
      <c r="P274" s="68">
        <f>174.677+4.673</f>
        <v>179.35</v>
      </c>
      <c r="Q274" s="68">
        <f>178.28+4.924</f>
        <v>183.204</v>
      </c>
      <c r="R274" s="68">
        <f>181.722+5.484</f>
        <v>187.20600000000002</v>
      </c>
      <c r="S274" s="68">
        <f>178.664+5.846</f>
        <v>184.51</v>
      </c>
      <c r="T274" s="68">
        <f>182.018+5.83</f>
        <v>187.848</v>
      </c>
      <c r="U274" s="68">
        <f>185.327+5.878</f>
        <v>191.20499999999998</v>
      </c>
      <c r="V274" s="68">
        <f>188.814+6.12</f>
        <v>194.934</v>
      </c>
      <c r="W274" s="68">
        <f>189.824+6.352</f>
        <v>196.17600000000002</v>
      </c>
      <c r="X274" s="68">
        <f>201.675+3.943</f>
        <v>205.61800000000002</v>
      </c>
      <c r="Y274" s="68">
        <f>201.161+4.136</f>
        <v>205.297</v>
      </c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HY274"/>
      <c r="HZ274"/>
      <c r="IA274"/>
    </row>
    <row r="275" spans="1:236" s="2" customFormat="1" ht="12.75">
      <c r="A275" s="45" t="s">
        <v>475</v>
      </c>
      <c r="B275" s="67"/>
      <c r="C275" s="67"/>
      <c r="D275" s="67"/>
      <c r="E275" s="67"/>
      <c r="F275" s="68"/>
      <c r="G275" s="90"/>
      <c r="H275" s="68"/>
      <c r="I275" s="68">
        <v>211.9</v>
      </c>
      <c r="J275" s="68">
        <v>251.646</v>
      </c>
      <c r="K275" s="68">
        <f>250.038</f>
        <v>250.038</v>
      </c>
      <c r="L275" s="68">
        <v>251.825</v>
      </c>
      <c r="M275" s="68">
        <f>181.922+61.687</f>
        <v>243.60899999999998</v>
      </c>
      <c r="N275" s="68">
        <f>188.22+63.718</f>
        <v>251.938</v>
      </c>
      <c r="O275" s="68">
        <f>190.948+64.203+8.025</f>
        <v>263.176</v>
      </c>
      <c r="P275" s="68">
        <f>193.457+66.378+8.342</f>
        <v>268.17699999999996</v>
      </c>
      <c r="Q275" s="68">
        <f>199.951+68.307</f>
        <v>268.258</v>
      </c>
      <c r="R275" s="68">
        <f>205.519+69.443</f>
        <v>274.962</v>
      </c>
      <c r="S275" s="68">
        <v>287.147</v>
      </c>
      <c r="T275" s="68">
        <v>300</v>
      </c>
      <c r="U275" s="68">
        <v>299.706</v>
      </c>
      <c r="V275" s="68">
        <f>239.502+8.603+76.263</f>
        <v>324.36800000000005</v>
      </c>
      <c r="W275" s="68">
        <f>230.662+9.019+78.323</f>
        <v>318.004</v>
      </c>
      <c r="X275" s="68">
        <v>339.29</v>
      </c>
      <c r="Y275" s="68">
        <v>350.855</v>
      </c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HZ275"/>
      <c r="IA275"/>
      <c r="IB275"/>
    </row>
    <row r="276" spans="1:236" s="2" customFormat="1" ht="12.75">
      <c r="A276" s="45" t="s">
        <v>366</v>
      </c>
      <c r="B276" s="67"/>
      <c r="C276" s="67"/>
      <c r="D276" s="67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>
        <v>201.5</v>
      </c>
      <c r="P276" s="68">
        <v>203.762</v>
      </c>
      <c r="Q276" s="68">
        <v>207.8</v>
      </c>
      <c r="R276" s="68">
        <v>210.065</v>
      </c>
      <c r="S276" s="68">
        <v>215</v>
      </c>
      <c r="T276" s="68">
        <v>219.2</v>
      </c>
      <c r="U276" s="68">
        <v>223.4</v>
      </c>
      <c r="V276" s="67"/>
      <c r="W276" s="68">
        <v>231</v>
      </c>
      <c r="X276" s="68">
        <v>233.054</v>
      </c>
      <c r="Y276" s="68">
        <v>232.5</v>
      </c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IB276"/>
    </row>
    <row r="277" spans="1:236" s="2" customFormat="1" ht="12.75">
      <c r="A277" s="45" t="s">
        <v>476</v>
      </c>
      <c r="B277" s="67" t="s">
        <v>477</v>
      </c>
      <c r="C277" s="68">
        <v>43.8</v>
      </c>
      <c r="D277" s="68">
        <v>53</v>
      </c>
      <c r="E277" s="68">
        <v>60.7</v>
      </c>
      <c r="F277" s="68"/>
      <c r="G277" s="68">
        <v>86.6</v>
      </c>
      <c r="H277" s="68">
        <v>92.8</v>
      </c>
      <c r="I277" s="68">
        <v>104</v>
      </c>
      <c r="J277" s="68">
        <v>93</v>
      </c>
      <c r="K277" s="68">
        <v>111.374</v>
      </c>
      <c r="L277" s="68">
        <v>112.8</v>
      </c>
      <c r="M277" s="68">
        <v>115.412</v>
      </c>
      <c r="N277" s="68">
        <v>98.93</v>
      </c>
      <c r="O277" s="68">
        <v>100.124</v>
      </c>
      <c r="P277" s="68">
        <v>101.15</v>
      </c>
      <c r="Q277" s="68">
        <v>102.799</v>
      </c>
      <c r="R277" s="68">
        <v>103.33</v>
      </c>
      <c r="S277" s="68">
        <v>104.637</v>
      </c>
      <c r="T277" s="68">
        <v>106.156</v>
      </c>
      <c r="U277" s="68">
        <v>108.211</v>
      </c>
      <c r="V277" s="68">
        <v>108.582</v>
      </c>
      <c r="W277" s="68">
        <v>109.548</v>
      </c>
      <c r="X277" s="68">
        <v>110.76</v>
      </c>
      <c r="Y277" s="68">
        <v>112.108</v>
      </c>
      <c r="Z277" s="68">
        <v>112.573</v>
      </c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IB277"/>
    </row>
    <row r="278" spans="1:236" s="2" customFormat="1" ht="12.75">
      <c r="A278" s="45" t="s">
        <v>478</v>
      </c>
      <c r="B278" s="67" t="s">
        <v>479</v>
      </c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>
        <v>214</v>
      </c>
      <c r="N278" s="68">
        <v>215</v>
      </c>
      <c r="O278" s="68">
        <v>215</v>
      </c>
      <c r="P278" s="68">
        <v>219</v>
      </c>
      <c r="Q278" s="68">
        <v>220</v>
      </c>
      <c r="R278" s="68">
        <v>218</v>
      </c>
      <c r="S278" s="68">
        <v>220.6</v>
      </c>
      <c r="T278" s="68">
        <v>223.4</v>
      </c>
      <c r="U278" s="68">
        <v>221.6</v>
      </c>
      <c r="V278" s="68">
        <v>219.4</v>
      </c>
      <c r="W278" s="68">
        <v>218.7</v>
      </c>
      <c r="X278" s="68">
        <v>216.6</v>
      </c>
      <c r="Y278" s="68">
        <v>217.4</v>
      </c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IB278"/>
    </row>
    <row r="279" spans="1:236" s="2" customFormat="1" ht="12.75">
      <c r="A279" s="45"/>
      <c r="B279" s="67"/>
      <c r="C279" s="67"/>
      <c r="D279" s="67"/>
      <c r="E279" s="68"/>
      <c r="F279" s="68"/>
      <c r="G279" s="68"/>
      <c r="H279" s="68"/>
      <c r="I279" s="68"/>
      <c r="J279" s="159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IB279"/>
    </row>
    <row r="280" spans="1:236" s="2" customFormat="1" ht="12.75">
      <c r="A280" s="45" t="s">
        <v>480</v>
      </c>
      <c r="B280" s="67"/>
      <c r="C280" s="67"/>
      <c r="D280" s="67"/>
      <c r="E280" s="68"/>
      <c r="F280" s="68"/>
      <c r="G280" s="68"/>
      <c r="H280" s="68"/>
      <c r="I280" s="162"/>
      <c r="J280" s="157" t="s">
        <v>445</v>
      </c>
      <c r="K280" s="157" t="s">
        <v>446</v>
      </c>
      <c r="L280" s="157" t="s">
        <v>447</v>
      </c>
      <c r="M280" s="157" t="s">
        <v>448</v>
      </c>
      <c r="N280" s="157" t="s">
        <v>449</v>
      </c>
      <c r="O280" s="157" t="s">
        <v>450</v>
      </c>
      <c r="P280" s="157" t="s">
        <v>451</v>
      </c>
      <c r="Q280" s="157" t="s">
        <v>452</v>
      </c>
      <c r="R280" s="157" t="s">
        <v>453</v>
      </c>
      <c r="S280" s="157" t="s">
        <v>454</v>
      </c>
      <c r="T280" s="157" t="s">
        <v>455</v>
      </c>
      <c r="U280" s="157" t="s">
        <v>456</v>
      </c>
      <c r="V280" s="157" t="s">
        <v>457</v>
      </c>
      <c r="W280" s="157" t="s">
        <v>458</v>
      </c>
      <c r="X280" s="157" t="s">
        <v>459</v>
      </c>
      <c r="Y280" s="159" t="s">
        <v>460</v>
      </c>
      <c r="Z280" s="159" t="s">
        <v>461</v>
      </c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IB280"/>
    </row>
    <row r="281" spans="1:236" s="2" customFormat="1" ht="12.75">
      <c r="A281" s="45" t="s">
        <v>463</v>
      </c>
      <c r="B281" s="67" t="s">
        <v>464</v>
      </c>
      <c r="C281" s="67"/>
      <c r="D281" s="67"/>
      <c r="E281" s="68"/>
      <c r="F281" s="68"/>
      <c r="G281" s="68"/>
      <c r="H281" s="68"/>
      <c r="I281" s="68"/>
      <c r="J281" s="73">
        <v>20226</v>
      </c>
      <c r="K281" s="73">
        <v>21925</v>
      </c>
      <c r="L281" s="73">
        <v>22600</v>
      </c>
      <c r="M281" s="73">
        <v>24360</v>
      </c>
      <c r="N281" s="73">
        <v>21672</v>
      </c>
      <c r="O281" s="73">
        <v>24416</v>
      </c>
      <c r="P281" s="73">
        <v>26126</v>
      </c>
      <c r="Q281" s="73">
        <v>26426</v>
      </c>
      <c r="R281" s="73">
        <v>24904</v>
      </c>
      <c r="S281" s="73">
        <v>27379</v>
      </c>
      <c r="T281" s="73">
        <v>25504</v>
      </c>
      <c r="U281" s="73">
        <v>25702</v>
      </c>
      <c r="V281" s="73">
        <v>25960</v>
      </c>
      <c r="W281" s="73">
        <v>29002</v>
      </c>
      <c r="X281" s="73">
        <v>27024</v>
      </c>
      <c r="Y281" s="73">
        <v>22430</v>
      </c>
      <c r="Z281" s="73">
        <v>27383</v>
      </c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IB281"/>
    </row>
    <row r="282" spans="1:236" s="2" customFormat="1" ht="12.75">
      <c r="A282" s="45" t="s">
        <v>481</v>
      </c>
      <c r="B282" s="67" t="s">
        <v>482</v>
      </c>
      <c r="C282" s="67"/>
      <c r="D282" s="67"/>
      <c r="E282" s="68"/>
      <c r="F282" s="68"/>
      <c r="G282" s="68"/>
      <c r="H282" s="68"/>
      <c r="I282" s="68"/>
      <c r="J282" s="73">
        <v>15410</v>
      </c>
      <c r="K282" s="73">
        <v>15776</v>
      </c>
      <c r="L282" s="73">
        <v>16154</v>
      </c>
      <c r="M282" s="73">
        <v>16393</v>
      </c>
      <c r="N282" s="73">
        <v>16728</v>
      </c>
      <c r="O282" s="73">
        <v>17078</v>
      </c>
      <c r="P282" s="73">
        <v>17516</v>
      </c>
      <c r="Q282" s="73">
        <v>17711</v>
      </c>
      <c r="R282" s="73">
        <v>17987</v>
      </c>
      <c r="S282" s="73">
        <v>18078</v>
      </c>
      <c r="T282" s="73">
        <v>21835</v>
      </c>
      <c r="U282" s="73">
        <v>23449</v>
      </c>
      <c r="V282" s="73">
        <v>22328</v>
      </c>
      <c r="W282" s="73">
        <v>22613</v>
      </c>
      <c r="X282" s="73">
        <v>23005</v>
      </c>
      <c r="Y282" s="73">
        <v>23734</v>
      </c>
      <c r="Z282" s="73">
        <v>22004</v>
      </c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IB282"/>
    </row>
    <row r="283" spans="1:236" s="2" customFormat="1" ht="12.75">
      <c r="A283" s="45" t="s">
        <v>483</v>
      </c>
      <c r="B283" s="67" t="s">
        <v>484</v>
      </c>
      <c r="C283" s="67"/>
      <c r="D283" s="67"/>
      <c r="E283" s="68"/>
      <c r="F283" s="68"/>
      <c r="G283" s="68"/>
      <c r="H283" s="68"/>
      <c r="I283" s="68"/>
      <c r="J283" s="73">
        <v>14566</v>
      </c>
      <c r="K283" s="73">
        <v>14765</v>
      </c>
      <c r="L283" s="73">
        <v>16632</v>
      </c>
      <c r="M283" s="73">
        <v>17642</v>
      </c>
      <c r="N283" s="73">
        <v>16691</v>
      </c>
      <c r="O283" s="73">
        <v>17300</v>
      </c>
      <c r="P283" s="73">
        <v>17480</v>
      </c>
      <c r="Q283" s="73">
        <v>18437</v>
      </c>
      <c r="R283" s="73">
        <v>17866</v>
      </c>
      <c r="S283" s="73">
        <v>17930</v>
      </c>
      <c r="T283" s="73">
        <v>18337</v>
      </c>
      <c r="U283" s="73">
        <v>19859</v>
      </c>
      <c r="V283" s="73">
        <v>18186</v>
      </c>
      <c r="W283" s="73">
        <v>18304</v>
      </c>
      <c r="X283" s="73">
        <v>18329</v>
      </c>
      <c r="Y283" s="73">
        <f>18887+643</f>
        <v>19530</v>
      </c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IB283"/>
    </row>
    <row r="284" spans="1:236" s="2" customFormat="1" ht="12.75">
      <c r="A284" s="45" t="s">
        <v>485</v>
      </c>
      <c r="B284" s="67" t="s">
        <v>93</v>
      </c>
      <c r="C284" s="67"/>
      <c r="D284" s="67"/>
      <c r="E284" s="68"/>
      <c r="F284" s="68"/>
      <c r="G284" s="68"/>
      <c r="H284" s="68"/>
      <c r="I284" s="68"/>
      <c r="J284" s="73">
        <f>(0.861*10380)/0.6245</f>
        <v>14310.93674939952</v>
      </c>
      <c r="K284" s="73">
        <f>(0.861*9975)/0.6372</f>
        <v>13478.460451977402</v>
      </c>
      <c r="L284" s="73"/>
      <c r="M284" s="73"/>
      <c r="N284" s="73"/>
      <c r="O284" s="73">
        <f>(10155-1335)/0.658</f>
        <v>13404.255319148935</v>
      </c>
      <c r="P284" s="73">
        <v>13174</v>
      </c>
      <c r="Q284" s="73">
        <v>16342</v>
      </c>
      <c r="R284" s="73">
        <v>13160</v>
      </c>
      <c r="S284" s="73">
        <f>(10204-1719)/0.5846</f>
        <v>14514.197742045842</v>
      </c>
      <c r="T284" s="73">
        <f>(10548-1856)/0.618</f>
        <v>14064.724919093851</v>
      </c>
      <c r="U284" s="73">
        <f>(10881-147-1991)/0.6542</f>
        <v>13364.414552124732</v>
      </c>
      <c r="V284" s="73">
        <f>(10594-2003)/0.673</f>
        <v>12765.230312035661</v>
      </c>
      <c r="W284" s="73">
        <f>(10113-1877)/0.6391</f>
        <v>12886.872163980597</v>
      </c>
      <c r="X284" s="73">
        <f>(10153-1931)/0.6512</f>
        <v>12625.921375921376</v>
      </c>
      <c r="Y284" s="73">
        <f>(20266-3808)/(2*0.6764)</f>
        <v>12165.87817859255</v>
      </c>
      <c r="Z284" s="67"/>
      <c r="AA284" s="67"/>
      <c r="AB284" s="74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IB284"/>
    </row>
    <row r="285" spans="1:236" s="2" customFormat="1" ht="12.75">
      <c r="A285" s="45" t="s">
        <v>472</v>
      </c>
      <c r="B285" s="67" t="s">
        <v>473</v>
      </c>
      <c r="C285" s="67"/>
      <c r="D285" s="67"/>
      <c r="E285" s="68"/>
      <c r="F285" s="68"/>
      <c r="G285" s="68"/>
      <c r="H285" s="68"/>
      <c r="I285" s="68"/>
      <c r="J285" s="73">
        <v>8900</v>
      </c>
      <c r="K285" s="73">
        <f>(1852+3816+333+96+168+366+234+353+86+98+199+90)/0.7947+1166</f>
        <v>10843.865861331318</v>
      </c>
      <c r="L285" s="73">
        <f>4893+2517+506+152+256+468+319+440+258+(937/0.7778)</f>
        <v>11013.679866289534</v>
      </c>
      <c r="M285" s="73">
        <f>4916+2713+264+98+305+489+284+451+602+156+1325</f>
        <v>11603</v>
      </c>
      <c r="N285" s="73">
        <f>4678+2362+223+87+254+401+245+399+494+138+1219</f>
        <v>10500</v>
      </c>
      <c r="O285" s="67"/>
      <c r="P285" s="73">
        <f>(5108+2006+3436)/0.738</f>
        <v>14295.392953929539</v>
      </c>
      <c r="Q285" s="73">
        <v>14727</v>
      </c>
      <c r="R285" s="73">
        <v>13185</v>
      </c>
      <c r="S285" s="73">
        <f>2575+7213+428+139.6+272.38+379.14+235.42+412+235.42+217.63</f>
        <v>12107.589999999998</v>
      </c>
      <c r="T285" s="73">
        <f>2530+7350+415+135+261+489.4+218.21+372.1+(102+94+210)/0.793</f>
        <v>12282.689823455232</v>
      </c>
      <c r="U285" s="73">
        <f>8132+(2098+203+169+314+220++367+389+112)/0.8375</f>
        <v>12755.283582089553</v>
      </c>
      <c r="V285" s="73">
        <f>(2061+6905+294+104+201+256+160+346+81+91+172)/0.9282+1363/(2*0.673)</f>
        <v>12509.074746597691</v>
      </c>
      <c r="W285" s="73">
        <f>2271+8179+227+((85+88)/0.9015)+201+336+222+402+397+115+(2464/2)</f>
        <v>13773.902384914032</v>
      </c>
      <c r="X285" s="73">
        <f>2316+7849+359+120.54+221.92+411.17+215.16+289.51+103/0.8877+92/0.8877+178/0.8877+2136/2</f>
        <v>13270.487000112653</v>
      </c>
      <c r="Y285" s="73">
        <f>8213+(2072+312+115+206+362+189+233+90+90+179)/0.9185</f>
        <v>12402.439303211759</v>
      </c>
      <c r="Z285" s="73">
        <f>8599+(1941+277+107+209+354+178+228+178)/0.8777</f>
        <v>12554.793551327333</v>
      </c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IB285"/>
    </row>
    <row r="286" spans="1:236" s="2" customFormat="1" ht="12.75">
      <c r="A286" s="45" t="s">
        <v>470</v>
      </c>
      <c r="B286" s="67" t="s">
        <v>471</v>
      </c>
      <c r="C286" s="67"/>
      <c r="D286" s="67"/>
      <c r="E286" s="68"/>
      <c r="F286" s="68"/>
      <c r="G286" s="68"/>
      <c r="H286" s="68"/>
      <c r="I286" s="68"/>
      <c r="J286" s="73">
        <v>12200</v>
      </c>
      <c r="K286" s="73">
        <f>(2045+597+369+314+267+386+847+162+122+59+1673+1718+1295+158+504)/0.7947</f>
        <v>13232.66641499937</v>
      </c>
      <c r="L286" s="73">
        <f>(15538-1236-359-279-323-174-2309)/0.7778</f>
        <v>13959.886860375416</v>
      </c>
      <c r="M286" s="73">
        <f>(7942+7436-1164-350-292-317-171-2356)/0.732</f>
        <v>14655.737704918032</v>
      </c>
      <c r="N286" s="73">
        <f>(14141-1117-332-262-315-167-2220)/0.78</f>
        <v>12471.794871794871</v>
      </c>
      <c r="O286" s="73">
        <f>(14421-1104-268-311-348-166-2207)/0.768</f>
        <v>13042.96875</v>
      </c>
      <c r="P286" s="73">
        <f>(944+628+368+352+263+373+935+172+130+60+1261+1717+1225+135+451)/0.738</f>
        <v>12214.09214092141</v>
      </c>
      <c r="Q286" s="73">
        <f>(1982+625+376+346+265+1281+122+91+1742+1226+1243+143+437)/0.7264</f>
        <v>13599.944933920704</v>
      </c>
      <c r="R286" s="73">
        <f>(12232-2079-883-249-205-258-148-130)/0.7247</f>
        <v>11425.417414102387</v>
      </c>
      <c r="S286" s="73">
        <f>(12725-2105-914-248-207-266-159)/0.7306</f>
        <v>12080.481795784286</v>
      </c>
      <c r="T286" s="73">
        <f>(1118+1805+934+1971+509+302+373+286+403+887+128+56)/0.7928</f>
        <v>11064.581231079717</v>
      </c>
      <c r="U286" s="73">
        <f>(1138+2019+1960+561+326+386+281+452+138+67+912+7+1914)/0.8375</f>
        <v>12132.537313432835</v>
      </c>
      <c r="V286" s="73">
        <f>(1024+1636+1942+599+339+394+251+444+426+149+65+1851)/0.9282</f>
        <v>9825.468648998061</v>
      </c>
      <c r="W286" s="73">
        <f>(1108+1685+1831+637+347+385+249+458+150+149+61+1953)/0.9015</f>
        <v>9997.781475318912</v>
      </c>
      <c r="X286" s="73">
        <f>(1089+1720+1606+662+305+396+219+453+388+150+56+2023)/0.8877</f>
        <v>10214.036273515827</v>
      </c>
      <c r="Y286" s="73">
        <f>(1117+2059+1526+641+301+391+224+427+414+157+58+2011)/0.9185</f>
        <v>10153.511159499183</v>
      </c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IB286"/>
    </row>
    <row r="287" spans="1:236" s="2" customFormat="1" ht="12.75">
      <c r="A287" s="45" t="s">
        <v>275</v>
      </c>
      <c r="B287" s="67" t="s">
        <v>486</v>
      </c>
      <c r="C287" s="67"/>
      <c r="D287" s="67"/>
      <c r="E287" s="68"/>
      <c r="F287" s="68"/>
      <c r="G287" s="68"/>
      <c r="H287" s="68"/>
      <c r="I287" s="68"/>
      <c r="J287" s="73">
        <v>13713</v>
      </c>
      <c r="K287" s="73">
        <v>12792</v>
      </c>
      <c r="L287" s="73">
        <v>14874</v>
      </c>
      <c r="M287" s="73">
        <v>12617</v>
      </c>
      <c r="N287" s="73">
        <v>11670</v>
      </c>
      <c r="O287" s="73">
        <v>12215</v>
      </c>
      <c r="P287" s="73">
        <v>11094</v>
      </c>
      <c r="Q287" s="73">
        <v>12018</v>
      </c>
      <c r="R287" s="73">
        <v>9652</v>
      </c>
      <c r="S287" s="73">
        <v>10603</v>
      </c>
      <c r="T287" s="73">
        <v>9120</v>
      </c>
      <c r="U287" s="73">
        <v>8625</v>
      </c>
      <c r="V287" s="73">
        <v>7636</v>
      </c>
      <c r="W287" s="73">
        <v>8753</v>
      </c>
      <c r="X287" s="73">
        <v>9475</v>
      </c>
      <c r="Y287" s="73">
        <v>9714</v>
      </c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IB287"/>
    </row>
    <row r="288" spans="1:236" s="2" customFormat="1" ht="12.75">
      <c r="A288" s="45" t="s">
        <v>468</v>
      </c>
      <c r="B288" s="67" t="s">
        <v>118</v>
      </c>
      <c r="C288" s="67"/>
      <c r="D288" s="67"/>
      <c r="E288" s="68"/>
      <c r="F288" s="68"/>
      <c r="G288" s="68"/>
      <c r="H288" s="68"/>
      <c r="I288" s="68"/>
      <c r="J288" s="163">
        <v>9393</v>
      </c>
      <c r="K288" s="73">
        <v>8810</v>
      </c>
      <c r="L288" s="73">
        <v>9305</v>
      </c>
      <c r="M288" s="73">
        <v>9738</v>
      </c>
      <c r="N288" s="73">
        <f>0.622*193000/12.3349</f>
        <v>9732.223204079482</v>
      </c>
      <c r="O288" s="73">
        <f>0.626*194800/12.9785</f>
        <v>9395.908618099164</v>
      </c>
      <c r="P288" s="73">
        <f>0.626*194200/13.1347</f>
        <v>9255.574927482165</v>
      </c>
      <c r="Q288" s="73">
        <f>0.626*204120/13.0487</f>
        <v>9792.478944262646</v>
      </c>
      <c r="R288" s="73">
        <f>0.626*195400/13.0681</f>
        <v>9360.228342299186</v>
      </c>
      <c r="S288" s="73">
        <f>0.619*202635/12.9735</f>
        <v>9668.251821019772</v>
      </c>
      <c r="T288" s="73">
        <f>220884*0.617/13.4566</f>
        <v>10127.775812612397</v>
      </c>
      <c r="U288" s="73">
        <f>(229300*0.618)/L145</f>
        <v>9531.802405359593</v>
      </c>
      <c r="V288" s="73">
        <f>220000*0.633/15.2529</f>
        <v>9130.067069213068</v>
      </c>
      <c r="W288" s="73">
        <f>220000*0.636/15.765</f>
        <v>8875.356803044719</v>
      </c>
      <c r="X288" s="73">
        <f>223604*0.642/16.8489</f>
        <v>8520.067660203336</v>
      </c>
      <c r="Y288" s="73">
        <f>230577*0.642/17.236</f>
        <v>8588.444766767232</v>
      </c>
      <c r="Z288" s="73">
        <f>222985*0.628/17.3398</f>
        <v>8075.905143081234</v>
      </c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IB288"/>
    </row>
    <row r="289" spans="1:236" s="2" customFormat="1" ht="12.75">
      <c r="A289" s="45" t="s">
        <v>487</v>
      </c>
      <c r="B289" s="67" t="s">
        <v>488</v>
      </c>
      <c r="C289" s="67"/>
      <c r="D289" s="67"/>
      <c r="E289" s="68"/>
      <c r="F289" s="68"/>
      <c r="G289" s="68"/>
      <c r="H289" s="68"/>
      <c r="I289" s="68"/>
      <c r="J289" s="73">
        <v>7950</v>
      </c>
      <c r="K289" s="73">
        <v>8067</v>
      </c>
      <c r="L289" s="73">
        <v>8042</v>
      </c>
      <c r="M289" s="73">
        <v>9005</v>
      </c>
      <c r="N289" s="73">
        <v>8089</v>
      </c>
      <c r="O289" s="73">
        <v>8178</v>
      </c>
      <c r="P289" s="73">
        <v>8017</v>
      </c>
      <c r="Q289" s="73">
        <v>8483</v>
      </c>
      <c r="R289" s="73">
        <v>8875</v>
      </c>
      <c r="S289" s="73">
        <v>8789</v>
      </c>
      <c r="T289" s="73">
        <v>8488</v>
      </c>
      <c r="U289" s="73">
        <v>8973</v>
      </c>
      <c r="V289" s="73">
        <v>8282</v>
      </c>
      <c r="W289" s="73">
        <v>8027</v>
      </c>
      <c r="X289" s="73">
        <v>7975</v>
      </c>
      <c r="Y289" s="73">
        <v>7670</v>
      </c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IB289"/>
    </row>
    <row r="290" spans="1:236" s="2" customFormat="1" ht="12.75">
      <c r="A290" s="45" t="s">
        <v>474</v>
      </c>
      <c r="B290" s="67" t="s">
        <v>114</v>
      </c>
      <c r="C290" s="67"/>
      <c r="D290" s="67"/>
      <c r="E290" s="68"/>
      <c r="F290" s="68"/>
      <c r="G290" s="68"/>
      <c r="H290" s="68"/>
      <c r="I290" s="68"/>
      <c r="J290" s="73">
        <v>7600</v>
      </c>
      <c r="K290" s="73">
        <f>11187/(2*0.7947)+1166</f>
        <v>8204.50509626274</v>
      </c>
      <c r="L290" s="73">
        <f>(5518/0.7778)+1350</f>
        <v>8444.368732321933</v>
      </c>
      <c r="M290" s="73">
        <f>30429-7600-8205-8444</f>
        <v>6180</v>
      </c>
      <c r="N290" s="73"/>
      <c r="O290" s="73">
        <f>(4721+277)/0.768</f>
        <v>6507.8125</v>
      </c>
      <c r="P290" s="73">
        <f>(4602+330)/0.7377</f>
        <v>6685.6445709638065</v>
      </c>
      <c r="Q290" s="73">
        <f>(4488+433)/0.7264</f>
        <v>6774.504405286343</v>
      </c>
      <c r="R290" s="73">
        <f>(4343+333)/0.7247</f>
        <v>6452.325100041397</v>
      </c>
      <c r="S290" s="73">
        <f>12650-6452</f>
        <v>6198</v>
      </c>
      <c r="T290" s="73">
        <f>4625/0.7928</f>
        <v>5833.753784056508</v>
      </c>
      <c r="U290" s="73">
        <f>(4231+494)/0.8375</f>
        <v>5641.79104477612</v>
      </c>
      <c r="V290" s="73">
        <f>(4172+384)/0.9282</f>
        <v>4908.424908424909</v>
      </c>
      <c r="W290" s="73">
        <f>(4246+386)/V81</f>
        <v>5138.10316139767</v>
      </c>
      <c r="X290" s="73">
        <f>(4480+414)/0.8877</f>
        <v>5513.123803086628</v>
      </c>
      <c r="Y290" s="73">
        <f>(4415+491)/0.9185</f>
        <v>5341.31736526946</v>
      </c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IB290"/>
    </row>
    <row r="291" spans="1:236" s="2" customFormat="1" ht="12.75">
      <c r="A291" s="45"/>
      <c r="B291" s="67"/>
      <c r="C291" s="67"/>
      <c r="D291" s="67"/>
      <c r="E291" s="68"/>
      <c r="F291" s="68"/>
      <c r="G291" s="68"/>
      <c r="H291" s="68"/>
      <c r="I291" s="68"/>
      <c r="J291" s="67"/>
      <c r="K291" s="67"/>
      <c r="L291" s="67"/>
      <c r="M291" s="67"/>
      <c r="N291" s="73"/>
      <c r="O291" s="67"/>
      <c r="P291" s="67"/>
      <c r="Q291" s="73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IB291"/>
    </row>
    <row r="292" spans="1:43" s="2" customFormat="1" ht="12.75">
      <c r="A292" s="45"/>
      <c r="T292" s="17"/>
      <c r="V292" s="67"/>
      <c r="W292" s="67"/>
      <c r="X292" s="68"/>
      <c r="Y292" s="68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Q292" s="49"/>
    </row>
    <row r="293" spans="1:39" s="164" customFormat="1" ht="12.75">
      <c r="A293" s="21" t="s">
        <v>489</v>
      </c>
      <c r="C293" s="104" t="s">
        <v>490</v>
      </c>
      <c r="G293" s="165"/>
      <c r="H293" s="108" t="s">
        <v>491</v>
      </c>
      <c r="I293" s="108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</row>
    <row r="294" spans="1:3" ht="12.75">
      <c r="A294" s="1" t="s">
        <v>492</v>
      </c>
      <c r="C294" t="s">
        <v>493</v>
      </c>
    </row>
    <row r="295" spans="1:3" ht="12.75">
      <c r="A295" s="1" t="s">
        <v>494</v>
      </c>
      <c r="C295" s="110" t="s">
        <v>495</v>
      </c>
    </row>
    <row r="296" spans="1:22" ht="12.75">
      <c r="A296" s="1" t="s">
        <v>496</v>
      </c>
      <c r="C296" t="s">
        <v>497</v>
      </c>
      <c r="V296" s="55" t="s">
        <v>57</v>
      </c>
    </row>
    <row r="297" spans="1:3" ht="12.75">
      <c r="A297" s="1" t="s">
        <v>498</v>
      </c>
      <c r="C297" s="110" t="s">
        <v>499</v>
      </c>
    </row>
    <row r="298" spans="1:2" ht="12.75">
      <c r="A298" s="47"/>
      <c r="B298" s="166"/>
    </row>
  </sheetData>
  <sheetProtection selectLockedCells="1" selectUnlockedCells="1"/>
  <hyperlinks>
    <hyperlink ref="B2" r:id="rId1" display="http://www.arpt.dz/"/>
    <hyperlink ref="B3" r:id="rId2" display="http://www.vimpelcom.com/ir/index.wbp"/>
    <hyperlink ref="B4" r:id="rId3" display="http://10.wataniya.com/aboutus/investorrelations/default_en_gb.aspx"/>
    <hyperlink ref="B5" r:id="rId4" display="http://www.mobilis.dz/"/>
    <hyperlink ref="B8" r:id="rId5" display="http://www.cti.com.ar/"/>
    <hyperlink ref="B16" r:id="rId6" display="http://www.telekomaustria.com/ir/investor-relations-en.php"/>
    <hyperlink ref="B18" r:id="rId7" display="http://www.mideuropa.com/OrangeAustria.aspx "/>
    <hyperlink ref="B19" r:id="rId8" display="http://www.btrc.gov.bd/index.php?option=com_content&amp;view=category&amp;layout=blog&amp;id=49&amp;Itemid=502"/>
    <hyperlink ref="B21" r:id="rId9" display="http://www.vimpelcom.com/ir/index.wbp"/>
    <hyperlink ref="B23" r:id="rId10" display="http://www.axiata.com/investor/financial-reports "/>
    <hyperlink ref="B25" r:id="rId11" display="http://www.belgacom.com/be-en/subhome/SH_Investors.page"/>
    <hyperlink ref="B28" r:id="rId12" display="http://www.teleco.com.br/mshare.asp"/>
    <hyperlink ref="B31" r:id="rId13" display="http://www.telecomitalia.com/tit/en/investors.html "/>
    <hyperlink ref="B32" r:id="rId14" display="http://www.mzweb.com.br/oi/web/conteudo_en.asp?tipo=28288&amp;idioma=1&amp;conta=44&amp;img=28246&amp;ano=2011"/>
    <hyperlink ref="B36" r:id="rId15" display="http://www.telekomaustria.com/ir/investor-relations-en.php"/>
    <hyperlink ref="B42" r:id="rId16" display="http://www.subtel.gob.cl/prontus_subtel/site/artic/20070212/pags/20070212182348.html"/>
    <hyperlink ref="B46" r:id="rId17" display="http://www.ofca.gov.hk/en/whats_new/index.html"/>
    <hyperlink ref="B47" r:id="rId18" display="www.ckh.com.hk "/>
    <hyperlink ref="B48" r:id="rId19" display="http://www.smartoneholdings.com/jsp/smc_investor/results/english/index.jsp"/>
    <hyperlink ref="B51" r:id="rId20" display="http://www.miit.gov.cn"/>
    <hyperlink ref="B52" r:id="rId21" display="http://www.chinamobileltd.com/en/global/home.php"/>
    <hyperlink ref="B53" r:id="rId22" display="http://www.chinaunicom.com.hk/en/home/default.html"/>
    <hyperlink ref="B54" r:id="rId23" display="http://www.chinatelecom-h.com/eng/ir/kpi.htm"/>
    <hyperlink ref="B56" r:id="rId24" display="http://www.tcc.net.tw/ "/>
    <hyperlink ref="B57" r:id="rId25" display="http://www.fetnet.net/"/>
    <hyperlink ref="B58" r:id="rId26" display="http://www.cht.com.tw/CHTFinalE/Web/Business.php?Page=StackReport&amp;CatID=564"/>
    <hyperlink ref="B59" r:id="rId27" display="http://www.ncc.gov.tw/English/news.aspx?site_content_sn=221"/>
    <hyperlink ref="B74" r:id="rId28" display="http://www.mcit.gov.eg/Indicators/Indicators.aspx"/>
    <hyperlink ref="B75" r:id="rId29" display="https://www.mobinil.com/en/about/investors/investors"/>
    <hyperlink ref="B76" r:id="rId30" display="http://www.etisalat.com/en/ir/index.jsp"/>
    <hyperlink ref="B80" r:id="rId31" display="http://www.elisa.com"/>
    <hyperlink ref="B81" r:id="rId32" display="http://www.arcep.fr/"/>
    <hyperlink ref="B84" r:id="rId33" display="http://www.iliad.fr/en/"/>
    <hyperlink ref="B85" r:id="rId34" display="http://www.bouygues.com/fr/espace-presse/communiques-groupe/communiques-groupe/"/>
    <hyperlink ref="B91" r:id="rId35" display="http://www.ote.gr/oteweb/english/news/lastnews.asp"/>
    <hyperlink ref="B96" r:id="rId36" display="http://www.ahrt.hu/"/>
    <hyperlink ref="B97" r:id="rId37" display="http://www.trai.gov.in/Content/PerformanceIndicatorsReports/1_1_PerformanceIndicatorsReports.aspx"/>
    <hyperlink ref="B98" r:id="rId38" display="http://www.airtel.in/wps/wcm/connect/about+bharti+airtel/Bharti+Airtel/Investor+Relations/"/>
    <hyperlink ref="B99" r:id="rId39" display="www.htil.com"/>
    <hyperlink ref="B100" r:id="rId40" display="http://www.ideacellular.com/"/>
    <hyperlink ref="B102" r:id="rId41" display="http://www.bsnl.co.in/corporate.htm"/>
    <hyperlink ref="B104" r:id="rId42" display="http://www.maxis.com.my/personal/about_us/investor/index.asp?iStruct=0:2"/>
    <hyperlink ref="B105" r:id="rId43" display="http://www.telenor.com/investors/"/>
    <hyperlink ref="B109" r:id="rId44" display="http://www.telkom.co.id/hubungan-investor/laporan-laporan/info-memo/"/>
    <hyperlink ref="B110" r:id="rId45" display="http://indosat.com/id/investor-relation"/>
    <hyperlink ref="B112" r:id="rId46" display="http://www.mobile-8.com"/>
    <hyperlink ref="B113" r:id="rId47" display="http://en.wikipedia.org/wiki/List_of_mobile_network_operators_of_the_Middle_East_and_Africa#Iran"/>
    <hyperlink ref="B117" r:id="rId48" display="http://www.zain.com/investor-relations/financial-reports/ "/>
    <hyperlink ref="B118" r:id="rId49" display="http://www.ooredoo.com/en/section/investor-relations"/>
    <hyperlink ref="B122" r:id="rId50" display="http://www.bezeq.co.il/"/>
    <hyperlink ref="B123" r:id="rId51" display="http://orange.co.il/ir-en"/>
    <hyperlink ref="B125" r:id="rId52" display="http://www.telecomitalia.com/tit/en/investors.html"/>
    <hyperlink ref="B129" r:id="rId53" display="http://www.tca.or.jp/english/database/ "/>
    <hyperlink ref="B130" r:id="rId54" display="http://www.nttdocomo.co.jp/english/corporate/ir/index.html"/>
    <hyperlink ref="B131" r:id="rId55" display="http://www.softbank.co.jp/en/irinfo/index.html"/>
    <hyperlink ref="B132" r:id="rId56" display="http://www.kddi.com/english/corporate/ir/"/>
    <hyperlink ref="B133" r:id="rId57" display="http://cck.go.ke/resc/statcs.html"/>
    <hyperlink ref="B134" r:id="rId58" display="http://www.safaricom.co.ke/investor-relations "/>
    <hyperlink ref="B138" r:id="rId59" display="http://www.sktelecom.com/"/>
    <hyperlink ref="B139" r:id="rId60" display="http://www.kt.com/eng/main.jsp"/>
    <hyperlink ref="B140" r:id="rId61" display="http://www.uplus.co.kr/cmg/engl/inre/peir/RetrievePeIrOverview.hpi?mid=2636"/>
    <hyperlink ref="B142" r:id="rId62" display="http://www.maxis.com.my/en/about-maxis/investors/overview.html "/>
    <hyperlink ref="B149" r:id="rId63" display="http://www.anrt.ma/fr/"/>
    <hyperlink ref="B153" r:id="rId64" display="http://corporate.kpn.com/investor-relations.htm"/>
    <hyperlink ref="B156" r:id="rId65" display="http://www.ncc.gov.ng/index.php?option=com_content&amp;view=article&amp;id=125&amp;Itemid=73"/>
    <hyperlink ref="B159" r:id="rId66" display="http://www.etisalat.com/en/ir/index.jsp"/>
    <hyperlink ref="B161" r:id="rId67" display="http://www.telenor.com/ir/"/>
    <hyperlink ref="B163" r:id="rId68" display="http://www.pta.gov.pk/index.php?option=com_content&amp;task=view&amp;id=269&amp;Itemid=143"/>
    <hyperlink ref="B167" r:id="rId69" display="http://www.etisalat.com/en/ir/index.jsp"/>
    <hyperlink ref="B177" r:id="rId70" display="http://www.en.uke.gov.pl/"/>
    <hyperlink ref="B179" r:id="rId71" display="http://www.polkomtel.com.pl/english/dzialalnosc_biznesowa/ "/>
    <hyperlink ref="B187" r:id="rId72" display="http://www.ote.gr"/>
    <hyperlink ref="B188" r:id="rId73" display="http://www.acm-consulting.com/cellulardata.php"/>
    <hyperlink ref="B190" r:id="rId74" display="http://www.vimpelcom.com/Investor-relations/"/>
    <hyperlink ref="B191" r:id="rId75" display="http://ir.megafon.com/"/>
    <hyperlink ref="B194" r:id="rId76" display="http://www.mobily.com.sa/portalu/wps/portal/about/investor-relations"/>
    <hyperlink ref="B195" r:id="rId77" display="http://www.stc.com.sa/"/>
    <hyperlink ref="B196" r:id="rId78" display="http://www.zain.com/investor-relations/financial-reports/ "/>
    <hyperlink ref="B198" r:id="rId79" display="http://info.singtel.com/about-us/investor-relations"/>
    <hyperlink ref="B199" r:id="rId80" display="http://www.m1.com.sg/"/>
    <hyperlink ref="B200" r:id="rId81" display="https://www.icasa.org.za "/>
    <hyperlink ref="B201" r:id="rId82" display="http://www.telkom.co.za/ir"/>
    <hyperlink ref="B203" r:id="rId83" display="www.cmt.es"/>
    <hyperlink ref="B204" r:id="rId84" display="http://www.telefonica.com/en/shareholders-investors/jsp/home/home.jsp"/>
    <hyperlink ref="B214" r:id="rId85" display="http://www.tre.se/"/>
    <hyperlink ref="B217" r:id="rId86" display="http://www.swisscom.com/ir/content/index_EN.html"/>
    <hyperlink ref="B222" r:id="rId87" display="http://www2.truecorp.co.th/en/home_flash.aspx"/>
    <hyperlink ref="B225" r:id="rId88" display="http://10.wataniya.com/aboutus/investorrelations/default_en_gb.aspx"/>
    <hyperlink ref="B227" r:id="rId89" display="http://www.turkcell.com.tr/en/aboutus/investor-relations"/>
    <hyperlink ref="B228" r:id="rId90" display="http://www.telsim.com.tr/"/>
    <hyperlink ref="B229" r:id="rId91" display="http://www.turktelekom.com.tr/tt/portal/InvestorRelations"/>
    <hyperlink ref="B230" r:id="rId92" display="http://www.acm-consulting.com/cellulardata.php"/>
    <hyperlink ref="B239" r:id="rId93" display="http://www.ctia.org"/>
    <hyperlink ref="B245" r:id="rId94" display="http://ir.timewarnercable.com/investor-relations/default.aspx "/>
    <hyperlink ref="B246" r:id="rId95" display="http://altice.net/ir-group/results-and-presentations/ "/>
    <hyperlink ref="B247" r:id="rId96" display="http://www.conatel.gob.ve/ "/>
    <hyperlink ref="B249" r:id="rId97" display="http://www.cantv.com.ve/"/>
    <hyperlink ref="B250" r:id="rId98" display="http://www.digitel.com.ve/"/>
    <hyperlink ref="B251" r:id="rId99" display="http://english.vietnamnet.vn/fms/science-it/"/>
    <hyperlink ref="B252" r:id="rId100" display="http://www.viettel.com.vn/"/>
    <hyperlink ref="B253" r:id="rId101" display="http://www.mobifone.com.vn/web/vn/home/mobifone_history.jsp"/>
    <hyperlink ref="B255" r:id="rId102" display="http://www.vinaphone.com.vn/locale.do?language=en"/>
    <hyperlink ref="A262" r:id="rId103" display="http://search.worldbank.org/data?qterm=Mobile%20cellular%20subscriptions&amp;language=EN"/>
    <hyperlink ref="C293" r:id="rId104" display="http://www.transparency.org/whatwedo/publications"/>
    <hyperlink ref="H293" r:id="rId105" display="http://www.transparency.org/country"/>
    <hyperlink ref="C295" r:id="rId106" display="http://www.weforum.org/reports/global-competitiveness-report-2014-2015"/>
    <hyperlink ref="C297" r:id="rId107" display="http://www.worldvaluessurvey.org/WVSContents.jsp"/>
  </hyperlink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16"/>
  <sheetViews>
    <sheetView zoomScale="95" zoomScaleNormal="9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6" sqref="C6"/>
    </sheetView>
  </sheetViews>
  <sheetFormatPr defaultColWidth="9.140625" defaultRowHeight="12.75"/>
  <cols>
    <col min="1" max="1" width="27.57421875" style="47" customWidth="1"/>
    <col min="2" max="2" width="6.421875" style="0" customWidth="1"/>
    <col min="3" max="3" width="8.00390625" style="0" customWidth="1"/>
  </cols>
  <sheetData>
    <row r="1" spans="1:52" s="169" customFormat="1" ht="12.75">
      <c r="A1" s="167" t="s">
        <v>500</v>
      </c>
      <c r="B1" s="168"/>
      <c r="C1" s="169" t="s">
        <v>48</v>
      </c>
      <c r="D1" s="169" t="s">
        <v>501</v>
      </c>
      <c r="E1" s="169" t="s">
        <v>502</v>
      </c>
      <c r="F1" s="169" t="s">
        <v>503</v>
      </c>
      <c r="G1" s="169" t="s">
        <v>438</v>
      </c>
      <c r="H1" s="169" t="s">
        <v>504</v>
      </c>
      <c r="I1" s="169" t="s">
        <v>505</v>
      </c>
      <c r="J1" s="169" t="s">
        <v>506</v>
      </c>
      <c r="K1" s="169" t="s">
        <v>439</v>
      </c>
      <c r="L1" s="169" t="s">
        <v>507</v>
      </c>
      <c r="M1" s="169" t="s">
        <v>508</v>
      </c>
      <c r="N1" s="169" t="s">
        <v>509</v>
      </c>
      <c r="O1" s="169" t="s">
        <v>440</v>
      </c>
      <c r="P1" s="169" t="s">
        <v>510</v>
      </c>
      <c r="Q1" s="169" t="s">
        <v>511</v>
      </c>
      <c r="R1" s="169" t="s">
        <v>512</v>
      </c>
      <c r="S1" s="169" t="s">
        <v>441</v>
      </c>
      <c r="T1" s="169" t="s">
        <v>513</v>
      </c>
      <c r="U1" s="169" t="s">
        <v>514</v>
      </c>
      <c r="V1" s="169" t="s">
        <v>515</v>
      </c>
      <c r="W1" s="169" t="s">
        <v>442</v>
      </c>
      <c r="X1" s="169" t="s">
        <v>516</v>
      </c>
      <c r="Y1" s="169" t="s">
        <v>517</v>
      </c>
      <c r="Z1" s="169" t="s">
        <v>518</v>
      </c>
      <c r="AA1" s="169" t="s">
        <v>443</v>
      </c>
      <c r="AB1" s="169" t="s">
        <v>519</v>
      </c>
      <c r="AC1" s="169" t="s">
        <v>520</v>
      </c>
      <c r="AD1" s="169" t="s">
        <v>521</v>
      </c>
      <c r="AE1" s="169" t="s">
        <v>444</v>
      </c>
      <c r="AF1" s="169" t="s">
        <v>522</v>
      </c>
      <c r="AG1" s="169" t="s">
        <v>523</v>
      </c>
      <c r="AH1" s="169" t="s">
        <v>524</v>
      </c>
      <c r="AI1" s="169" t="s">
        <v>445</v>
      </c>
      <c r="AJ1" s="169" t="s">
        <v>446</v>
      </c>
      <c r="AK1" s="169" t="s">
        <v>447</v>
      </c>
      <c r="AL1" s="169" t="s">
        <v>448</v>
      </c>
      <c r="AM1" s="169" t="s">
        <v>449</v>
      </c>
      <c r="AN1" s="169" t="s">
        <v>450</v>
      </c>
      <c r="AO1" s="169" t="s">
        <v>451</v>
      </c>
      <c r="AP1" s="169" t="s">
        <v>452</v>
      </c>
      <c r="AQ1" s="169" t="s">
        <v>453</v>
      </c>
      <c r="AR1" s="169" t="s">
        <v>454</v>
      </c>
      <c r="AS1" s="169" t="s">
        <v>455</v>
      </c>
      <c r="AT1" s="169" t="s">
        <v>456</v>
      </c>
      <c r="AU1" s="169" t="s">
        <v>457</v>
      </c>
      <c r="AV1" s="169" t="s">
        <v>458</v>
      </c>
      <c r="AW1" s="169" t="s">
        <v>459</v>
      </c>
      <c r="AX1" s="169" t="s">
        <v>460</v>
      </c>
      <c r="AY1" s="169" t="s">
        <v>461</v>
      </c>
      <c r="AZ1" s="169" t="s">
        <v>525</v>
      </c>
    </row>
    <row r="2" spans="1:52" s="2" customFormat="1" ht="12.75">
      <c r="A2" s="45" t="s">
        <v>526</v>
      </c>
      <c r="B2" s="2" t="s">
        <v>482</v>
      </c>
      <c r="C2" s="2">
        <f>AY2</f>
        <v>112.573</v>
      </c>
      <c r="D2" s="2">
        <v>40.4</v>
      </c>
      <c r="E2" s="2">
        <v>42.118</v>
      </c>
      <c r="F2" s="2">
        <v>43.8</v>
      </c>
      <c r="G2" s="2">
        <v>45.5</v>
      </c>
      <c r="H2" s="2">
        <v>47.4</v>
      </c>
      <c r="I2" s="2">
        <v>49.3</v>
      </c>
      <c r="J2" s="2">
        <v>51.3</v>
      </c>
      <c r="K2" s="2">
        <v>53.02</v>
      </c>
      <c r="L2" s="2">
        <f>54.835</f>
        <v>54.835</v>
      </c>
      <c r="M2" s="2">
        <v>56.747</v>
      </c>
      <c r="N2" s="2">
        <v>59.1</v>
      </c>
      <c r="O2" s="2">
        <v>60.7</v>
      </c>
      <c r="P2" s="2">
        <v>62.1</v>
      </c>
      <c r="Q2" s="2">
        <v>63.7</v>
      </c>
      <c r="R2" s="2">
        <v>65.7</v>
      </c>
      <c r="S2" s="2">
        <v>67.2</v>
      </c>
      <c r="T2" s="2">
        <v>68.681</v>
      </c>
      <c r="U2" s="2">
        <v>70.8</v>
      </c>
      <c r="V2" s="2">
        <v>72.056</v>
      </c>
      <c r="W2" s="2">
        <v>86.552</v>
      </c>
      <c r="X2" s="2">
        <v>87.694</v>
      </c>
      <c r="Y2" s="2">
        <v>89.013</v>
      </c>
      <c r="Z2" s="2">
        <v>91.249</v>
      </c>
      <c r="AA2" s="2">
        <v>92.801</v>
      </c>
      <c r="AB2" s="2">
        <v>92.063</v>
      </c>
      <c r="AC2" s="2">
        <v>93.17</v>
      </c>
      <c r="AD2" s="2">
        <v>94.135</v>
      </c>
      <c r="AE2" s="2">
        <v>104.022</v>
      </c>
      <c r="AF2" s="2">
        <v>106.292</v>
      </c>
      <c r="AG2" s="2">
        <v>107.695</v>
      </c>
      <c r="AH2" s="2">
        <v>108.667</v>
      </c>
      <c r="AI2" s="2">
        <v>92.988</v>
      </c>
      <c r="AJ2" s="2">
        <v>111.374</v>
      </c>
      <c r="AK2" s="2">
        <v>113.17</v>
      </c>
      <c r="AL2" s="2">
        <f>113.17+2.242</f>
        <v>115.412</v>
      </c>
      <c r="AM2" s="2">
        <v>98.93</v>
      </c>
      <c r="AN2" s="2">
        <v>100.124</v>
      </c>
      <c r="AO2" s="2">
        <v>101.15</v>
      </c>
      <c r="AP2" s="2">
        <v>102.799</v>
      </c>
      <c r="AQ2" s="2">
        <v>103.33</v>
      </c>
      <c r="AR2" s="2">
        <v>104.637</v>
      </c>
      <c r="AS2" s="2">
        <v>106.156</v>
      </c>
      <c r="AT2" s="2">
        <v>108.211</v>
      </c>
      <c r="AU2" s="2">
        <v>108.582</v>
      </c>
      <c r="AV2" s="2">
        <v>109.548</v>
      </c>
      <c r="AW2" s="2">
        <v>110.76</v>
      </c>
      <c r="AX2" s="2">
        <v>112.108</v>
      </c>
      <c r="AY2" s="2">
        <v>112.573</v>
      </c>
      <c r="AZ2" s="2">
        <v>8.7</v>
      </c>
    </row>
    <row r="3" spans="1:52" s="2" customFormat="1" ht="12.75">
      <c r="A3" s="45" t="s">
        <v>527</v>
      </c>
      <c r="B3" s="2" t="s">
        <v>528</v>
      </c>
      <c r="C3" s="2">
        <f>AY3</f>
        <v>130.421</v>
      </c>
      <c r="D3" s="2">
        <f>25.028+21.737</f>
        <v>46.765</v>
      </c>
      <c r="E3" s="2">
        <f>25.672+21.9</f>
        <v>47.572</v>
      </c>
      <c r="F3" s="2">
        <v>49.1</v>
      </c>
      <c r="G3" s="2">
        <v>50.4</v>
      </c>
      <c r="H3" s="2">
        <v>51.442</v>
      </c>
      <c r="I3" s="2">
        <v>52.292</v>
      </c>
      <c r="J3" s="2">
        <v>54.1</v>
      </c>
      <c r="K3" s="2">
        <v>55.81</v>
      </c>
      <c r="L3" s="2">
        <v>57.308</v>
      </c>
      <c r="M3" s="2">
        <v>58.7</v>
      </c>
      <c r="N3" s="2">
        <v>60.962</v>
      </c>
      <c r="O3" s="2">
        <v>62.2</v>
      </c>
      <c r="P3" s="2">
        <v>63.7</v>
      </c>
      <c r="Q3" s="2">
        <v>65.7</v>
      </c>
      <c r="R3" s="2">
        <v>70.052</v>
      </c>
      <c r="S3" s="2">
        <v>71.367</v>
      </c>
      <c r="T3" s="2">
        <v>72.882</v>
      </c>
      <c r="U3" s="2">
        <v>74.9</v>
      </c>
      <c r="V3" s="2">
        <v>77.009</v>
      </c>
      <c r="W3" s="2">
        <v>78.232</v>
      </c>
      <c r="X3" s="2">
        <v>79.6</v>
      </c>
      <c r="Y3" s="2">
        <v>81.596</v>
      </c>
      <c r="Z3" s="2">
        <v>85.12</v>
      </c>
      <c r="AA3" s="2">
        <v>86.987</v>
      </c>
      <c r="AB3" s="2">
        <v>90.13</v>
      </c>
      <c r="AC3" s="2">
        <v>92.761</v>
      </c>
      <c r="AD3" s="2">
        <v>95.536</v>
      </c>
      <c r="AE3" s="2">
        <f>97.519</f>
        <v>97.519</v>
      </c>
      <c r="AF3" s="2">
        <v>98.615</v>
      </c>
      <c r="AG3" s="2">
        <v>100.738</v>
      </c>
      <c r="AH3" s="2">
        <v>103.247</v>
      </c>
      <c r="AI3" s="2">
        <v>103.94</v>
      </c>
      <c r="AJ3" s="2">
        <v>105.206</v>
      </c>
      <c r="AK3" s="2">
        <v>105.871</v>
      </c>
      <c r="AL3" s="2">
        <v>106.957</v>
      </c>
      <c r="AM3" s="2">
        <v>107.251</v>
      </c>
      <c r="AN3" s="2">
        <v>107.883</v>
      </c>
      <c r="AO3" s="2">
        <v>109.46</v>
      </c>
      <c r="AP3" s="2">
        <v>110.376</v>
      </c>
      <c r="AQ3" s="2">
        <v>116.014</v>
      </c>
      <c r="AR3" s="2">
        <v>116.634</v>
      </c>
      <c r="AS3" s="2">
        <v>118.65</v>
      </c>
      <c r="AT3" s="2">
        <v>120.554</v>
      </c>
      <c r="AU3" s="2">
        <v>121.772</v>
      </c>
      <c r="AV3" s="2">
        <v>123.902</v>
      </c>
      <c r="AW3" s="2">
        <f>54.845+71.561</f>
        <v>126.406</v>
      </c>
      <c r="AX3" s="2">
        <f>73.659+54.981</f>
        <v>128.64000000000001</v>
      </c>
      <c r="AY3" s="2">
        <f>128.64+1.781</f>
        <v>130.421</v>
      </c>
      <c r="AZ3" s="2">
        <v>11.3</v>
      </c>
    </row>
    <row r="4" spans="1:52" s="2" customFormat="1" ht="12.75">
      <c r="A4" s="45" t="s">
        <v>529</v>
      </c>
      <c r="B4" s="2" t="s">
        <v>530</v>
      </c>
      <c r="C4" s="2">
        <f>AY4</f>
        <v>58.806</v>
      </c>
      <c r="D4" s="2">
        <v>22.2</v>
      </c>
      <c r="E4" s="2">
        <v>23.178</v>
      </c>
      <c r="F4" s="2">
        <v>24.76</v>
      </c>
      <c r="G4" s="2">
        <v>26</v>
      </c>
      <c r="H4" s="2">
        <v>26.6</v>
      </c>
      <c r="I4" s="2">
        <v>45.6</v>
      </c>
      <c r="J4" s="2">
        <v>47.6</v>
      </c>
      <c r="K4" s="2">
        <v>48.868</v>
      </c>
      <c r="L4" s="2">
        <v>51.664</v>
      </c>
      <c r="M4" s="2">
        <v>51.9</v>
      </c>
      <c r="N4" s="2">
        <v>53.1</v>
      </c>
      <c r="O4" s="2">
        <v>53.642</v>
      </c>
      <c r="P4" s="2">
        <v>54.015</v>
      </c>
      <c r="Q4" s="2">
        <v>53.955</v>
      </c>
      <c r="R4" s="2">
        <v>53.847</v>
      </c>
      <c r="S4" s="2">
        <v>52.8</v>
      </c>
      <c r="T4" s="2">
        <v>51.9</v>
      </c>
      <c r="U4" s="2">
        <f>51.859-0.883</f>
        <v>50.976</v>
      </c>
      <c r="V4" s="2">
        <v>49.3</v>
      </c>
      <c r="W4" s="2">
        <v>49.1</v>
      </c>
      <c r="X4" s="2">
        <f>34.437+5.048+9.341</f>
        <v>48.826</v>
      </c>
      <c r="Y4" s="2">
        <v>48.3</v>
      </c>
      <c r="Z4" s="2">
        <v>48.133</v>
      </c>
      <c r="AA4" s="2">
        <v>48.058</v>
      </c>
      <c r="AB4" s="2">
        <v>48.169</v>
      </c>
      <c r="AC4" s="2">
        <v>48.813</v>
      </c>
      <c r="AD4" s="2">
        <v>49.91</v>
      </c>
      <c r="AE4" s="2">
        <v>51.031</v>
      </c>
      <c r="AF4" s="2">
        <v>52.123</v>
      </c>
      <c r="AG4" s="2">
        <v>53.399</v>
      </c>
      <c r="AH4" s="2">
        <v>55.021</v>
      </c>
      <c r="AI4" s="2">
        <v>56.103</v>
      </c>
      <c r="AJ4" s="2">
        <v>56.386</v>
      </c>
      <c r="AK4" s="2">
        <v>55.963</v>
      </c>
      <c r="AL4" s="2">
        <v>55.626</v>
      </c>
      <c r="AM4" s="2">
        <v>55.211</v>
      </c>
      <c r="AN4" s="2">
        <v>53.588</v>
      </c>
      <c r="AO4" s="2">
        <v>54.877</v>
      </c>
      <c r="AP4" s="2">
        <v>55.354</v>
      </c>
      <c r="AQ4" s="2">
        <v>54.887</v>
      </c>
      <c r="AR4" s="2">
        <v>54.553</v>
      </c>
      <c r="AS4" s="2">
        <v>55.037</v>
      </c>
      <c r="AT4" s="2">
        <v>55.929</v>
      </c>
      <c r="AU4" s="2">
        <v>57.141</v>
      </c>
      <c r="AV4" s="2">
        <v>56.812</v>
      </c>
      <c r="AW4" s="2">
        <v>58.578</v>
      </c>
      <c r="AX4" s="2">
        <v>58.359</v>
      </c>
      <c r="AY4" s="2">
        <v>58.806</v>
      </c>
      <c r="AZ4" s="2">
        <v>6.5</v>
      </c>
    </row>
    <row r="5" spans="1:51" s="2" customFormat="1" ht="12.75">
      <c r="A5" s="45" t="s">
        <v>531</v>
      </c>
      <c r="B5" s="2" t="s">
        <v>532</v>
      </c>
      <c r="C5" s="2">
        <f>AY5</f>
        <v>4.926</v>
      </c>
      <c r="D5" s="2">
        <v>4.684</v>
      </c>
      <c r="E5" s="2">
        <v>4.828</v>
      </c>
      <c r="F5" s="2">
        <v>4.945</v>
      </c>
      <c r="G5" s="2">
        <v>5.1</v>
      </c>
      <c r="H5" s="2">
        <v>5.2</v>
      </c>
      <c r="I5" s="2">
        <v>5.3</v>
      </c>
      <c r="K5" s="2">
        <v>5.482</v>
      </c>
      <c r="L5" s="2">
        <v>5.633</v>
      </c>
      <c r="M5" s="2">
        <v>5.704</v>
      </c>
      <c r="P5" s="2">
        <v>6.01</v>
      </c>
      <c r="Q5" s="2">
        <v>6.067</v>
      </c>
      <c r="R5" s="2">
        <v>6.122</v>
      </c>
      <c r="T5" s="2">
        <v>6.14</v>
      </c>
      <c r="U5" s="2">
        <v>6.176</v>
      </c>
      <c r="V5" s="2">
        <v>6.196</v>
      </c>
      <c r="W5" s="2">
        <v>6.243</v>
      </c>
      <c r="X5" s="2">
        <v>6.155</v>
      </c>
      <c r="Y5" s="2">
        <v>6.131</v>
      </c>
      <c r="Z5" s="2">
        <v>6.141</v>
      </c>
      <c r="AA5" s="2">
        <v>6.147</v>
      </c>
      <c r="AC5" s="2">
        <v>6.1</v>
      </c>
      <c r="AD5" s="2">
        <v>6.072</v>
      </c>
      <c r="AF5" s="2">
        <v>5.968</v>
      </c>
      <c r="AG5" s="2">
        <v>5.945</v>
      </c>
      <c r="AH5" s="2">
        <v>5.891</v>
      </c>
      <c r="AI5" s="2">
        <v>5.837</v>
      </c>
      <c r="AJ5" s="2">
        <v>5.799</v>
      </c>
      <c r="AK5" s="2">
        <v>5.808</v>
      </c>
      <c r="AL5" s="2">
        <v>5.798</v>
      </c>
      <c r="AM5" s="2">
        <v>5.736</v>
      </c>
      <c r="AN5" s="2">
        <v>4.968</v>
      </c>
      <c r="AP5" s="2">
        <v>4.774</v>
      </c>
      <c r="AQ5" s="2">
        <v>4.684</v>
      </c>
      <c r="AR5" s="2">
        <v>4.6530000000000005</v>
      </c>
      <c r="AS5" s="2">
        <v>4.674</v>
      </c>
      <c r="AT5" s="2">
        <v>4.76</v>
      </c>
      <c r="AU5" s="2">
        <v>4.775</v>
      </c>
      <c r="AV5" s="2">
        <v>4.779</v>
      </c>
      <c r="AW5" s="2">
        <v>4.807</v>
      </c>
      <c r="AX5" s="2">
        <v>4.876</v>
      </c>
      <c r="AY5" s="2">
        <v>4.926</v>
      </c>
    </row>
    <row r="6" spans="1:22" s="2" customFormat="1" ht="12.75">
      <c r="A6" s="45" t="s">
        <v>533</v>
      </c>
      <c r="B6" s="2" t="s">
        <v>534</v>
      </c>
      <c r="D6" s="2">
        <v>8.336</v>
      </c>
      <c r="E6" s="2">
        <f>D6+0.058</f>
        <v>8.394</v>
      </c>
      <c r="F6" s="2">
        <v>8.626</v>
      </c>
      <c r="G6" s="2">
        <v>8.8</v>
      </c>
      <c r="H6" s="2">
        <v>9.067</v>
      </c>
      <c r="I6" s="2">
        <v>10.424</v>
      </c>
      <c r="J6" s="2">
        <v>10.662</v>
      </c>
      <c r="K6" s="2">
        <v>10.827</v>
      </c>
      <c r="L6" s="2">
        <v>10.973</v>
      </c>
      <c r="M6" s="2">
        <v>11.162</v>
      </c>
      <c r="N6" s="2">
        <v>11.823</v>
      </c>
      <c r="O6" s="2">
        <v>11.94</v>
      </c>
      <c r="P6" s="2">
        <v>12.121</v>
      </c>
      <c r="Q6" s="2">
        <v>12.447</v>
      </c>
      <c r="U6" s="2">
        <v>13.8</v>
      </c>
      <c r="V6" s="2" t="s">
        <v>535</v>
      </c>
    </row>
    <row r="7" spans="1:51" s="2" customFormat="1" ht="12.75">
      <c r="A7" s="45" t="s">
        <v>536</v>
      </c>
      <c r="B7" s="2" t="s">
        <v>473</v>
      </c>
      <c r="C7" s="2">
        <f>AY7</f>
        <v>65.503</v>
      </c>
      <c r="D7" s="2">
        <v>15.4</v>
      </c>
      <c r="E7" s="2">
        <v>16.295</v>
      </c>
      <c r="F7" s="2">
        <v>17.314</v>
      </c>
      <c r="G7" s="2">
        <v>18.271</v>
      </c>
      <c r="H7" s="2">
        <v>19.244</v>
      </c>
      <c r="I7" s="2">
        <v>20</v>
      </c>
      <c r="J7" s="2">
        <v>21.69</v>
      </c>
      <c r="K7" s="2">
        <v>22.725</v>
      </c>
      <c r="L7" s="2">
        <v>23.338</v>
      </c>
      <c r="M7" s="2">
        <v>24.139</v>
      </c>
      <c r="N7" s="2">
        <v>25.041</v>
      </c>
      <c r="O7" s="2">
        <v>26.02</v>
      </c>
      <c r="P7" s="2">
        <v>26.877</v>
      </c>
      <c r="Q7" s="2">
        <v>27.734</v>
      </c>
      <c r="R7" s="2">
        <v>28.685</v>
      </c>
      <c r="S7" s="2">
        <v>30.798000000000002</v>
      </c>
      <c r="T7" s="2">
        <v>31.5</v>
      </c>
      <c r="U7" s="2">
        <v>32.136</v>
      </c>
      <c r="V7" s="2">
        <v>32.758</v>
      </c>
      <c r="W7" s="2">
        <v>33.173</v>
      </c>
      <c r="X7" s="2">
        <v>33.497</v>
      </c>
      <c r="Y7" s="2">
        <v>33.42</v>
      </c>
      <c r="Z7" s="2">
        <v>33.79</v>
      </c>
      <c r="AA7" s="2">
        <v>33.7</v>
      </c>
      <c r="AB7" s="2">
        <v>33.62</v>
      </c>
      <c r="AC7" s="2">
        <v>33.757</v>
      </c>
      <c r="AD7" s="2">
        <v>33.734</v>
      </c>
      <c r="AE7" s="2">
        <v>33.636</v>
      </c>
      <c r="AF7" s="2">
        <v>33.585</v>
      </c>
      <c r="AG7" s="2">
        <v>33.711</v>
      </c>
      <c r="AH7" s="2">
        <v>33.185</v>
      </c>
      <c r="AI7" s="2">
        <v>33.373</v>
      </c>
      <c r="AJ7" s="2">
        <v>33.168</v>
      </c>
      <c r="AK7" s="2">
        <v>33.327</v>
      </c>
      <c r="AL7" s="2">
        <v>33.389</v>
      </c>
      <c r="AM7" s="2">
        <v>33.968</v>
      </c>
      <c r="AN7" s="2">
        <v>44.016</v>
      </c>
      <c r="AO7" s="2">
        <v>45.039</v>
      </c>
      <c r="AP7" s="2">
        <v>46.684</v>
      </c>
      <c r="AQ7" s="2">
        <v>49.075</v>
      </c>
      <c r="AR7" s="2">
        <v>50.545</v>
      </c>
      <c r="AS7" s="2">
        <v>52.89</v>
      </c>
      <c r="AT7" s="2">
        <v>55.018</v>
      </c>
      <c r="AU7" s="2">
        <v>56.836</v>
      </c>
      <c r="AV7" s="2">
        <v>58.908</v>
      </c>
      <c r="AW7" s="2">
        <v>61.22</v>
      </c>
      <c r="AX7" s="2">
        <v>63.282</v>
      </c>
      <c r="AY7" s="2">
        <v>65.503</v>
      </c>
    </row>
    <row r="8" spans="1:24" s="2" customFormat="1" ht="12.75">
      <c r="A8" s="45" t="s">
        <v>537</v>
      </c>
      <c r="B8" s="2" t="s">
        <v>538</v>
      </c>
      <c r="E8" s="2">
        <v>1.8</v>
      </c>
      <c r="F8" s="2">
        <v>2.8</v>
      </c>
      <c r="G8" s="2">
        <v>3</v>
      </c>
      <c r="J8" s="2">
        <v>4</v>
      </c>
      <c r="M8" s="2">
        <v>4.6</v>
      </c>
      <c r="O8" s="2">
        <v>4.88</v>
      </c>
      <c r="Q8" s="2">
        <v>4.89</v>
      </c>
      <c r="R8" s="2">
        <v>5.1</v>
      </c>
      <c r="S8" s="2">
        <v>5.117</v>
      </c>
      <c r="T8" s="2">
        <v>4.992</v>
      </c>
      <c r="U8" s="2">
        <v>5.2</v>
      </c>
      <c r="V8" s="2">
        <v>5.4</v>
      </c>
      <c r="W8" s="2">
        <v>5.2</v>
      </c>
      <c r="X8" s="2">
        <v>5</v>
      </c>
    </row>
    <row r="9" spans="1:8" s="2" customFormat="1" ht="12.75">
      <c r="A9" s="45" t="s">
        <v>539</v>
      </c>
      <c r="E9" s="2">
        <v>1.358</v>
      </c>
      <c r="F9" s="2">
        <v>1.3980000000000001</v>
      </c>
      <c r="G9" s="2">
        <v>1.454</v>
      </c>
      <c r="H9" s="2" t="s">
        <v>540</v>
      </c>
    </row>
    <row r="10" spans="1:41" s="2" customFormat="1" ht="12.75">
      <c r="A10" s="45" t="s">
        <v>541</v>
      </c>
      <c r="B10" s="2" t="s">
        <v>542</v>
      </c>
      <c r="D10" s="2">
        <v>1.5470000000000002</v>
      </c>
      <c r="E10" s="2">
        <v>1.5390000000000001</v>
      </c>
      <c r="F10" s="2">
        <v>1.5710000000000002</v>
      </c>
      <c r="G10" s="2">
        <v>1.617</v>
      </c>
      <c r="H10" s="2">
        <v>1.62</v>
      </c>
      <c r="I10" s="2">
        <v>1.643</v>
      </c>
      <c r="K10" s="2">
        <v>2</v>
      </c>
      <c r="M10" s="2">
        <v>1.967</v>
      </c>
      <c r="O10" s="2">
        <v>2.548</v>
      </c>
      <c r="R10" s="2">
        <v>2.864</v>
      </c>
      <c r="T10" s="2">
        <v>3.305</v>
      </c>
      <c r="U10" s="2">
        <v>3.46</v>
      </c>
      <c r="V10" s="2">
        <v>3.844</v>
      </c>
      <c r="W10" s="2">
        <v>4</v>
      </c>
      <c r="Z10" s="2">
        <v>4.954</v>
      </c>
      <c r="AA10" s="2">
        <v>5.399</v>
      </c>
      <c r="AB10" s="2">
        <v>5.287</v>
      </c>
      <c r="AC10" s="2">
        <v>5.088</v>
      </c>
      <c r="AD10" s="2">
        <v>5.518</v>
      </c>
      <c r="AF10" s="2">
        <v>5.745</v>
      </c>
      <c r="AG10" s="2">
        <v>5.755</v>
      </c>
      <c r="AI10" s="2">
        <v>6.19</v>
      </c>
      <c r="AJ10" s="2">
        <v>5.902</v>
      </c>
      <c r="AK10" s="2">
        <f>5.902-0.269</f>
        <v>5.633</v>
      </c>
      <c r="AL10" s="2">
        <f>5.633-0.337</f>
        <v>5.296</v>
      </c>
      <c r="AM10" s="2">
        <v>5.203</v>
      </c>
      <c r="AN10" s="2">
        <v>4.831</v>
      </c>
      <c r="AO10" s="2">
        <f>4.831-0.196</f>
        <v>4.635000000000001</v>
      </c>
    </row>
    <row r="11" spans="1:39" s="2" customFormat="1" ht="12.75">
      <c r="A11" s="45" t="s">
        <v>543</v>
      </c>
      <c r="B11" s="2" t="s">
        <v>544</v>
      </c>
      <c r="G11" s="2">
        <v>1.5</v>
      </c>
      <c r="M11" s="2">
        <v>2</v>
      </c>
      <c r="N11" s="2">
        <v>2.9</v>
      </c>
      <c r="O11" s="2">
        <v>3.4</v>
      </c>
      <c r="R11" s="2">
        <v>3.94</v>
      </c>
      <c r="S11" s="2">
        <v>4.4</v>
      </c>
      <c r="T11" s="2">
        <v>4.6</v>
      </c>
      <c r="U11" s="2">
        <v>4.8</v>
      </c>
      <c r="V11" s="2">
        <v>5.4</v>
      </c>
      <c r="W11" s="2">
        <v>6.05</v>
      </c>
      <c r="Y11" s="2">
        <f>5.655+0.666</f>
        <v>6.321000000000001</v>
      </c>
      <c r="Z11" s="2">
        <v>6.638</v>
      </c>
      <c r="AA11" s="2">
        <v>7.331</v>
      </c>
      <c r="AB11" s="2">
        <v>7.634</v>
      </c>
      <c r="AC11" s="2">
        <v>7.857</v>
      </c>
      <c r="AD11" s="2">
        <v>8.154</v>
      </c>
      <c r="AE11" s="2">
        <v>8.881</v>
      </c>
      <c r="AF11" s="2">
        <v>9.079</v>
      </c>
      <c r="AG11" s="2">
        <v>9.149</v>
      </c>
      <c r="AH11" s="2">
        <v>9.346</v>
      </c>
      <c r="AI11" s="2">
        <v>9.477</v>
      </c>
      <c r="AJ11" s="2">
        <v>9.292</v>
      </c>
      <c r="AK11" s="2">
        <v>8.979</v>
      </c>
      <c r="AL11" s="2">
        <v>8.886</v>
      </c>
      <c r="AM11" s="2">
        <v>8.995</v>
      </c>
    </row>
    <row r="12" spans="1:51" s="2" customFormat="1" ht="12.75">
      <c r="A12" s="45" t="s">
        <v>468</v>
      </c>
      <c r="C12" s="2">
        <f>AY12</f>
        <v>25.211</v>
      </c>
      <c r="AB12" s="2">
        <v>15.912</v>
      </c>
      <c r="AF12" s="2">
        <v>18.754</v>
      </c>
      <c r="AG12" s="2">
        <v>19.269</v>
      </c>
      <c r="AH12" s="2">
        <v>19.762</v>
      </c>
      <c r="AI12" s="2">
        <v>20.131</v>
      </c>
      <c r="AJ12" s="2">
        <v>21.337</v>
      </c>
      <c r="AK12" s="2">
        <v>21.639</v>
      </c>
      <c r="AL12" s="2">
        <v>22.392</v>
      </c>
      <c r="AM12" s="2">
        <v>23.23</v>
      </c>
      <c r="AN12" s="2">
        <v>23.038</v>
      </c>
      <c r="AO12" s="2">
        <v>23.043</v>
      </c>
      <c r="AP12" s="2">
        <v>23.659</v>
      </c>
      <c r="AQ12" s="2">
        <v>25.511</v>
      </c>
      <c r="AR12" s="2">
        <v>25.519</v>
      </c>
      <c r="AS12" s="2">
        <v>25.904</v>
      </c>
      <c r="AT12" s="2">
        <v>26.006</v>
      </c>
      <c r="AU12" s="2">
        <v>25.688</v>
      </c>
      <c r="AV12" s="2">
        <v>25.713</v>
      </c>
      <c r="AW12" s="2">
        <v>25.726</v>
      </c>
      <c r="AX12" s="2">
        <v>25.668</v>
      </c>
      <c r="AY12" s="2">
        <v>25.211</v>
      </c>
    </row>
    <row r="13" spans="3:25" s="2" customFormat="1" ht="12.75">
      <c r="C13" s="2">
        <f>SUM(C2:C12)</f>
        <v>397.43999999999994</v>
      </c>
      <c r="U13" s="2">
        <f>SUM(U2:U11)</f>
        <v>262.248</v>
      </c>
      <c r="Y13" s="2">
        <f>SUM(Y2:Y11)</f>
        <v>264.781</v>
      </c>
    </row>
    <row r="14" spans="1:54" s="2" customFormat="1" ht="12.75">
      <c r="A14" s="49" t="s">
        <v>545</v>
      </c>
      <c r="BA14" s="170"/>
      <c r="BB14" s="170"/>
    </row>
    <row r="15" ht="12.75">
      <c r="A15" s="49" t="s">
        <v>546</v>
      </c>
    </row>
    <row r="16" spans="1:11" ht="12.75">
      <c r="A16" s="49" t="s">
        <v>547</v>
      </c>
      <c r="C16" s="40"/>
      <c r="K16" t="s">
        <v>548</v>
      </c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="95" zoomScaleNormal="9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3" sqref="B33"/>
    </sheetView>
  </sheetViews>
  <sheetFormatPr defaultColWidth="9.140625" defaultRowHeight="12.75"/>
  <cols>
    <col min="1" max="1" width="17.00390625" style="1" customWidth="1"/>
    <col min="2" max="2" width="10.57421875" style="0" customWidth="1"/>
    <col min="3" max="3" width="19.421875" style="0" customWidth="1"/>
    <col min="4" max="4" width="7.28125" style="0" customWidth="1"/>
    <col min="5" max="5" width="13.140625" style="0" customWidth="1"/>
    <col min="6" max="6" width="7.28125" style="0" customWidth="1"/>
    <col min="7" max="7" width="10.7109375" style="0" customWidth="1"/>
    <col min="8" max="8" width="7.28125" style="0" customWidth="1"/>
    <col min="9" max="9" width="8.140625" style="0" customWidth="1"/>
  </cols>
  <sheetData>
    <row r="1" spans="1:10" s="169" customFormat="1" ht="12.75">
      <c r="A1" s="167" t="s">
        <v>0</v>
      </c>
      <c r="B1" s="169" t="str">
        <f>Carriers!$C$1</f>
        <v>POP Jul'15</v>
      </c>
      <c r="D1" s="169" t="s">
        <v>549</v>
      </c>
      <c r="F1" s="169" t="s">
        <v>549</v>
      </c>
      <c r="H1" s="169" t="s">
        <v>549</v>
      </c>
      <c r="J1" s="169" t="s">
        <v>549</v>
      </c>
    </row>
    <row r="2" spans="1:8" s="172" customFormat="1" ht="12.75">
      <c r="A2" s="171" t="s">
        <v>13</v>
      </c>
      <c r="B2" s="172">
        <f>Carriers!$C$2</f>
        <v>43.431</v>
      </c>
      <c r="C2" s="172" t="s">
        <v>550</v>
      </c>
      <c r="D2" s="172">
        <v>2.96</v>
      </c>
      <c r="E2" s="172" t="s">
        <v>551</v>
      </c>
      <c r="F2" s="172">
        <v>1.15</v>
      </c>
      <c r="G2" s="172" t="s">
        <v>552</v>
      </c>
      <c r="H2" s="172">
        <v>1.11</v>
      </c>
    </row>
    <row r="3" spans="1:10" s="172" customFormat="1" ht="12.75">
      <c r="A3" s="171" t="s">
        <v>14</v>
      </c>
      <c r="B3" s="172">
        <f>Carriers!$C$3</f>
        <v>22.751</v>
      </c>
      <c r="C3" s="172" t="s">
        <v>553</v>
      </c>
      <c r="D3" s="172">
        <v>3.713</v>
      </c>
      <c r="E3" s="172" t="s">
        <v>554</v>
      </c>
      <c r="F3" s="172">
        <v>3.19</v>
      </c>
      <c r="G3" s="172" t="s">
        <v>555</v>
      </c>
      <c r="H3" s="172">
        <v>1.42</v>
      </c>
      <c r="I3" s="172" t="s">
        <v>556</v>
      </c>
      <c r="J3" s="172">
        <v>1.07</v>
      </c>
    </row>
    <row r="4" spans="1:4" s="172" customFormat="1" ht="12.75">
      <c r="A4" s="171" t="s">
        <v>96</v>
      </c>
      <c r="B4" s="172">
        <f>Operators!$C$15</f>
        <v>8.665</v>
      </c>
      <c r="C4" s="172" t="s">
        <v>557</v>
      </c>
      <c r="D4" s="172">
        <v>1.56</v>
      </c>
    </row>
    <row r="5" spans="1:2" s="172" customFormat="1" ht="12.75">
      <c r="A5" s="171" t="s">
        <v>108</v>
      </c>
      <c r="B5" s="172">
        <f>Operators!$C$24</f>
        <v>11.323</v>
      </c>
    </row>
    <row r="6" spans="1:8" s="172" customFormat="1" ht="12.75">
      <c r="A6" s="171" t="s">
        <v>16</v>
      </c>
      <c r="B6" s="172">
        <f>Carriers!$C$5</f>
        <v>204.259</v>
      </c>
      <c r="C6" s="172" t="s">
        <v>558</v>
      </c>
      <c r="D6" s="172">
        <v>9.84</v>
      </c>
      <c r="E6" s="172" t="s">
        <v>559</v>
      </c>
      <c r="F6" s="172">
        <v>5.54</v>
      </c>
      <c r="G6" s="172" t="s">
        <v>560</v>
      </c>
      <c r="H6" s="172">
        <v>2.17</v>
      </c>
    </row>
    <row r="7" spans="1:8" s="172" customFormat="1" ht="12.75">
      <c r="A7" s="171" t="s">
        <v>17</v>
      </c>
      <c r="B7" s="172">
        <f>Carriers!$C$6</f>
        <v>35.099</v>
      </c>
      <c r="C7" s="172" t="s">
        <v>561</v>
      </c>
      <c r="D7" s="172">
        <v>4.28</v>
      </c>
      <c r="E7" s="172" t="s">
        <v>562</v>
      </c>
      <c r="F7" s="172">
        <v>3.32</v>
      </c>
      <c r="G7" s="172" t="s">
        <v>563</v>
      </c>
      <c r="H7" s="172">
        <v>1.77</v>
      </c>
    </row>
    <row r="8" spans="1:2" s="172" customFormat="1" ht="12.75">
      <c r="A8" s="171" t="s">
        <v>148</v>
      </c>
      <c r="B8" s="172">
        <f>Operators!$C$46</f>
        <v>7.141</v>
      </c>
    </row>
    <row r="9" spans="1:8" s="172" customFormat="1" ht="12.75">
      <c r="A9" s="171" t="s">
        <v>18</v>
      </c>
      <c r="B9" s="172">
        <f>Carriers!$C$7</f>
        <v>1367.485</v>
      </c>
      <c r="C9" s="172" t="s">
        <v>564</v>
      </c>
      <c r="D9" s="172">
        <v>8.2</v>
      </c>
      <c r="E9" s="172" t="s">
        <v>565</v>
      </c>
      <c r="F9" s="172">
        <v>7.36</v>
      </c>
      <c r="G9" s="172" t="s">
        <v>566</v>
      </c>
      <c r="H9" s="172">
        <v>5.8</v>
      </c>
    </row>
    <row r="10" spans="1:3" s="172" customFormat="1" ht="12.75">
      <c r="A10" s="171" t="s">
        <v>165</v>
      </c>
      <c r="B10" s="172" t="e">
        <f>Carriers!#REF!</f>
        <v>#REF!</v>
      </c>
      <c r="C10" s="172" t="s">
        <v>567</v>
      </c>
    </row>
    <row r="11" spans="1:4" s="172" customFormat="1" ht="12.75">
      <c r="A11" s="171" t="s">
        <v>183</v>
      </c>
      <c r="B11" s="172">
        <f>POPS!$C$47</f>
        <v>5.5809999999999995</v>
      </c>
      <c r="C11" s="172" t="s">
        <v>568</v>
      </c>
      <c r="D11" s="172">
        <v>1.35</v>
      </c>
    </row>
    <row r="12" spans="1:4" s="172" customFormat="1" ht="12.75">
      <c r="A12" s="171" t="s">
        <v>196</v>
      </c>
      <c r="B12" s="172">
        <f>POPS!$C$59</f>
        <v>5.476</v>
      </c>
      <c r="C12" s="172" t="s">
        <v>569</v>
      </c>
      <c r="D12" s="172">
        <v>1.01</v>
      </c>
    </row>
    <row r="13" spans="1:8" s="172" customFormat="1" ht="12.75">
      <c r="A13" s="171" t="s">
        <v>21</v>
      </c>
      <c r="B13" s="172">
        <f>Carriers!$C$10</f>
        <v>66.553</v>
      </c>
      <c r="C13" s="172" t="s">
        <v>570</v>
      </c>
      <c r="D13" s="172">
        <v>9.32</v>
      </c>
      <c r="E13" s="172" t="s">
        <v>571</v>
      </c>
      <c r="F13" s="172">
        <v>1.26</v>
      </c>
      <c r="G13" s="172" t="s">
        <v>572</v>
      </c>
      <c r="H13" s="172">
        <v>1.23</v>
      </c>
    </row>
    <row r="14" spans="1:8" s="172" customFormat="1" ht="12.75">
      <c r="A14" s="171" t="s">
        <v>22</v>
      </c>
      <c r="B14" s="172">
        <f>Carriers!$C$11</f>
        <v>80.854</v>
      </c>
      <c r="C14" s="172" t="s">
        <v>573</v>
      </c>
      <c r="D14" s="172">
        <v>3.47</v>
      </c>
      <c r="E14" s="172" t="s">
        <v>574</v>
      </c>
      <c r="F14" s="172">
        <v>1.7000000000000002</v>
      </c>
      <c r="G14" s="172" t="s">
        <v>575</v>
      </c>
      <c r="H14" s="172">
        <v>1.24</v>
      </c>
    </row>
    <row r="15" spans="1:8" s="172" customFormat="1" ht="12.75">
      <c r="A15" s="171" t="s">
        <v>23</v>
      </c>
      <c r="B15" s="172">
        <f>Carriers!$C$12</f>
        <v>1251.695</v>
      </c>
      <c r="C15" s="172" t="s">
        <v>576</v>
      </c>
      <c r="D15" s="172">
        <v>12.6</v>
      </c>
      <c r="E15" s="172" t="s">
        <v>577</v>
      </c>
      <c r="F15" s="172">
        <v>11</v>
      </c>
      <c r="G15" s="172" t="s">
        <v>578</v>
      </c>
      <c r="H15" s="172">
        <v>8.41</v>
      </c>
    </row>
    <row r="16" spans="1:8" s="172" customFormat="1" ht="12.75">
      <c r="A16" s="171" t="s">
        <v>24</v>
      </c>
      <c r="B16" s="172">
        <f>Carriers!$C$13</f>
        <v>255.993</v>
      </c>
      <c r="C16" s="172" t="s">
        <v>579</v>
      </c>
      <c r="D16" s="172">
        <v>9.16</v>
      </c>
      <c r="E16" s="172" t="s">
        <v>580</v>
      </c>
      <c r="F16" s="172">
        <v>2.7</v>
      </c>
      <c r="G16" s="173" t="s">
        <v>581</v>
      </c>
      <c r="H16" s="172">
        <v>2.37</v>
      </c>
    </row>
    <row r="17" spans="1:4" s="172" customFormat="1" ht="12.75">
      <c r="A17" s="171" t="s">
        <v>261</v>
      </c>
      <c r="B17" s="172">
        <f>Operators!$C$120</f>
        <v>8.049</v>
      </c>
      <c r="C17" s="172" t="s">
        <v>582</v>
      </c>
      <c r="D17" s="172">
        <v>1.88</v>
      </c>
    </row>
    <row r="18" spans="1:8" s="172" customFormat="1" ht="12.75">
      <c r="A18" s="171" t="s">
        <v>25</v>
      </c>
      <c r="B18" s="172">
        <f>Carriers!$C$14</f>
        <v>61.855</v>
      </c>
      <c r="C18" s="172" t="s">
        <v>583</v>
      </c>
      <c r="D18" s="172">
        <v>2.69</v>
      </c>
      <c r="E18" s="172" t="s">
        <v>584</v>
      </c>
      <c r="F18" s="172">
        <v>1.37</v>
      </c>
      <c r="G18" s="172" t="s">
        <v>585</v>
      </c>
      <c r="H18" s="172">
        <v>1.05</v>
      </c>
    </row>
    <row r="19" spans="1:8" s="172" customFormat="1" ht="12.75">
      <c r="A19" s="171" t="s">
        <v>26</v>
      </c>
      <c r="B19" s="172">
        <f>Carriers!$C$15</f>
        <v>126.919</v>
      </c>
      <c r="C19" s="172" t="s">
        <v>586</v>
      </c>
      <c r="D19" s="172">
        <v>11.92</v>
      </c>
      <c r="E19" s="172" t="s">
        <v>587</v>
      </c>
      <c r="F19" s="172">
        <v>3.3</v>
      </c>
      <c r="G19" s="172" t="s">
        <v>588</v>
      </c>
      <c r="H19" s="172">
        <v>2.57</v>
      </c>
    </row>
    <row r="20" spans="1:8" s="172" customFormat="1" ht="12.75">
      <c r="A20" s="171" t="s">
        <v>27</v>
      </c>
      <c r="B20" s="172">
        <f>Carriers!$C$16</f>
        <v>49.115</v>
      </c>
      <c r="C20" s="172" t="s">
        <v>589</v>
      </c>
      <c r="D20" s="172">
        <v>10.77</v>
      </c>
      <c r="E20" s="172" t="s">
        <v>590</v>
      </c>
      <c r="F20" s="172">
        <v>3.8</v>
      </c>
      <c r="G20" s="172" t="s">
        <v>591</v>
      </c>
      <c r="H20" s="172">
        <v>2.25</v>
      </c>
    </row>
    <row r="21" spans="1:4" s="172" customFormat="1" ht="12.75">
      <c r="A21" s="171" t="s">
        <v>28</v>
      </c>
      <c r="B21" s="172">
        <f>Carriers!$C$17</f>
        <v>30.513</v>
      </c>
      <c r="C21" s="172" t="s">
        <v>592</v>
      </c>
      <c r="D21" s="172">
        <v>1.1400000000000001</v>
      </c>
    </row>
    <row r="22" spans="1:8" s="172" customFormat="1" ht="12.75">
      <c r="A22" s="171" t="s">
        <v>29</v>
      </c>
      <c r="B22" s="172">
        <f>Carriers!$C$18</f>
        <v>121.736</v>
      </c>
      <c r="C22" s="172" t="s">
        <v>593</v>
      </c>
      <c r="D22" s="172">
        <v>15.04</v>
      </c>
      <c r="E22" s="172" t="s">
        <v>594</v>
      </c>
      <c r="F22" s="172">
        <v>2.87</v>
      </c>
      <c r="G22" s="172" t="s">
        <v>595</v>
      </c>
      <c r="H22" s="172">
        <v>2.56</v>
      </c>
    </row>
    <row r="23" spans="1:6" s="172" customFormat="1" ht="12.75">
      <c r="A23" s="171" t="s">
        <v>304</v>
      </c>
      <c r="B23" s="172">
        <f>Operators!$C$152</f>
        <v>16.947</v>
      </c>
      <c r="C23" s="172" t="s">
        <v>596</v>
      </c>
      <c r="D23" s="172">
        <v>1.1</v>
      </c>
      <c r="E23" s="172" t="s">
        <v>597</v>
      </c>
      <c r="F23" s="172">
        <v>1.07</v>
      </c>
    </row>
    <row r="24" spans="1:6" s="172" customFormat="1" ht="12.75">
      <c r="A24" s="171" t="s">
        <v>32</v>
      </c>
      <c r="B24" s="172">
        <f>Carriers!$C$19</f>
        <v>181.562</v>
      </c>
      <c r="C24" s="172" t="s">
        <v>598</v>
      </c>
      <c r="D24" s="172">
        <v>8.59</v>
      </c>
      <c r="E24" s="172" t="s">
        <v>599</v>
      </c>
      <c r="F24" s="172">
        <v>1.67</v>
      </c>
    </row>
    <row r="25" spans="1:4" s="172" customFormat="1" ht="12.75">
      <c r="A25" s="171" t="s">
        <v>33</v>
      </c>
      <c r="B25" s="172">
        <f>Carriers!$C$22</f>
        <v>38.562</v>
      </c>
      <c r="C25" s="172" t="s">
        <v>600</v>
      </c>
      <c r="D25" s="172">
        <v>1.64</v>
      </c>
    </row>
    <row r="26" spans="1:8" s="172" customFormat="1" ht="12.75">
      <c r="A26" s="171" t="s">
        <v>34</v>
      </c>
      <c r="B26" s="172">
        <f>Carriers!$C$23</f>
        <v>142.423</v>
      </c>
      <c r="C26" s="172" t="s">
        <v>601</v>
      </c>
      <c r="D26" s="172">
        <v>8.66</v>
      </c>
      <c r="E26" s="172" t="s">
        <v>602</v>
      </c>
      <c r="F26" s="172">
        <v>4.83</v>
      </c>
      <c r="G26" s="172" t="s">
        <v>603</v>
      </c>
      <c r="H26" s="172">
        <v>1.4</v>
      </c>
    </row>
    <row r="27" spans="1:4" s="172" customFormat="1" ht="12.75">
      <c r="A27" s="171" t="s">
        <v>358</v>
      </c>
      <c r="B27" s="172">
        <f>Carriers!$C$24</f>
        <v>27.752</v>
      </c>
      <c r="C27" s="172" t="s">
        <v>604</v>
      </c>
      <c r="D27" s="172">
        <v>2.98</v>
      </c>
    </row>
    <row r="28" spans="1:6" s="172" customFormat="1" ht="12.75">
      <c r="A28" s="171" t="s">
        <v>37</v>
      </c>
      <c r="B28" s="172">
        <f>Carriers!$C$26</f>
        <v>48.146</v>
      </c>
      <c r="C28" s="172" t="s">
        <v>605</v>
      </c>
      <c r="D28" s="172">
        <v>2.97</v>
      </c>
      <c r="E28" s="172" t="s">
        <v>606</v>
      </c>
      <c r="F28" s="172">
        <v>1.6</v>
      </c>
    </row>
    <row r="29" spans="1:3" s="172" customFormat="1" ht="12.75">
      <c r="A29" s="171" t="s">
        <v>376</v>
      </c>
      <c r="B29" s="172">
        <f>Operators!$C$211</f>
        <v>9.801</v>
      </c>
      <c r="C29" s="172" t="s">
        <v>607</v>
      </c>
    </row>
    <row r="30" spans="1:3" s="172" customFormat="1" ht="12.75">
      <c r="A30" s="171" t="s">
        <v>381</v>
      </c>
      <c r="B30" s="172">
        <f>Operators!$C$216</f>
        <v>8.121</v>
      </c>
      <c r="C30" s="172" t="s">
        <v>608</v>
      </c>
    </row>
    <row r="31" spans="1:4" s="172" customFormat="1" ht="12.75">
      <c r="A31" s="171" t="s">
        <v>38</v>
      </c>
      <c r="B31" s="172">
        <f>Operators!$C$219</f>
        <v>67.976</v>
      </c>
      <c r="C31" s="172" t="s">
        <v>609</v>
      </c>
      <c r="D31" s="172">
        <v>5.87</v>
      </c>
    </row>
    <row r="32" spans="1:6" s="172" customFormat="1" ht="12.75">
      <c r="A32" s="171" t="s">
        <v>40</v>
      </c>
      <c r="B32" s="172">
        <f>Carriers!$C$29</f>
        <v>64.088</v>
      </c>
      <c r="C32" s="172" t="s">
        <v>610</v>
      </c>
      <c r="D32" s="172">
        <v>6.96</v>
      </c>
      <c r="E32" s="173" t="s">
        <v>611</v>
      </c>
      <c r="F32" s="172">
        <v>1</v>
      </c>
    </row>
    <row r="33" spans="1:8" s="172" customFormat="1" ht="12.75">
      <c r="A33" s="171" t="s">
        <v>41</v>
      </c>
      <c r="B33" s="172">
        <f>Carriers!$C$30</f>
        <v>321.368</v>
      </c>
      <c r="C33" s="172" t="s">
        <v>612</v>
      </c>
      <c r="D33" s="172">
        <v>18</v>
      </c>
      <c r="E33" s="172" t="s">
        <v>613</v>
      </c>
      <c r="F33" s="172">
        <v>15</v>
      </c>
      <c r="G33" s="172" t="s">
        <v>614</v>
      </c>
      <c r="H33" s="172">
        <v>7.6</v>
      </c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83"/>
  <sheetViews>
    <sheetView zoomScale="95" zoomScaleNormal="9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73" sqref="F173"/>
    </sheetView>
  </sheetViews>
  <sheetFormatPr defaultColWidth="9.140625" defaultRowHeight="12.75"/>
  <cols>
    <col min="1" max="1" width="24.421875" style="1" customWidth="1"/>
    <col min="2" max="2" width="11.8515625" style="0" customWidth="1"/>
    <col min="3" max="3" width="9.140625" style="40" customWidth="1"/>
    <col min="4" max="4" width="9.8515625" style="40" customWidth="1"/>
    <col min="5" max="5" width="9.140625" style="40" customWidth="1"/>
    <col min="6" max="6" width="11.00390625" style="174" customWidth="1"/>
    <col min="7" max="7" width="12.28125" style="174" customWidth="1"/>
    <col min="8" max="8" width="9.140625" style="40" customWidth="1"/>
    <col min="9" max="9" width="14.7109375" style="0" customWidth="1"/>
    <col min="10" max="10" width="12.00390625" style="0" customWidth="1"/>
  </cols>
  <sheetData>
    <row r="1" spans="1:7" s="178" customFormat="1" ht="12.75">
      <c r="A1" s="3" t="s">
        <v>615</v>
      </c>
      <c r="B1" s="175">
        <v>41974</v>
      </c>
      <c r="C1" s="176" t="s">
        <v>616</v>
      </c>
      <c r="D1" s="176" t="s">
        <v>617</v>
      </c>
      <c r="E1" s="177" t="s">
        <v>618</v>
      </c>
      <c r="F1" s="178" t="s">
        <v>48</v>
      </c>
      <c r="G1" s="178" t="s">
        <v>619</v>
      </c>
    </row>
    <row r="2" spans="1:8" ht="12.75">
      <c r="A2" s="179" t="s">
        <v>620</v>
      </c>
      <c r="B2" t="s">
        <v>621</v>
      </c>
      <c r="E2" s="174"/>
      <c r="F2"/>
      <c r="G2"/>
      <c r="H2"/>
    </row>
    <row r="3" spans="1:8" ht="12.75">
      <c r="A3" s="1" t="s">
        <v>622</v>
      </c>
      <c r="C3" s="40">
        <v>32.516</v>
      </c>
      <c r="D3" s="40">
        <f>74</f>
        <v>74</v>
      </c>
      <c r="E3" s="174">
        <v>60.58</v>
      </c>
      <c r="F3"/>
      <c r="G3">
        <v>2015</v>
      </c>
      <c r="H3"/>
    </row>
    <row r="4" spans="1:8" ht="12.75">
      <c r="A4" s="1" t="s">
        <v>623</v>
      </c>
      <c r="C4" s="40">
        <v>3.029</v>
      </c>
      <c r="D4" s="40">
        <f>111</f>
        <v>111</v>
      </c>
      <c r="E4" s="174">
        <v>30.66</v>
      </c>
      <c r="F4"/>
      <c r="G4"/>
      <c r="H4"/>
    </row>
    <row r="5" spans="1:8" ht="12.75">
      <c r="A5" s="1" t="s">
        <v>75</v>
      </c>
      <c r="C5" s="40">
        <v>39.542</v>
      </c>
      <c r="D5" s="40">
        <f>96</f>
        <v>96</v>
      </c>
      <c r="E5" s="174">
        <v>551.8</v>
      </c>
      <c r="F5" s="17">
        <f>Operators!$F$2</f>
        <v>43.298</v>
      </c>
      <c r="G5"/>
      <c r="H5"/>
    </row>
    <row r="6" spans="1:8" ht="12.75">
      <c r="A6" s="1" t="s">
        <v>624</v>
      </c>
      <c r="C6" s="40">
        <v>19.625</v>
      </c>
      <c r="D6" s="40">
        <f>74</f>
        <v>74</v>
      </c>
      <c r="E6" s="174">
        <v>175.6</v>
      </c>
      <c r="F6"/>
      <c r="G6"/>
      <c r="H6"/>
    </row>
    <row r="7" spans="1:8" ht="12.75">
      <c r="A7" s="1" t="s">
        <v>13</v>
      </c>
      <c r="C7" s="40">
        <v>43.431</v>
      </c>
      <c r="D7" s="40">
        <f>154</f>
        <v>154</v>
      </c>
      <c r="E7" s="174">
        <v>947.6</v>
      </c>
      <c r="F7" s="17">
        <f>Operators!$F$6</f>
        <v>62.67399999999999</v>
      </c>
      <c r="G7"/>
      <c r="H7"/>
    </row>
    <row r="8" spans="1:8" ht="12.75">
      <c r="A8" s="1" t="s">
        <v>625</v>
      </c>
      <c r="C8" s="40">
        <v>3.056</v>
      </c>
      <c r="D8" s="40">
        <f>113</f>
        <v>113</v>
      </c>
      <c r="E8" s="174">
        <v>24.28</v>
      </c>
      <c r="F8"/>
      <c r="G8"/>
      <c r="H8"/>
    </row>
    <row r="9" spans="1:8" ht="12.75">
      <c r="A9" s="1" t="s">
        <v>14</v>
      </c>
      <c r="C9" s="40">
        <v>22.751</v>
      </c>
      <c r="D9" s="40">
        <f>138</f>
        <v>138</v>
      </c>
      <c r="E9" s="174">
        <v>1095</v>
      </c>
      <c r="F9" s="17">
        <f>Operators!$F$10</f>
        <v>31.344</v>
      </c>
      <c r="G9"/>
      <c r="H9"/>
    </row>
    <row r="10" spans="1:8" ht="12.75">
      <c r="A10" s="1" t="s">
        <v>96</v>
      </c>
      <c r="C10" s="40">
        <v>8.665</v>
      </c>
      <c r="D10" s="40">
        <f>150</f>
        <v>150</v>
      </c>
      <c r="E10" s="174">
        <v>395.5</v>
      </c>
      <c r="F10" s="17">
        <f>Operators!$F$15</f>
        <v>13.52</v>
      </c>
      <c r="G10"/>
      <c r="H10"/>
    </row>
    <row r="11" spans="1:8" ht="12.75">
      <c r="A11" s="1" t="s">
        <v>626</v>
      </c>
      <c r="C11" s="40">
        <v>9.78</v>
      </c>
      <c r="D11" s="40">
        <f>109</f>
        <v>109</v>
      </c>
      <c r="E11" s="174">
        <v>165.3</v>
      </c>
      <c r="F11"/>
      <c r="G11"/>
      <c r="H11"/>
    </row>
    <row r="12" spans="1:8" ht="12.75">
      <c r="A12" s="1" t="s">
        <v>627</v>
      </c>
      <c r="C12" s="40">
        <v>1.346</v>
      </c>
      <c r="D12" s="40">
        <f>177</f>
        <v>177</v>
      </c>
      <c r="E12" s="174">
        <v>61.94</v>
      </c>
      <c r="F12"/>
      <c r="G12">
        <v>2015</v>
      </c>
      <c r="H12"/>
    </row>
    <row r="13" spans="1:8" ht="12.75">
      <c r="A13" s="1" t="s">
        <v>15</v>
      </c>
      <c r="C13" s="40">
        <v>168.957</v>
      </c>
      <c r="D13" s="40">
        <f>72</f>
        <v>72</v>
      </c>
      <c r="E13" s="174">
        <v>533.7</v>
      </c>
      <c r="F13" s="17">
        <f>Operators!$F$19</f>
        <v>130.881</v>
      </c>
      <c r="G13"/>
      <c r="H13"/>
    </row>
    <row r="14" spans="1:8" ht="12.75">
      <c r="A14" s="1" t="s">
        <v>628</v>
      </c>
      <c r="C14" s="40">
        <v>0.29</v>
      </c>
      <c r="D14" s="40">
        <f>105</f>
        <v>105</v>
      </c>
      <c r="E14" s="174">
        <v>4.516</v>
      </c>
      <c r="F14"/>
      <c r="G14"/>
      <c r="H14"/>
    </row>
    <row r="15" spans="1:8" ht="12.75">
      <c r="A15" s="1" t="s">
        <v>629</v>
      </c>
      <c r="C15" s="40">
        <v>9.589</v>
      </c>
      <c r="D15" s="40">
        <f>119</f>
        <v>119</v>
      </c>
      <c r="E15" s="174">
        <v>172.3</v>
      </c>
      <c r="F15"/>
      <c r="G15"/>
      <c r="H15"/>
    </row>
    <row r="16" spans="1:8" ht="12.75">
      <c r="A16" s="1" t="s">
        <v>108</v>
      </c>
      <c r="C16" s="40">
        <v>11.323</v>
      </c>
      <c r="D16" s="40">
        <f>113</f>
        <v>113</v>
      </c>
      <c r="E16" s="174">
        <v>481.5</v>
      </c>
      <c r="F16" s="17">
        <f>Operators!$F$24</f>
        <v>15.714285714285714</v>
      </c>
      <c r="G16"/>
      <c r="H16"/>
    </row>
    <row r="17" spans="1:8" ht="12.75">
      <c r="A17" s="1" t="s">
        <v>630</v>
      </c>
      <c r="C17" s="40">
        <v>0.34700000000000003</v>
      </c>
      <c r="D17" s="40">
        <f>51</f>
        <v>51</v>
      </c>
      <c r="E17" s="174">
        <v>2.942</v>
      </c>
      <c r="F17"/>
      <c r="G17"/>
      <c r="H17"/>
    </row>
    <row r="18" spans="1:8" ht="12.75">
      <c r="A18" s="1" t="s">
        <v>631</v>
      </c>
      <c r="C18" s="40">
        <v>10.448</v>
      </c>
      <c r="D18" s="40">
        <f>106</f>
        <v>106</v>
      </c>
      <c r="E18" s="174">
        <v>19.8</v>
      </c>
      <c r="F18"/>
      <c r="G18"/>
      <c r="H18"/>
    </row>
    <row r="19" spans="1:8" ht="12.75">
      <c r="A19" s="1" t="s">
        <v>632</v>
      </c>
      <c r="C19" s="40">
        <v>0.741</v>
      </c>
      <c r="D19" s="40">
        <f>86</f>
        <v>86</v>
      </c>
      <c r="E19" s="174">
        <v>5.855</v>
      </c>
      <c r="F19"/>
      <c r="G19"/>
      <c r="H19"/>
    </row>
    <row r="20" spans="1:8" ht="12.75">
      <c r="A20" s="1" t="s">
        <v>633</v>
      </c>
      <c r="C20" s="40">
        <v>10.8</v>
      </c>
      <c r="D20" s="40">
        <f>98</f>
        <v>98</v>
      </c>
      <c r="E20" s="174">
        <v>69.96</v>
      </c>
      <c r="F20"/>
      <c r="G20"/>
      <c r="H20"/>
    </row>
    <row r="21" spans="1:8" ht="12.75">
      <c r="A21" s="1" t="s">
        <v>634</v>
      </c>
      <c r="C21" s="40">
        <v>3.867</v>
      </c>
      <c r="D21" s="40">
        <f>90</f>
        <v>90</v>
      </c>
      <c r="E21" s="174">
        <v>38.06</v>
      </c>
      <c r="F21"/>
      <c r="G21"/>
      <c r="H21"/>
    </row>
    <row r="22" spans="1:8" ht="12.75">
      <c r="A22" s="1" t="s">
        <v>635</v>
      </c>
      <c r="C22" s="40">
        <v>2.182</v>
      </c>
      <c r="D22" s="40">
        <f>158</f>
        <v>158</v>
      </c>
      <c r="E22" s="174">
        <v>33.74</v>
      </c>
      <c r="F22"/>
      <c r="G22"/>
      <c r="H22"/>
    </row>
    <row r="23" spans="1:8" ht="12.75">
      <c r="A23" s="1" t="s">
        <v>16</v>
      </c>
      <c r="C23" s="40">
        <v>204.259</v>
      </c>
      <c r="D23" s="40">
        <f>139</f>
        <v>139</v>
      </c>
      <c r="E23" s="174">
        <v>3264</v>
      </c>
      <c r="F23" s="17">
        <f>Operators!$F$28</f>
        <v>257.811</v>
      </c>
      <c r="G23"/>
      <c r="H23"/>
    </row>
    <row r="24" spans="1:18" ht="12.75">
      <c r="A24" s="1" t="s">
        <v>636</v>
      </c>
      <c r="C24" s="40">
        <v>0.429</v>
      </c>
      <c r="D24" s="40">
        <f>110</f>
        <v>110</v>
      </c>
      <c r="E24" s="174">
        <v>30.21</v>
      </c>
      <c r="F24"/>
      <c r="G24"/>
      <c r="H24"/>
      <c r="R24" t="s">
        <v>57</v>
      </c>
    </row>
    <row r="25" spans="1:8" ht="12.75">
      <c r="A25" s="1" t="s">
        <v>125</v>
      </c>
      <c r="C25" s="40">
        <v>7.186</v>
      </c>
      <c r="D25" s="40">
        <f>137</f>
        <v>137</v>
      </c>
      <c r="E25" s="174">
        <v>128.6</v>
      </c>
      <c r="F25" s="17">
        <f>Operators!$F$34</f>
        <v>11.129533678756477</v>
      </c>
      <c r="G25"/>
      <c r="H25"/>
    </row>
    <row r="26" spans="1:8" ht="12.75">
      <c r="A26" s="1" t="s">
        <v>637</v>
      </c>
      <c r="C26" s="40">
        <v>18.931</v>
      </c>
      <c r="D26" s="40">
        <f>68</f>
        <v>68</v>
      </c>
      <c r="E26" s="174">
        <v>29.31</v>
      </c>
      <c r="F26"/>
      <c r="G26"/>
      <c r="H26"/>
    </row>
    <row r="27" spans="1:8" ht="12.75">
      <c r="A27" s="1" t="s">
        <v>638</v>
      </c>
      <c r="C27" s="40">
        <v>56.32</v>
      </c>
      <c r="D27" s="40">
        <f>48</f>
        <v>48</v>
      </c>
      <c r="E27" s="174">
        <v>242</v>
      </c>
      <c r="F27"/>
      <c r="G27"/>
      <c r="H27"/>
    </row>
    <row r="28" spans="1:8" ht="12.75">
      <c r="A28" s="1" t="s">
        <v>639</v>
      </c>
      <c r="C28" s="40">
        <v>10.742</v>
      </c>
      <c r="D28" s="40">
        <f>31</f>
        <v>31</v>
      </c>
      <c r="E28" s="174">
        <v>8.378</v>
      </c>
      <c r="F28"/>
      <c r="G28">
        <v>2015</v>
      </c>
      <c r="H28"/>
    </row>
    <row r="29" spans="1:8" ht="12.75">
      <c r="A29" s="1" t="s">
        <v>640</v>
      </c>
      <c r="C29" s="40">
        <v>15.708</v>
      </c>
      <c r="D29" s="40">
        <f>155</f>
        <v>155</v>
      </c>
      <c r="E29" s="174">
        <v>49.96</v>
      </c>
      <c r="F29"/>
      <c r="G29"/>
      <c r="H29"/>
    </row>
    <row r="30" spans="1:8" ht="12.75">
      <c r="A30" s="1" t="s">
        <v>641</v>
      </c>
      <c r="C30" s="40">
        <v>23.739</v>
      </c>
      <c r="D30" s="40">
        <f>75</f>
        <v>75</v>
      </c>
      <c r="E30" s="174">
        <v>67.2</v>
      </c>
      <c r="F30"/>
      <c r="G30"/>
      <c r="H30"/>
    </row>
    <row r="31" spans="1:8" ht="12.75">
      <c r="A31" s="1" t="s">
        <v>17</v>
      </c>
      <c r="C31" s="40">
        <v>35.099</v>
      </c>
      <c r="D31" s="40">
        <f>85</f>
        <v>85</v>
      </c>
      <c r="E31" s="174">
        <v>1592</v>
      </c>
      <c r="F31" s="17">
        <f>Operators!$F$37</f>
        <v>30.094</v>
      </c>
      <c r="G31"/>
      <c r="H31"/>
    </row>
    <row r="32" spans="1:8" ht="12.75">
      <c r="A32" s="1" t="s">
        <v>642</v>
      </c>
      <c r="C32" s="40">
        <v>5.391</v>
      </c>
      <c r="D32" s="40">
        <f>28</f>
        <v>28</v>
      </c>
      <c r="E32" s="174">
        <v>2.855</v>
      </c>
      <c r="F32"/>
      <c r="G32"/>
      <c r="H32"/>
    </row>
    <row r="33" spans="1:8" ht="12.75">
      <c r="A33" s="1" t="s">
        <v>643</v>
      </c>
      <c r="C33" s="40">
        <v>11.631</v>
      </c>
      <c r="D33" s="40">
        <f>46</f>
        <v>46</v>
      </c>
      <c r="E33" s="174">
        <v>29.53</v>
      </c>
      <c r="F33"/>
      <c r="G33"/>
      <c r="H33"/>
    </row>
    <row r="34" spans="1:8" ht="12.75">
      <c r="A34" s="1" t="s">
        <v>142</v>
      </c>
      <c r="C34" s="40">
        <v>17.508</v>
      </c>
      <c r="D34" s="40">
        <f>136</f>
        <v>136</v>
      </c>
      <c r="E34" s="174">
        <v>409.3</v>
      </c>
      <c r="F34" s="17">
        <f>Operators!$F$42</f>
        <v>26.1346</v>
      </c>
      <c r="G34"/>
      <c r="H34"/>
    </row>
    <row r="35" spans="1:8" ht="12.75">
      <c r="A35" s="1" t="s">
        <v>148</v>
      </c>
      <c r="C35" s="40">
        <v>7.141</v>
      </c>
      <c r="D35" s="40">
        <f>244</f>
        <v>244</v>
      </c>
      <c r="E35" s="174">
        <v>397.5</v>
      </c>
      <c r="F35" s="17">
        <f>Operators!$F$46</f>
        <v>16.542</v>
      </c>
      <c r="G35"/>
      <c r="H35"/>
    </row>
    <row r="36" spans="1:8" ht="12.75">
      <c r="A36" s="1" t="s">
        <v>18</v>
      </c>
      <c r="C36" s="40">
        <v>1367.485</v>
      </c>
      <c r="D36" s="40">
        <f>94</f>
        <v>94</v>
      </c>
      <c r="E36" s="174">
        <v>17620</v>
      </c>
      <c r="F36" s="17">
        <f>Operators!$F$51</f>
        <v>1295.4209999999998</v>
      </c>
      <c r="G36"/>
      <c r="H36"/>
    </row>
    <row r="37" spans="1:8" ht="12.75">
      <c r="A37" s="1" t="s">
        <v>165</v>
      </c>
      <c r="C37" s="40">
        <v>23.415</v>
      </c>
      <c r="D37" s="40">
        <f>130</f>
        <v>130</v>
      </c>
      <c r="E37" s="174">
        <v>1075</v>
      </c>
      <c r="F37" s="17">
        <f>Operators!$F$55</f>
        <v>26.026999999999997</v>
      </c>
      <c r="G37"/>
      <c r="H37"/>
    </row>
    <row r="38" spans="1:8" ht="12.75">
      <c r="A38" s="1" t="s">
        <v>173</v>
      </c>
      <c r="C38" s="40">
        <v>45.736</v>
      </c>
      <c r="D38" s="40">
        <f>120</f>
        <v>120</v>
      </c>
      <c r="E38" s="174">
        <v>640.1</v>
      </c>
      <c r="F38" s="17">
        <f>Operators!$F$60</f>
        <v>50.3897</v>
      </c>
      <c r="G38"/>
      <c r="H38"/>
    </row>
    <row r="39" spans="1:8" ht="12.75">
      <c r="A39" s="1" t="s">
        <v>644</v>
      </c>
      <c r="C39" s="40">
        <v>79.375</v>
      </c>
      <c r="D39" s="40">
        <f>48</f>
        <v>48</v>
      </c>
      <c r="E39" s="174">
        <v>55.81</v>
      </c>
      <c r="F39" s="51"/>
      <c r="G39"/>
      <c r="H39"/>
    </row>
    <row r="40" spans="1:8" ht="12.75">
      <c r="A40" s="1" t="s">
        <v>645</v>
      </c>
      <c r="C40" s="40">
        <v>4.755</v>
      </c>
      <c r="D40" s="46">
        <f>106</f>
        <v>106</v>
      </c>
      <c r="E40" s="174">
        <v>28.04</v>
      </c>
      <c r="F40" s="51"/>
      <c r="G40"/>
      <c r="H40"/>
    </row>
    <row r="41" spans="1:8" ht="12.75">
      <c r="A41" s="1" t="s">
        <v>646</v>
      </c>
      <c r="C41" s="40">
        <v>4.814</v>
      </c>
      <c r="D41" s="40">
        <f>149</f>
        <v>149</v>
      </c>
      <c r="E41" s="174">
        <v>70.97</v>
      </c>
      <c r="F41" s="51"/>
      <c r="G41"/>
      <c r="H41"/>
    </row>
    <row r="42" spans="1:8" ht="12.75">
      <c r="A42" s="1" t="s">
        <v>647</v>
      </c>
      <c r="C42" s="40">
        <v>23.295</v>
      </c>
      <c r="D42" s="40">
        <f>97</f>
        <v>97</v>
      </c>
      <c r="E42" s="174">
        <v>71.12</v>
      </c>
      <c r="F42" s="51"/>
      <c r="G42"/>
      <c r="H42"/>
    </row>
    <row r="43" spans="1:8" ht="12.75">
      <c r="A43" s="1" t="s">
        <v>648</v>
      </c>
      <c r="C43" s="40">
        <v>4.464</v>
      </c>
      <c r="D43" s="40">
        <f>100</f>
        <v>100</v>
      </c>
      <c r="E43" s="174">
        <v>88.49</v>
      </c>
      <c r="F43" s="51"/>
      <c r="G43"/>
      <c r="H43"/>
    </row>
    <row r="44" spans="1:8" ht="12.75">
      <c r="A44" s="1" t="s">
        <v>649</v>
      </c>
      <c r="C44" s="40">
        <v>11.031</v>
      </c>
      <c r="D44" s="40">
        <f>23</f>
        <v>23</v>
      </c>
      <c r="E44" s="174">
        <v>128.5</v>
      </c>
      <c r="F44" s="51"/>
      <c r="G44"/>
      <c r="H44"/>
    </row>
    <row r="45" spans="1:8" ht="12.75">
      <c r="A45" s="1" t="s">
        <v>650</v>
      </c>
      <c r="C45" s="40">
        <v>1.189</v>
      </c>
      <c r="D45" s="40">
        <f>95</f>
        <v>95</v>
      </c>
      <c r="E45" s="174">
        <v>27.42</v>
      </c>
      <c r="F45" s="51"/>
      <c r="G45"/>
      <c r="H45"/>
    </row>
    <row r="46" spans="1:8" ht="12.75">
      <c r="A46" s="1" t="s">
        <v>178</v>
      </c>
      <c r="C46" s="40">
        <v>10.644</v>
      </c>
      <c r="D46" s="40">
        <f>131</f>
        <v>131</v>
      </c>
      <c r="E46" s="174">
        <v>314.6</v>
      </c>
      <c r="F46" s="17">
        <f>Operators!$F$64</f>
        <v>9.45</v>
      </c>
      <c r="G46">
        <v>2015</v>
      </c>
      <c r="H46"/>
    </row>
    <row r="47" spans="1:8" ht="12.75">
      <c r="A47" s="1" t="s">
        <v>183</v>
      </c>
      <c r="C47" s="40">
        <v>5.5809999999999995</v>
      </c>
      <c r="D47" s="40">
        <f>128</f>
        <v>128</v>
      </c>
      <c r="E47" s="174">
        <v>249.5</v>
      </c>
      <c r="F47" s="17">
        <f>Operators!$F$67</f>
        <v>4.755000000000001</v>
      </c>
      <c r="G47"/>
      <c r="H47"/>
    </row>
    <row r="48" spans="1:8" ht="12.75">
      <c r="A48" s="1" t="s">
        <v>651</v>
      </c>
      <c r="C48" s="40">
        <v>0.8280000000000001</v>
      </c>
      <c r="D48" s="40">
        <f>35</f>
        <v>35</v>
      </c>
      <c r="E48" s="174">
        <v>2.865</v>
      </c>
      <c r="F48" s="51"/>
      <c r="G48"/>
      <c r="H48"/>
    </row>
    <row r="49" spans="1:8" ht="12.75">
      <c r="A49" s="1" t="s">
        <v>652</v>
      </c>
      <c r="C49" s="40">
        <v>10.478</v>
      </c>
      <c r="D49" s="40">
        <f>80</f>
        <v>80</v>
      </c>
      <c r="E49" s="174">
        <v>138</v>
      </c>
      <c r="F49" s="51"/>
      <c r="G49">
        <v>2015</v>
      </c>
      <c r="H49"/>
    </row>
    <row r="50" spans="1:8" ht="12.75">
      <c r="A50" s="1" t="s">
        <v>187</v>
      </c>
      <c r="C50" s="40">
        <v>15.868</v>
      </c>
      <c r="D50" s="40">
        <f>106</f>
        <v>106</v>
      </c>
      <c r="E50" s="174">
        <v>180.2</v>
      </c>
      <c r="F50" s="17">
        <f>Operators!$F$71</f>
        <v>12.665</v>
      </c>
      <c r="G50"/>
      <c r="H50"/>
    </row>
    <row r="51" spans="1:8" ht="12.75">
      <c r="A51" s="1" t="s">
        <v>20</v>
      </c>
      <c r="C51" s="40">
        <v>88.487</v>
      </c>
      <c r="D51" s="40">
        <f>110</f>
        <v>110</v>
      </c>
      <c r="E51" s="174">
        <v>943.1</v>
      </c>
      <c r="F51" s="17">
        <f>Operators!$F$74</f>
        <v>94.219</v>
      </c>
      <c r="G51"/>
      <c r="H51"/>
    </row>
    <row r="52" spans="1:8" ht="12.75">
      <c r="A52" s="1" t="s">
        <v>653</v>
      </c>
      <c r="C52" s="40">
        <v>6.141</v>
      </c>
      <c r="D52" s="40">
        <f>150</f>
        <v>150</v>
      </c>
      <c r="E52" s="174">
        <v>50.94</v>
      </c>
      <c r="F52" s="51"/>
      <c r="G52"/>
      <c r="H52"/>
    </row>
    <row r="53" spans="1:8" ht="12.75">
      <c r="A53" s="1" t="s">
        <v>654</v>
      </c>
      <c r="C53" s="40">
        <v>0.74</v>
      </c>
      <c r="D53" s="40">
        <f>72</f>
        <v>72</v>
      </c>
      <c r="E53" s="174">
        <v>25.11</v>
      </c>
      <c r="F53" s="51"/>
      <c r="G53"/>
      <c r="H53"/>
    </row>
    <row r="54" spans="1:8" ht="12.75">
      <c r="A54" s="1" t="s">
        <v>655</v>
      </c>
      <c r="C54" s="40">
        <v>6.527</v>
      </c>
      <c r="D54" s="40">
        <f>7</f>
        <v>7</v>
      </c>
      <c r="E54" s="174">
        <v>7.814</v>
      </c>
      <c r="F54" s="51"/>
      <c r="G54"/>
      <c r="H54"/>
    </row>
    <row r="55" spans="1:8" ht="12.75">
      <c r="A55" s="1" t="s">
        <v>656</v>
      </c>
      <c r="C55" s="40">
        <v>1.2650000000000001</v>
      </c>
      <c r="D55" s="40">
        <f>162</f>
        <v>162</v>
      </c>
      <c r="E55" s="174">
        <v>35.62</v>
      </c>
      <c r="F55" s="51"/>
      <c r="G55"/>
      <c r="H55"/>
    </row>
    <row r="56" spans="1:8" ht="12.75">
      <c r="A56" s="1" t="s">
        <v>657</v>
      </c>
      <c r="C56" s="40">
        <v>99.465</v>
      </c>
      <c r="D56" s="40">
        <f>32</f>
        <v>32</v>
      </c>
      <c r="E56" s="174">
        <v>144.6</v>
      </c>
      <c r="F56" s="51"/>
      <c r="G56">
        <v>2015</v>
      </c>
      <c r="H56"/>
    </row>
    <row r="57" spans="1:8" ht="12.75">
      <c r="A57" s="1" t="s">
        <v>658</v>
      </c>
      <c r="C57" s="40">
        <v>513.949</v>
      </c>
      <c r="D57" s="40">
        <f>632.5/5.14</f>
        <v>123.05447470817121</v>
      </c>
      <c r="E57" s="174">
        <v>18010</v>
      </c>
      <c r="F57" s="51"/>
      <c r="G57"/>
      <c r="H57"/>
    </row>
    <row r="58" spans="1:8" ht="12.75">
      <c r="A58" s="1" t="s">
        <v>659</v>
      </c>
      <c r="C58" s="40">
        <v>0.909</v>
      </c>
      <c r="D58" s="40">
        <f>97</f>
        <v>97</v>
      </c>
      <c r="E58" s="174">
        <v>7.293</v>
      </c>
      <c r="F58" s="51"/>
      <c r="G58"/>
      <c r="H58"/>
    </row>
    <row r="59" spans="1:8" ht="12.75">
      <c r="A59" s="1" t="s">
        <v>196</v>
      </c>
      <c r="C59" s="40">
        <v>5.476</v>
      </c>
      <c r="D59" s="40">
        <f>139</f>
        <v>139</v>
      </c>
      <c r="E59" s="174">
        <v>221</v>
      </c>
      <c r="F59" s="17">
        <f>Operators!$F$78</f>
        <v>9.244</v>
      </c>
      <c r="G59"/>
      <c r="H59"/>
    </row>
    <row r="60" spans="1:8" ht="12.75">
      <c r="A60" s="1" t="s">
        <v>21</v>
      </c>
      <c r="C60" s="40">
        <v>66.553</v>
      </c>
      <c r="D60" s="40">
        <f>98</f>
        <v>98</v>
      </c>
      <c r="E60" s="174">
        <v>2581</v>
      </c>
      <c r="F60" s="17">
        <f>Operators!$F$81</f>
        <v>71.593</v>
      </c>
      <c r="G60">
        <v>2015</v>
      </c>
      <c r="H60"/>
    </row>
    <row r="61" spans="1:8" ht="12.75">
      <c r="A61" s="1" t="s">
        <v>660</v>
      </c>
      <c r="C61" s="40">
        <v>1.705</v>
      </c>
      <c r="D61" s="40">
        <f>215</f>
        <v>215</v>
      </c>
      <c r="E61" s="174">
        <v>36.35</v>
      </c>
      <c r="F61" s="51"/>
      <c r="G61"/>
      <c r="H61"/>
    </row>
    <row r="62" spans="1:8" ht="12.75">
      <c r="A62" s="1" t="s">
        <v>661</v>
      </c>
      <c r="C62" s="40">
        <v>1.967</v>
      </c>
      <c r="D62" s="40">
        <f>119</f>
        <v>119</v>
      </c>
      <c r="E62" s="174">
        <v>3.082</v>
      </c>
      <c r="F62" s="51"/>
      <c r="G62"/>
      <c r="H62"/>
    </row>
    <row r="63" spans="1:8" ht="12.75">
      <c r="A63" s="1" t="s">
        <v>662</v>
      </c>
      <c r="C63" s="40">
        <v>4.931</v>
      </c>
      <c r="D63" s="40">
        <f>109</f>
        <v>109</v>
      </c>
      <c r="E63" s="174">
        <v>34.21</v>
      </c>
      <c r="F63" s="51"/>
      <c r="G63"/>
      <c r="H63"/>
    </row>
    <row r="64" spans="1:8" ht="12.75">
      <c r="A64" s="1" t="s">
        <v>22</v>
      </c>
      <c r="C64" s="40">
        <v>80.854</v>
      </c>
      <c r="D64" s="40">
        <f>123</f>
        <v>123</v>
      </c>
      <c r="E64" s="174">
        <v>3722</v>
      </c>
      <c r="F64" s="17">
        <f>Operators!$F$86</f>
        <v>114.0948</v>
      </c>
      <c r="G64"/>
      <c r="H64"/>
    </row>
    <row r="65" spans="1:8" ht="12.75">
      <c r="A65" s="1" t="s">
        <v>663</v>
      </c>
      <c r="C65" s="40">
        <v>26.327</v>
      </c>
      <c r="D65" s="40">
        <f>118</f>
        <v>118</v>
      </c>
      <c r="E65" s="174">
        <v>108.3</v>
      </c>
      <c r="F65" s="51"/>
      <c r="G65"/>
      <c r="H65"/>
    </row>
    <row r="66" spans="1:8" ht="12.75">
      <c r="A66" s="1" t="s">
        <v>214</v>
      </c>
      <c r="C66" s="40">
        <v>10.775</v>
      </c>
      <c r="D66" s="40">
        <f>119</f>
        <v>119</v>
      </c>
      <c r="E66" s="174">
        <v>284.3</v>
      </c>
      <c r="F66" s="17">
        <f>Operators!$F$90</f>
        <v>13.245000000000001</v>
      </c>
      <c r="G66"/>
      <c r="H66"/>
    </row>
    <row r="67" spans="1:8" ht="12.75">
      <c r="A67" s="1" t="s">
        <v>664</v>
      </c>
      <c r="C67" s="40">
        <v>14.918</v>
      </c>
      <c r="D67" s="40">
        <f>115</f>
        <v>115</v>
      </c>
      <c r="E67" s="174">
        <v>119.1</v>
      </c>
      <c r="F67" s="51"/>
      <c r="G67"/>
      <c r="H67"/>
    </row>
    <row r="68" spans="1:8" ht="12.75">
      <c r="A68" s="1" t="s">
        <v>665</v>
      </c>
      <c r="C68" s="40">
        <v>11.78</v>
      </c>
      <c r="D68" s="40">
        <f>76</f>
        <v>76</v>
      </c>
      <c r="E68" s="174">
        <v>14.97</v>
      </c>
      <c r="F68" s="51"/>
      <c r="G68"/>
      <c r="H68"/>
    </row>
    <row r="69" spans="1:8" ht="12.75">
      <c r="A69" s="1" t="s">
        <v>666</v>
      </c>
      <c r="C69" s="40">
        <v>1.726</v>
      </c>
      <c r="D69" s="40">
        <f>65</f>
        <v>65</v>
      </c>
      <c r="E69" s="174">
        <v>2.495</v>
      </c>
      <c r="F69" s="51"/>
      <c r="G69">
        <v>2015</v>
      </c>
      <c r="H69"/>
    </row>
    <row r="70" spans="1:8" ht="12.75">
      <c r="A70" s="1" t="s">
        <v>667</v>
      </c>
      <c r="C70" s="40">
        <v>10.11</v>
      </c>
      <c r="D70" s="40">
        <f>68</f>
        <v>68</v>
      </c>
      <c r="E70" s="174">
        <v>18.31</v>
      </c>
      <c r="F70" s="51"/>
      <c r="G70"/>
      <c r="H70"/>
    </row>
    <row r="71" spans="1:8" ht="12.75">
      <c r="A71" s="1" t="s">
        <v>668</v>
      </c>
      <c r="C71" s="40">
        <v>8.746</v>
      </c>
      <c r="D71" s="40">
        <f>90</f>
        <v>90</v>
      </c>
      <c r="E71" s="174">
        <v>39.08</v>
      </c>
      <c r="F71" s="51"/>
      <c r="G71"/>
      <c r="H71"/>
    </row>
    <row r="72" spans="1:8" ht="12.75">
      <c r="A72" s="1" t="s">
        <v>218</v>
      </c>
      <c r="C72" s="40">
        <v>9.897</v>
      </c>
      <c r="D72" s="40">
        <f>118</f>
        <v>118</v>
      </c>
      <c r="E72" s="174">
        <v>246.4</v>
      </c>
      <c r="F72" s="17">
        <f>Operators!$F$93</f>
        <v>12.283</v>
      </c>
      <c r="G72">
        <v>2015</v>
      </c>
      <c r="H72"/>
    </row>
    <row r="73" spans="1:8" ht="12.75">
      <c r="A73" s="1" t="s">
        <v>23</v>
      </c>
      <c r="C73" s="40">
        <v>1251.695</v>
      </c>
      <c r="D73" s="40">
        <f>76</f>
        <v>76</v>
      </c>
      <c r="E73" s="174">
        <v>7376</v>
      </c>
      <c r="F73" s="17">
        <f>Operators!$F$97</f>
        <v>1031.168</v>
      </c>
      <c r="G73"/>
      <c r="H73"/>
    </row>
    <row r="74" spans="1:8" ht="12.75">
      <c r="A74" s="1" t="s">
        <v>24</v>
      </c>
      <c r="C74" s="40">
        <v>255.993</v>
      </c>
      <c r="D74" s="40">
        <f>126</f>
        <v>126</v>
      </c>
      <c r="E74" s="174">
        <v>2676</v>
      </c>
      <c r="F74" s="17">
        <f>Operators!$F$108</f>
        <v>315.9298245614035</v>
      </c>
      <c r="G74"/>
      <c r="H74"/>
    </row>
    <row r="75" spans="1:8" ht="12.75">
      <c r="A75" s="1" t="s">
        <v>250</v>
      </c>
      <c r="C75" s="40">
        <v>81.824</v>
      </c>
      <c r="D75" s="40">
        <f>85</f>
        <v>85</v>
      </c>
      <c r="E75" s="174">
        <v>1334</v>
      </c>
      <c r="F75" s="17">
        <f>Operators!$F$113</f>
        <v>119.142</v>
      </c>
      <c r="G75"/>
      <c r="H75"/>
    </row>
    <row r="76" spans="1:8" ht="12.75">
      <c r="A76" s="1" t="s">
        <v>255</v>
      </c>
      <c r="C76" s="40">
        <v>37.056</v>
      </c>
      <c r="D76" s="40">
        <f>92</f>
        <v>92</v>
      </c>
      <c r="E76" s="174">
        <v>522.7</v>
      </c>
      <c r="F76" s="17">
        <f>Operators!$F$116</f>
        <v>27.142857142857146</v>
      </c>
      <c r="G76"/>
      <c r="H76"/>
    </row>
    <row r="77" spans="1:8" ht="12.75">
      <c r="A77" s="1" t="s">
        <v>669</v>
      </c>
      <c r="C77" s="40">
        <v>4.892</v>
      </c>
      <c r="D77" s="40">
        <f>101</f>
        <v>101</v>
      </c>
      <c r="E77" s="174">
        <v>226.8</v>
      </c>
      <c r="F77" s="51"/>
      <c r="G77"/>
      <c r="H77"/>
    </row>
    <row r="78" spans="1:8" ht="12.75">
      <c r="A78" s="1" t="s">
        <v>261</v>
      </c>
      <c r="C78" s="40">
        <v>8.049</v>
      </c>
      <c r="D78" s="40">
        <f>120</f>
        <v>120</v>
      </c>
      <c r="E78" s="174">
        <v>268.5</v>
      </c>
      <c r="F78" s="17">
        <f>Operators!$F$120</f>
        <v>11.304347826086957</v>
      </c>
      <c r="G78"/>
      <c r="H78"/>
    </row>
    <row r="79" spans="1:8" ht="12.75">
      <c r="A79" s="1" t="s">
        <v>25</v>
      </c>
      <c r="C79" s="40">
        <v>61.855</v>
      </c>
      <c r="D79" s="40">
        <f>153</f>
        <v>153</v>
      </c>
      <c r="E79" s="174">
        <v>2128</v>
      </c>
      <c r="F79" s="17">
        <f>Operators!$F$124</f>
        <v>84.20700000000001</v>
      </c>
      <c r="G79">
        <v>2015</v>
      </c>
      <c r="H79"/>
    </row>
    <row r="80" spans="1:8" ht="12.75">
      <c r="A80" s="1" t="s">
        <v>670</v>
      </c>
      <c r="C80" s="40">
        <v>2.95</v>
      </c>
      <c r="D80" s="40">
        <f>98</f>
        <v>98</v>
      </c>
      <c r="E80" s="174">
        <v>24.1</v>
      </c>
      <c r="F80" s="51"/>
      <c r="G80"/>
      <c r="H80"/>
    </row>
    <row r="81" spans="1:8" ht="12.75">
      <c r="A81" s="1" t="s">
        <v>26</v>
      </c>
      <c r="C81" s="40">
        <v>126.919</v>
      </c>
      <c r="D81" s="40">
        <f>120</f>
        <v>120</v>
      </c>
      <c r="E81" s="174">
        <v>4751</v>
      </c>
      <c r="F81" s="17">
        <f>Operators!$F$129</f>
        <v>158.591</v>
      </c>
      <c r="G81"/>
      <c r="H81"/>
    </row>
    <row r="82" spans="1:8" ht="12.75">
      <c r="A82" s="1" t="s">
        <v>671</v>
      </c>
      <c r="C82" s="40">
        <v>8.117</v>
      </c>
      <c r="D82" s="40">
        <f>140</f>
        <v>140</v>
      </c>
      <c r="E82" s="174">
        <v>79.62</v>
      </c>
      <c r="F82" s="51"/>
      <c r="G82">
        <v>2015</v>
      </c>
      <c r="H82"/>
    </row>
    <row r="83" spans="1:8" ht="12.75">
      <c r="A83" s="1" t="s">
        <v>672</v>
      </c>
      <c r="C83" s="40">
        <v>18.157</v>
      </c>
      <c r="D83" s="40">
        <f>156</f>
        <v>156</v>
      </c>
      <c r="E83" s="174">
        <v>418.5</v>
      </c>
      <c r="F83" s="51"/>
      <c r="G83"/>
      <c r="H83"/>
    </row>
    <row r="84" spans="1:8" ht="12.75">
      <c r="A84" s="1" t="s">
        <v>281</v>
      </c>
      <c r="C84" s="40">
        <v>45.925</v>
      </c>
      <c r="D84" s="40">
        <f>75</f>
        <v>75</v>
      </c>
      <c r="E84" s="174">
        <v>132.4</v>
      </c>
      <c r="F84" s="17">
        <f>Operators!$F$133</f>
        <v>32.9016</v>
      </c>
      <c r="G84"/>
      <c r="H84"/>
    </row>
    <row r="85" spans="1:8" ht="12.75">
      <c r="A85" s="1" t="s">
        <v>673</v>
      </c>
      <c r="C85" s="40">
        <v>24.983</v>
      </c>
      <c r="D85" s="40">
        <f>11</f>
        <v>11</v>
      </c>
      <c r="E85" s="174">
        <v>40</v>
      </c>
      <c r="F85" s="51"/>
      <c r="G85"/>
      <c r="H85"/>
    </row>
    <row r="86" spans="1:8" ht="12.75">
      <c r="A86" s="1" t="s">
        <v>27</v>
      </c>
      <c r="C86" s="40">
        <v>49.115</v>
      </c>
      <c r="D86" s="40">
        <f>117</f>
        <v>117</v>
      </c>
      <c r="E86" s="174">
        <v>1781</v>
      </c>
      <c r="F86" s="17">
        <f>Operators!$F$137</f>
        <v>58.069</v>
      </c>
      <c r="G86"/>
      <c r="H86"/>
    </row>
    <row r="87" spans="1:8" ht="12.75">
      <c r="A87" s="1" t="s">
        <v>674</v>
      </c>
      <c r="C87" s="40">
        <v>1.87</v>
      </c>
      <c r="D87" s="40">
        <f>31</f>
        <v>31</v>
      </c>
      <c r="E87" s="174">
        <v>16.86</v>
      </c>
      <c r="F87" s="17"/>
      <c r="G87"/>
      <c r="H87"/>
    </row>
    <row r="88" spans="1:8" ht="12.75">
      <c r="A88" s="1" t="s">
        <v>675</v>
      </c>
      <c r="C88" s="40">
        <v>2.7880000000000003</v>
      </c>
      <c r="D88" s="40">
        <f>277</f>
        <v>277</v>
      </c>
      <c r="E88" s="174">
        <v>284</v>
      </c>
      <c r="F88" s="17"/>
      <c r="G88"/>
      <c r="H88"/>
    </row>
    <row r="89" spans="1:8" ht="12.75">
      <c r="A89" s="1" t="s">
        <v>676</v>
      </c>
      <c r="C89" s="40">
        <v>5.664</v>
      </c>
      <c r="D89" s="40">
        <f>135</f>
        <v>135</v>
      </c>
      <c r="E89" s="174">
        <v>19.16</v>
      </c>
      <c r="F89" s="17"/>
      <c r="G89">
        <v>2015</v>
      </c>
      <c r="H89"/>
    </row>
    <row r="90" spans="1:8" ht="12.75">
      <c r="A90" s="1" t="s">
        <v>677</v>
      </c>
      <c r="C90" s="40">
        <v>6.911</v>
      </c>
      <c r="D90" s="40">
        <f>68</f>
        <v>68</v>
      </c>
      <c r="E90" s="174">
        <v>34.4</v>
      </c>
      <c r="F90" s="17"/>
      <c r="G90"/>
      <c r="H90"/>
    </row>
    <row r="91" spans="1:8" ht="12.75">
      <c r="A91" s="1" t="s">
        <v>678</v>
      </c>
      <c r="C91" s="40">
        <v>1.986</v>
      </c>
      <c r="D91" s="40">
        <f>126</f>
        <v>126</v>
      </c>
      <c r="E91" s="174">
        <v>48.19</v>
      </c>
      <c r="F91" s="17"/>
      <c r="G91"/>
      <c r="H91"/>
    </row>
    <row r="92" spans="1:8" ht="12.75">
      <c r="A92" s="1" t="s">
        <v>679</v>
      </c>
      <c r="C92" s="40">
        <v>6.184</v>
      </c>
      <c r="D92" s="40">
        <f>75</f>
        <v>75</v>
      </c>
      <c r="E92" s="174">
        <v>81.12</v>
      </c>
      <c r="F92" s="17"/>
      <c r="G92"/>
      <c r="H92"/>
    </row>
    <row r="93" spans="1:8" ht="12.75">
      <c r="A93" s="1" t="s">
        <v>680</v>
      </c>
      <c r="C93" s="40">
        <v>1.947</v>
      </c>
      <c r="D93" s="40">
        <f>110</f>
        <v>110</v>
      </c>
      <c r="E93" s="174">
        <v>5.282</v>
      </c>
      <c r="F93" s="17"/>
      <c r="G93"/>
      <c r="H93"/>
    </row>
    <row r="94" spans="1:8" ht="12.75">
      <c r="A94" s="1" t="s">
        <v>681</v>
      </c>
      <c r="C94" s="40">
        <v>4.195</v>
      </c>
      <c r="D94" s="40">
        <f>79</f>
        <v>79</v>
      </c>
      <c r="E94" s="174">
        <v>3.691</v>
      </c>
      <c r="F94" s="17"/>
      <c r="G94"/>
      <c r="H94"/>
    </row>
    <row r="95" spans="1:8" ht="12.75">
      <c r="A95" s="1" t="s">
        <v>682</v>
      </c>
      <c r="C95" s="40">
        <v>6.411</v>
      </c>
      <c r="D95" s="40">
        <f>161</f>
        <v>161</v>
      </c>
      <c r="E95" s="174">
        <v>97.58</v>
      </c>
      <c r="F95" s="17"/>
      <c r="G95"/>
      <c r="H95"/>
    </row>
    <row r="96" spans="1:8" ht="12.75">
      <c r="A96" s="1" t="s">
        <v>683</v>
      </c>
      <c r="C96" s="40">
        <v>2.884</v>
      </c>
      <c r="D96" s="40">
        <f>152</f>
        <v>152</v>
      </c>
      <c r="E96" s="174">
        <v>79.63</v>
      </c>
      <c r="F96" s="17"/>
      <c r="G96"/>
      <c r="H96"/>
    </row>
    <row r="97" spans="1:8" ht="12.75">
      <c r="A97" s="1" t="s">
        <v>684</v>
      </c>
      <c r="C97" s="40">
        <v>0.5700000000000001</v>
      </c>
      <c r="D97" s="40">
        <f>143</f>
        <v>143</v>
      </c>
      <c r="E97" s="174">
        <v>51.41</v>
      </c>
      <c r="F97" s="17"/>
      <c r="G97">
        <v>2015</v>
      </c>
      <c r="H97"/>
    </row>
    <row r="98" spans="1:8" ht="12.75">
      <c r="A98" s="1" t="s">
        <v>685</v>
      </c>
      <c r="C98" s="40">
        <v>23.812</v>
      </c>
      <c r="D98" s="40">
        <f>39</f>
        <v>39</v>
      </c>
      <c r="E98" s="174">
        <v>33.87</v>
      </c>
      <c r="F98" s="17"/>
      <c r="G98"/>
      <c r="H98"/>
    </row>
    <row r="99" spans="1:8" ht="12.75">
      <c r="A99" s="1" t="s">
        <v>686</v>
      </c>
      <c r="C99" s="40">
        <v>17.964</v>
      </c>
      <c r="D99" s="40">
        <f>30</f>
        <v>30</v>
      </c>
      <c r="E99" s="174">
        <v>13.73</v>
      </c>
      <c r="F99" s="17"/>
      <c r="G99"/>
      <c r="H99"/>
    </row>
    <row r="100" spans="1:8" ht="12.75">
      <c r="A100" s="1" t="s">
        <v>28</v>
      </c>
      <c r="C100" s="40">
        <v>30.513</v>
      </c>
      <c r="D100" s="40">
        <f>149</f>
        <v>149</v>
      </c>
      <c r="E100" s="174">
        <v>746.1</v>
      </c>
      <c r="F100" s="17">
        <f>Operators!$F$141</f>
        <v>37.282000000000004</v>
      </c>
      <c r="G100"/>
      <c r="H100"/>
    </row>
    <row r="101" spans="1:8" ht="12.75">
      <c r="A101" s="1" t="s">
        <v>687</v>
      </c>
      <c r="C101" s="40">
        <v>16.955</v>
      </c>
      <c r="D101" s="40">
        <f>143</f>
        <v>143</v>
      </c>
      <c r="E101" s="174">
        <v>27.31</v>
      </c>
      <c r="F101" s="17"/>
      <c r="G101"/>
      <c r="H101"/>
    </row>
    <row r="102" spans="1:8" ht="12.75">
      <c r="A102" s="1" t="s">
        <v>688</v>
      </c>
      <c r="C102" s="40">
        <v>3.596</v>
      </c>
      <c r="D102" s="40">
        <f>107</f>
        <v>107</v>
      </c>
      <c r="E102" s="174">
        <v>15.53</v>
      </c>
      <c r="F102" s="17"/>
      <c r="G102"/>
      <c r="H102"/>
    </row>
    <row r="103" spans="1:8" ht="12.75">
      <c r="A103" s="1" t="s">
        <v>29</v>
      </c>
      <c r="C103" s="40">
        <v>121.736</v>
      </c>
      <c r="D103" s="40">
        <f>85</f>
        <v>85</v>
      </c>
      <c r="E103" s="174">
        <v>2141</v>
      </c>
      <c r="F103" s="17">
        <f>Operators!$F$145</f>
        <v>107.60300000000001</v>
      </c>
      <c r="G103"/>
      <c r="H103"/>
    </row>
    <row r="104" spans="1:8" ht="12.75">
      <c r="A104" s="1" t="s">
        <v>689</v>
      </c>
      <c r="C104" s="40">
        <v>3.5460000000000003</v>
      </c>
      <c r="D104" s="40">
        <f>104</f>
        <v>104</v>
      </c>
      <c r="E104" s="174">
        <v>17.72</v>
      </c>
      <c r="F104" s="17"/>
      <c r="G104"/>
      <c r="H104"/>
    </row>
    <row r="105" spans="1:8" ht="12.75">
      <c r="A105" s="1" t="s">
        <v>690</v>
      </c>
      <c r="C105" s="40">
        <v>2.992</v>
      </c>
      <c r="D105" s="40">
        <f>103</f>
        <v>103</v>
      </c>
      <c r="E105" s="174">
        <v>34.76</v>
      </c>
      <c r="F105" s="17"/>
      <c r="G105"/>
      <c r="H105"/>
    </row>
    <row r="106" spans="1:8" ht="12.75">
      <c r="A106" s="1" t="s">
        <v>300</v>
      </c>
      <c r="C106" s="40">
        <v>33.322</v>
      </c>
      <c r="D106" s="40">
        <f>134</f>
        <v>134</v>
      </c>
      <c r="E106" s="174">
        <v>252.4</v>
      </c>
      <c r="F106" s="17">
        <f>Operators!$F$149</f>
        <v>44.449</v>
      </c>
      <c r="G106"/>
      <c r="H106"/>
    </row>
    <row r="107" spans="1:8" ht="12.75">
      <c r="A107" s="1" t="s">
        <v>691</v>
      </c>
      <c r="C107" s="40">
        <v>25.303</v>
      </c>
      <c r="D107" s="40">
        <f>75</f>
        <v>75</v>
      </c>
      <c r="E107" s="174">
        <v>31.1</v>
      </c>
      <c r="F107" s="17"/>
      <c r="G107">
        <v>2015</v>
      </c>
      <c r="H107"/>
    </row>
    <row r="108" spans="1:8" ht="12.75">
      <c r="A108" s="1" t="s">
        <v>692</v>
      </c>
      <c r="C108" s="40">
        <v>31.551</v>
      </c>
      <c r="D108" s="40">
        <f>75</f>
        <v>75</v>
      </c>
      <c r="E108" s="174">
        <v>66.78</v>
      </c>
      <c r="F108" s="17"/>
      <c r="G108"/>
      <c r="H108"/>
    </row>
    <row r="109" spans="1:8" ht="12.75">
      <c r="A109" s="1" t="s">
        <v>304</v>
      </c>
      <c r="C109" s="40">
        <v>16.947</v>
      </c>
      <c r="D109" s="40">
        <f>116</f>
        <v>116</v>
      </c>
      <c r="E109" s="174">
        <v>798.6</v>
      </c>
      <c r="F109" s="17">
        <f>Operators!$F$152</f>
        <v>18.092</v>
      </c>
      <c r="G109"/>
      <c r="H109"/>
    </row>
    <row r="110" spans="1:8" ht="12.75">
      <c r="A110" s="1" t="s">
        <v>693</v>
      </c>
      <c r="C110" s="40">
        <v>4.438</v>
      </c>
      <c r="D110" s="40">
        <f>116</f>
        <v>116</v>
      </c>
      <c r="E110" s="174">
        <v>158.9</v>
      </c>
      <c r="F110" s="17"/>
      <c r="G110"/>
      <c r="H110"/>
    </row>
    <row r="111" spans="1:8" ht="12.75">
      <c r="A111" s="1" t="s">
        <v>694</v>
      </c>
      <c r="C111" s="40">
        <v>5.907</v>
      </c>
      <c r="D111" s="40">
        <f>121</f>
        <v>121</v>
      </c>
      <c r="E111" s="174">
        <v>29.47</v>
      </c>
      <c r="F111" s="17"/>
      <c r="G111"/>
      <c r="H111"/>
    </row>
    <row r="112" spans="1:8" ht="12.75">
      <c r="A112" s="1" t="s">
        <v>695</v>
      </c>
      <c r="C112" s="40">
        <v>18.045</v>
      </c>
      <c r="D112" s="40">
        <f>47</f>
        <v>47</v>
      </c>
      <c r="E112" s="174">
        <v>17.94</v>
      </c>
      <c r="F112" s="17"/>
      <c r="G112"/>
      <c r="H112"/>
    </row>
    <row r="113" spans="1:8" ht="12.75">
      <c r="A113" s="1" t="s">
        <v>30</v>
      </c>
      <c r="C113" s="40">
        <v>181.562</v>
      </c>
      <c r="D113" s="40">
        <f>78</f>
        <v>78</v>
      </c>
      <c r="E113" s="174">
        <v>1049</v>
      </c>
      <c r="F113" s="17">
        <f>Operators!$F$156</f>
        <v>148.745</v>
      </c>
      <c r="G113"/>
      <c r="H113"/>
    </row>
    <row r="114" spans="1:8" ht="12.75">
      <c r="A114" s="1" t="s">
        <v>313</v>
      </c>
      <c r="C114" s="40">
        <v>5.207</v>
      </c>
      <c r="D114" s="40">
        <f>115</f>
        <v>115</v>
      </c>
      <c r="E114" s="174">
        <v>345.2</v>
      </c>
      <c r="F114" s="17">
        <f>Operators!$F$160</f>
        <v>6.565</v>
      </c>
      <c r="G114">
        <v>2015</v>
      </c>
      <c r="H114"/>
    </row>
    <row r="115" spans="1:8" ht="12.75">
      <c r="A115" s="1" t="s">
        <v>696</v>
      </c>
      <c r="C115" s="40">
        <v>3.286</v>
      </c>
      <c r="D115" s="40">
        <f>192</f>
        <v>192</v>
      </c>
      <c r="E115" s="174">
        <v>162.4</v>
      </c>
      <c r="F115" s="17"/>
      <c r="G115">
        <v>2015</v>
      </c>
      <c r="H115"/>
    </row>
    <row r="116" spans="1:8" ht="12.75">
      <c r="A116" s="1" t="s">
        <v>31</v>
      </c>
      <c r="C116" s="40">
        <v>199.085</v>
      </c>
      <c r="D116" s="40">
        <f>69</f>
        <v>69</v>
      </c>
      <c r="E116" s="174">
        <v>882.3</v>
      </c>
      <c r="F116" s="17">
        <f>Operators!$F$163</f>
        <v>131.412</v>
      </c>
      <c r="G116"/>
      <c r="H116"/>
    </row>
    <row r="117" spans="1:8" ht="12.75">
      <c r="A117" s="1" t="s">
        <v>697</v>
      </c>
      <c r="C117" s="40">
        <v>3.657</v>
      </c>
      <c r="D117" s="40">
        <f>172</f>
        <v>172</v>
      </c>
      <c r="E117" s="174">
        <v>76.42</v>
      </c>
      <c r="F117" s="17"/>
      <c r="G117"/>
      <c r="H117"/>
    </row>
    <row r="118" spans="1:8" ht="12.75">
      <c r="A118" s="1" t="s">
        <v>698</v>
      </c>
      <c r="C118" s="40">
        <v>6.672</v>
      </c>
      <c r="D118" s="40">
        <f>51</f>
        <v>51</v>
      </c>
      <c r="E118" s="174">
        <v>18.07</v>
      </c>
      <c r="F118" s="17"/>
      <c r="G118"/>
      <c r="H118"/>
    </row>
    <row r="119" spans="1:8" ht="12.75">
      <c r="A119" s="1" t="s">
        <v>699</v>
      </c>
      <c r="C119" s="40">
        <v>6.783</v>
      </c>
      <c r="D119" s="40">
        <f>109</f>
        <v>109</v>
      </c>
      <c r="E119" s="174">
        <v>58.3</v>
      </c>
      <c r="F119" s="17"/>
      <c r="G119"/>
      <c r="H119"/>
    </row>
    <row r="120" spans="1:8" ht="12.75">
      <c r="A120" s="1" t="s">
        <v>323</v>
      </c>
      <c r="C120" s="40">
        <v>30.444</v>
      </c>
      <c r="D120" s="40">
        <f>105</f>
        <v>105</v>
      </c>
      <c r="E120" s="174">
        <v>371.3</v>
      </c>
      <c r="F120" s="17">
        <f>Operators!$F$169</f>
        <v>35.8995</v>
      </c>
      <c r="G120"/>
      <c r="H120"/>
    </row>
    <row r="121" spans="1:8" ht="12.75">
      <c r="A121" s="1" t="s">
        <v>32</v>
      </c>
      <c r="C121" s="40">
        <v>100.998</v>
      </c>
      <c r="D121" s="40">
        <f>112</f>
        <v>112</v>
      </c>
      <c r="E121" s="174">
        <v>692.2</v>
      </c>
      <c r="F121" s="17">
        <f>Operators!$F$174</f>
        <v>121.803</v>
      </c>
      <c r="G121"/>
      <c r="H121"/>
    </row>
    <row r="122" spans="1:8" ht="12.75">
      <c r="A122" s="1" t="s">
        <v>33</v>
      </c>
      <c r="C122" s="40">
        <v>38.562</v>
      </c>
      <c r="D122" s="40">
        <f>155</f>
        <v>155</v>
      </c>
      <c r="E122" s="174">
        <v>954.5</v>
      </c>
      <c r="F122" s="17">
        <f>Operators!$F$177</f>
        <v>41.733999999999995</v>
      </c>
      <c r="G122"/>
      <c r="H122"/>
    </row>
    <row r="123" spans="1:8" ht="12.75">
      <c r="A123" s="1" t="s">
        <v>336</v>
      </c>
      <c r="C123" s="40">
        <v>10.825</v>
      </c>
      <c r="D123" s="40">
        <f>110</f>
        <v>110</v>
      </c>
      <c r="E123" s="174">
        <v>280.4</v>
      </c>
      <c r="F123" s="17">
        <f>Operators!$F$181</f>
        <v>11.142</v>
      </c>
      <c r="G123"/>
      <c r="H123"/>
    </row>
    <row r="124" spans="1:8" ht="12.75">
      <c r="A124" s="1" t="s">
        <v>700</v>
      </c>
      <c r="C124" s="40">
        <v>3.598</v>
      </c>
      <c r="D124" s="40">
        <f>89</f>
        <v>89</v>
      </c>
      <c r="E124" s="174">
        <v>61.46</v>
      </c>
      <c r="F124" s="17"/>
      <c r="G124">
        <v>2015</v>
      </c>
      <c r="H124"/>
    </row>
    <row r="125" spans="1:8" ht="12.75">
      <c r="A125" s="1" t="s">
        <v>701</v>
      </c>
      <c r="C125" s="40">
        <v>2.194</v>
      </c>
      <c r="D125" s="40">
        <f>156</f>
        <v>156</v>
      </c>
      <c r="E125" s="174">
        <v>320.5</v>
      </c>
      <c r="F125" s="17"/>
      <c r="G125">
        <v>2015</v>
      </c>
      <c r="H125"/>
    </row>
    <row r="126" spans="1:8" ht="12.75">
      <c r="A126" s="1" t="s">
        <v>340</v>
      </c>
      <c r="C126" s="40">
        <v>21.666</v>
      </c>
      <c r="D126" s="40">
        <f>105</f>
        <v>105</v>
      </c>
      <c r="E126" s="174">
        <v>392.8</v>
      </c>
      <c r="F126" s="17">
        <f>Operators!$F$184</f>
        <v>24.573999999999998</v>
      </c>
      <c r="G126"/>
      <c r="H126"/>
    </row>
    <row r="127" spans="1:8" ht="12.75">
      <c r="A127" s="1" t="s">
        <v>34</v>
      </c>
      <c r="C127" s="40">
        <v>142.423</v>
      </c>
      <c r="D127" s="40">
        <f>155</f>
        <v>155</v>
      </c>
      <c r="E127" s="174">
        <v>3565</v>
      </c>
      <c r="F127" s="17">
        <f>Operators!$F$188</f>
        <v>251.85</v>
      </c>
      <c r="G127"/>
      <c r="H127"/>
    </row>
    <row r="128" spans="1:8" ht="12.75">
      <c r="A128" s="1" t="s">
        <v>702</v>
      </c>
      <c r="C128" s="40">
        <v>12.661</v>
      </c>
      <c r="D128" s="40">
        <f>63</f>
        <v>63</v>
      </c>
      <c r="E128" s="174">
        <v>18.84</v>
      </c>
      <c r="F128" s="17"/>
      <c r="G128">
        <v>2015</v>
      </c>
      <c r="H128"/>
    </row>
    <row r="129" spans="1:8" ht="12.75">
      <c r="A129" s="1" t="s">
        <v>35</v>
      </c>
      <c r="C129" s="40">
        <v>27.752</v>
      </c>
      <c r="D129" s="40">
        <f>193</f>
        <v>193</v>
      </c>
      <c r="E129" s="174">
        <v>1616</v>
      </c>
      <c r="F129" s="17">
        <f>Operators!$F$193</f>
        <v>59</v>
      </c>
      <c r="G129"/>
      <c r="H129"/>
    </row>
    <row r="130" spans="1:8" ht="12.75">
      <c r="A130" s="1" t="s">
        <v>703</v>
      </c>
      <c r="C130" s="40">
        <v>13.975</v>
      </c>
      <c r="D130" s="40">
        <f>105</f>
        <v>105</v>
      </c>
      <c r="E130" s="174">
        <v>33.61</v>
      </c>
      <c r="F130" s="17"/>
      <c r="G130"/>
      <c r="H130"/>
    </row>
    <row r="131" spans="1:8" ht="12.75">
      <c r="A131" s="1" t="s">
        <v>704</v>
      </c>
      <c r="C131" s="40">
        <v>7.176</v>
      </c>
      <c r="D131" s="40">
        <f>130</f>
        <v>130</v>
      </c>
      <c r="E131" s="174">
        <v>95.49</v>
      </c>
      <c r="F131" s="17"/>
      <c r="G131"/>
      <c r="H131"/>
    </row>
    <row r="132" spans="1:8" ht="12.75">
      <c r="A132" s="1" t="s">
        <v>705</v>
      </c>
      <c r="C132" s="40">
        <v>5.879</v>
      </c>
      <c r="D132" s="40">
        <f>83</f>
        <v>83</v>
      </c>
      <c r="E132" s="174">
        <v>12.63</v>
      </c>
      <c r="F132" s="17"/>
      <c r="G132"/>
      <c r="H132"/>
    </row>
    <row r="133" spans="1:8" ht="12.75">
      <c r="A133" s="1" t="s">
        <v>358</v>
      </c>
      <c r="C133" s="40">
        <v>5.674</v>
      </c>
      <c r="D133" s="40">
        <f>157</f>
        <v>157</v>
      </c>
      <c r="E133" s="174">
        <v>445.2</v>
      </c>
      <c r="F133" s="17">
        <f>Operators!$F$197</f>
        <v>8.274678111587981</v>
      </c>
      <c r="G133"/>
      <c r="H133"/>
    </row>
    <row r="134" spans="1:8" ht="12.75">
      <c r="A134" s="1" t="s">
        <v>706</v>
      </c>
      <c r="C134" s="40">
        <v>5.445</v>
      </c>
      <c r="D134" s="40">
        <f>117</f>
        <v>117</v>
      </c>
      <c r="E134" s="174">
        <v>152.6</v>
      </c>
      <c r="F134" s="17"/>
      <c r="G134"/>
      <c r="H134"/>
    </row>
    <row r="135" spans="1:8" ht="12.75">
      <c r="A135" s="1" t="s">
        <v>707</v>
      </c>
      <c r="C135" s="40">
        <v>1.983</v>
      </c>
      <c r="D135" s="40">
        <f>117</f>
        <v>117</v>
      </c>
      <c r="E135" s="174">
        <v>61.13</v>
      </c>
      <c r="F135" s="17"/>
      <c r="G135"/>
      <c r="H135"/>
    </row>
    <row r="136" spans="1:8" ht="12.75">
      <c r="A136" s="1" t="s">
        <v>708</v>
      </c>
      <c r="C136" s="40">
        <v>10.613</v>
      </c>
      <c r="D136" s="40">
        <f>53</f>
        <v>53</v>
      </c>
      <c r="E136" s="174">
        <v>5.896</v>
      </c>
      <c r="F136" s="17"/>
      <c r="G136"/>
      <c r="H136"/>
    </row>
    <row r="137" spans="1:8" ht="12.75">
      <c r="A137" s="1" t="s">
        <v>36</v>
      </c>
      <c r="C137" s="40">
        <v>53.675</v>
      </c>
      <c r="D137" s="40">
        <f>150</f>
        <v>150</v>
      </c>
      <c r="E137" s="174">
        <v>704.5</v>
      </c>
      <c r="F137" s="17">
        <f>Operators!$F$200</f>
        <v>104.244</v>
      </c>
      <c r="G137"/>
      <c r="H137"/>
    </row>
    <row r="138" spans="1:8" ht="12.75">
      <c r="A138" s="1" t="s">
        <v>709</v>
      </c>
      <c r="C138" s="40">
        <v>12.042</v>
      </c>
      <c r="D138" s="40">
        <v>25</v>
      </c>
      <c r="E138" s="174">
        <v>25.96</v>
      </c>
      <c r="F138" s="17"/>
      <c r="G138"/>
      <c r="H138"/>
    </row>
    <row r="139" spans="1:8" ht="12.75">
      <c r="A139" s="1" t="s">
        <v>37</v>
      </c>
      <c r="C139" s="40">
        <v>48.146</v>
      </c>
      <c r="D139" s="40">
        <f>106</f>
        <v>106</v>
      </c>
      <c r="E139" s="174">
        <v>1566</v>
      </c>
      <c r="F139" s="17">
        <f>Operators!$F$203</f>
        <v>54.710499999999996</v>
      </c>
      <c r="G139"/>
      <c r="H139"/>
    </row>
    <row r="140" spans="1:8" ht="12.75">
      <c r="A140" s="1" t="s">
        <v>710</v>
      </c>
      <c r="C140" s="40">
        <v>22.053</v>
      </c>
      <c r="D140" s="40">
        <f>101</f>
        <v>101</v>
      </c>
      <c r="E140" s="174">
        <v>217.4</v>
      </c>
      <c r="F140" s="17"/>
      <c r="G140"/>
      <c r="H140"/>
    </row>
    <row r="141" spans="1:8" ht="12.75">
      <c r="A141" s="1" t="s">
        <v>711</v>
      </c>
      <c r="C141" s="40">
        <v>36.108</v>
      </c>
      <c r="D141" s="40">
        <f>78</f>
        <v>78</v>
      </c>
      <c r="E141" s="174">
        <v>159.1</v>
      </c>
      <c r="F141" s="17">
        <f>Operators!$F$208</f>
        <v>28.292682926829265</v>
      </c>
      <c r="G141"/>
      <c r="H141"/>
    </row>
    <row r="142" spans="1:8" ht="12.75">
      <c r="A142" s="1" t="s">
        <v>376</v>
      </c>
      <c r="C142" s="40">
        <v>9.801</v>
      </c>
      <c r="D142" s="40">
        <f>127</f>
        <v>127</v>
      </c>
      <c r="E142" s="174">
        <v>448.2</v>
      </c>
      <c r="F142" s="17">
        <f>Operators!$F$211</f>
        <v>14.211</v>
      </c>
      <c r="G142"/>
      <c r="H142"/>
    </row>
    <row r="143" spans="1:8" ht="12.75">
      <c r="A143" s="1" t="s">
        <v>381</v>
      </c>
      <c r="C143" s="40">
        <v>8.121</v>
      </c>
      <c r="D143" s="40">
        <f>142</f>
        <v>142</v>
      </c>
      <c r="E143" s="174">
        <v>472.8</v>
      </c>
      <c r="F143" s="17">
        <f>Operators!$F$216</f>
        <v>8.64</v>
      </c>
      <c r="G143"/>
      <c r="H143"/>
    </row>
    <row r="144" spans="1:8" ht="12.75">
      <c r="A144" s="1" t="s">
        <v>712</v>
      </c>
      <c r="C144" s="40">
        <v>17.064</v>
      </c>
      <c r="D144" s="40">
        <f>87</f>
        <v>87</v>
      </c>
      <c r="E144" s="174">
        <v>107.6</v>
      </c>
      <c r="F144" s="17"/>
      <c r="G144">
        <v>2015</v>
      </c>
      <c r="H144"/>
    </row>
    <row r="145" spans="1:8" ht="12.75">
      <c r="A145" s="1" t="s">
        <v>713</v>
      </c>
      <c r="C145" s="40">
        <v>8.191</v>
      </c>
      <c r="D145" s="40">
        <f>99</f>
        <v>99</v>
      </c>
      <c r="E145" s="174">
        <v>22.32</v>
      </c>
      <c r="F145" s="17"/>
      <c r="G145"/>
      <c r="H145"/>
    </row>
    <row r="146" spans="1:8" ht="12.75">
      <c r="A146" s="1" t="s">
        <v>714</v>
      </c>
      <c r="C146" s="40">
        <v>51.045</v>
      </c>
      <c r="D146" s="40">
        <f>64</f>
        <v>64</v>
      </c>
      <c r="E146" s="174">
        <v>127.1</v>
      </c>
      <c r="F146" s="17"/>
      <c r="G146"/>
      <c r="H146"/>
    </row>
    <row r="147" spans="1:8" ht="12.75">
      <c r="A147" s="1" t="s">
        <v>38</v>
      </c>
      <c r="C147" s="40">
        <v>67.976</v>
      </c>
      <c r="D147" s="40">
        <f>143</f>
        <v>143</v>
      </c>
      <c r="E147" s="174">
        <v>985.5</v>
      </c>
      <c r="F147" s="17">
        <f>Operators!$F$219</f>
        <v>81.804</v>
      </c>
      <c r="G147"/>
      <c r="H147"/>
    </row>
    <row r="148" spans="1:8" ht="12.75">
      <c r="A148" s="1" t="s">
        <v>715</v>
      </c>
      <c r="C148" s="40">
        <v>7.552</v>
      </c>
      <c r="D148" s="40">
        <f>66</f>
        <v>66</v>
      </c>
      <c r="E148" s="174">
        <v>10.14</v>
      </c>
      <c r="F148" s="17"/>
      <c r="G148"/>
      <c r="H148"/>
    </row>
    <row r="149" spans="1:8" ht="12.75">
      <c r="A149" s="1" t="s">
        <v>389</v>
      </c>
      <c r="C149" s="40">
        <v>11.037</v>
      </c>
      <c r="D149" s="40">
        <f>131</f>
        <v>131</v>
      </c>
      <c r="E149" s="174">
        <v>124.3</v>
      </c>
      <c r="F149" s="17">
        <f>Operators!$F$223</f>
        <v>11.385714285714286</v>
      </c>
      <c r="G149"/>
      <c r="H149"/>
    </row>
    <row r="150" spans="1:8" ht="12.75">
      <c r="A150" s="1" t="s">
        <v>39</v>
      </c>
      <c r="C150" s="40">
        <v>79.414</v>
      </c>
      <c r="D150" s="40">
        <f>92</f>
        <v>92</v>
      </c>
      <c r="E150" s="174">
        <v>1508</v>
      </c>
      <c r="F150" s="17">
        <f>Operators!$F$226</f>
        <v>74.368</v>
      </c>
      <c r="G150"/>
      <c r="H150"/>
    </row>
    <row r="151" spans="1:8" ht="12.75">
      <c r="A151" s="1" t="s">
        <v>716</v>
      </c>
      <c r="C151" s="40">
        <v>5.231</v>
      </c>
      <c r="D151" s="40">
        <f>139</f>
        <v>139</v>
      </c>
      <c r="E151" s="174">
        <v>82.09</v>
      </c>
      <c r="F151" s="17"/>
      <c r="G151">
        <v>2015</v>
      </c>
      <c r="H151"/>
    </row>
    <row r="152" spans="1:8" ht="12.75">
      <c r="A152" s="1" t="s">
        <v>717</v>
      </c>
      <c r="C152" s="40">
        <v>37.101</v>
      </c>
      <c r="D152" s="40">
        <f>57</f>
        <v>57</v>
      </c>
      <c r="E152" s="174">
        <v>76.94</v>
      </c>
      <c r="F152" s="17"/>
      <c r="G152"/>
      <c r="H152"/>
    </row>
    <row r="153" spans="1:8" ht="12.75">
      <c r="A153" s="1" t="s">
        <v>398</v>
      </c>
      <c r="C153" s="40">
        <v>44.429</v>
      </c>
      <c r="D153" s="40">
        <f>136</f>
        <v>136</v>
      </c>
      <c r="E153" s="174">
        <v>370.8</v>
      </c>
      <c r="F153" s="17">
        <f>Operators!$F$230</f>
        <v>58.73</v>
      </c>
      <c r="G153"/>
      <c r="H153"/>
    </row>
    <row r="154" spans="1:8" ht="12.75">
      <c r="A154" s="1" t="s">
        <v>718</v>
      </c>
      <c r="C154" s="40">
        <v>5.779</v>
      </c>
      <c r="D154" s="40">
        <f>299</f>
        <v>299</v>
      </c>
      <c r="E154" s="174">
        <v>599.8</v>
      </c>
      <c r="F154" s="17"/>
      <c r="G154"/>
      <c r="H154"/>
    </row>
    <row r="155" spans="1:8" ht="12.75">
      <c r="A155" s="1" t="s">
        <v>40</v>
      </c>
      <c r="C155" s="40">
        <v>64.088</v>
      </c>
      <c r="D155" s="40">
        <f>123</f>
        <v>123</v>
      </c>
      <c r="E155" s="174">
        <v>2549</v>
      </c>
      <c r="F155" s="17">
        <f>Operators!$F$234</f>
        <v>77.3388</v>
      </c>
      <c r="G155"/>
      <c r="H155"/>
    </row>
    <row r="156" spans="1:8" ht="12.75">
      <c r="A156" s="1" t="s">
        <v>41</v>
      </c>
      <c r="C156" s="40">
        <v>321.368</v>
      </c>
      <c r="D156" s="40">
        <f>100</f>
        <v>100</v>
      </c>
      <c r="E156" s="174">
        <v>17420</v>
      </c>
      <c r="F156" s="17">
        <f>Operators!$F$239</f>
        <v>397.44</v>
      </c>
      <c r="G156"/>
      <c r="H156"/>
    </row>
    <row r="157" spans="1:8" ht="12.75">
      <c r="A157" s="1" t="s">
        <v>719</v>
      </c>
      <c r="C157" s="40">
        <v>3.341</v>
      </c>
      <c r="D157" s="40">
        <f>165</f>
        <v>165</v>
      </c>
      <c r="E157" s="174">
        <v>69.98</v>
      </c>
      <c r="F157" s="17"/>
      <c r="G157"/>
      <c r="H157"/>
    </row>
    <row r="158" spans="1:8" ht="12.75">
      <c r="A158" s="1" t="s">
        <v>720</v>
      </c>
      <c r="C158" s="40">
        <v>29.199</v>
      </c>
      <c r="D158" s="40">
        <f>75</f>
        <v>75</v>
      </c>
      <c r="E158" s="174">
        <v>171.7</v>
      </c>
      <c r="F158" s="17"/>
      <c r="G158">
        <v>2015</v>
      </c>
      <c r="H158"/>
    </row>
    <row r="159" spans="1:8" ht="12.75">
      <c r="A159" s="1" t="s">
        <v>418</v>
      </c>
      <c r="C159" s="40">
        <v>29.275</v>
      </c>
      <c r="D159" s="40">
        <f>106</f>
        <v>106</v>
      </c>
      <c r="E159" s="174">
        <v>538.9</v>
      </c>
      <c r="F159" s="17">
        <f>Operators!$F$247</f>
        <v>22.6665</v>
      </c>
      <c r="G159"/>
      <c r="H159"/>
    </row>
    <row r="160" spans="1:8" ht="12.75">
      <c r="A160" s="1" t="s">
        <v>42</v>
      </c>
      <c r="C160" s="40">
        <v>94.348</v>
      </c>
      <c r="D160" s="40">
        <f>146</f>
        <v>146</v>
      </c>
      <c r="E160" s="174">
        <v>510.7</v>
      </c>
      <c r="F160" s="17">
        <f>Operators!$F$251</f>
        <v>148.60000000000002</v>
      </c>
      <c r="G160">
        <v>2015</v>
      </c>
      <c r="H160"/>
    </row>
    <row r="161" spans="1:8" ht="12.75">
      <c r="A161" s="1" t="s">
        <v>721</v>
      </c>
      <c r="C161" s="40">
        <v>26.737</v>
      </c>
      <c r="D161" s="40">
        <f>66</f>
        <v>66</v>
      </c>
      <c r="E161" s="174">
        <v>103.6</v>
      </c>
      <c r="F161" s="51"/>
      <c r="G161">
        <v>2015</v>
      </c>
      <c r="H161"/>
    </row>
    <row r="162" spans="1:8" ht="12.75">
      <c r="A162" s="1" t="s">
        <v>722</v>
      </c>
      <c r="C162" s="40">
        <v>15.066</v>
      </c>
      <c r="D162" s="40">
        <f>69</f>
        <v>69</v>
      </c>
      <c r="E162" s="174">
        <v>61.05</v>
      </c>
      <c r="F162" s="51"/>
      <c r="G162"/>
      <c r="H162"/>
    </row>
    <row r="163" spans="1:8" ht="12.75">
      <c r="A163" s="1" t="s">
        <v>723</v>
      </c>
      <c r="C163" s="40">
        <v>14.229</v>
      </c>
      <c r="D163" s="40">
        <f>86</f>
        <v>86</v>
      </c>
      <c r="E163" s="174">
        <v>27.13</v>
      </c>
      <c r="F163" s="51"/>
      <c r="G163"/>
      <c r="H163"/>
    </row>
    <row r="164" spans="5:8" ht="12.75">
      <c r="E164" s="174"/>
      <c r="F164"/>
      <c r="G164"/>
      <c r="H164"/>
    </row>
    <row r="165" spans="1:8" ht="12.75">
      <c r="A165" s="1" t="s">
        <v>724</v>
      </c>
      <c r="F165" s="174" t="s">
        <v>725</v>
      </c>
      <c r="G165"/>
      <c r="H165"/>
    </row>
    <row r="166" spans="1:8" ht="12.75">
      <c r="A166" s="180" t="s">
        <v>726</v>
      </c>
      <c r="C166" s="40">
        <f>SUM(C3:C164)</f>
        <v>7744.678</v>
      </c>
      <c r="F166" s="174">
        <f>SUM(E3:E163)-E57</f>
        <v>108054.17400000006</v>
      </c>
      <c r="G166"/>
      <c r="H166"/>
    </row>
    <row r="167" spans="1:8" ht="12.75">
      <c r="A167" s="104"/>
      <c r="G167"/>
      <c r="H167"/>
    </row>
    <row r="168" spans="1:8" ht="12.75">
      <c r="A168" s="104"/>
      <c r="F168" s="174">
        <f>E156</f>
        <v>17420</v>
      </c>
      <c r="G168"/>
      <c r="H168"/>
    </row>
    <row r="169" spans="1:8" ht="12.75">
      <c r="A169" s="47" t="s">
        <v>727</v>
      </c>
      <c r="E169" s="40" t="s">
        <v>728</v>
      </c>
      <c r="F169" s="18">
        <f>E156/F166</f>
        <v>0.16121542884590456</v>
      </c>
      <c r="G169"/>
      <c r="H169"/>
    </row>
    <row r="170" spans="1:8" ht="12.75">
      <c r="A170" s="110" t="s">
        <v>729</v>
      </c>
      <c r="F170" s="174">
        <f>SUM(E4+E5+E6+E8+E10+E11+E12+E15+E16+E19+E21+E22+E24+E25+E26+E28+E30+E32+E33+E39+E40+E42+E43+E45+E46+E47+E48+E51+E53+E54+E55+E56+E59+E60+E61+E62+E63+E64+E65+E66+E72+E75+E76+E77+E78+E79+E82+E83+E84+E87+E88+E89+E91+E92+E93+E94+E95+E96+E97+E98+E99+E101+E102+E104+E106+E107+E109+E112+E113+E114+E115+E122+E123+E125+E126+E127+E128+E129+E130+E131+E132+E134+E135+E136+E137+E138+E139+E141+E142+E143+E144+E145+E146+E149+E150+E151+E152+E153+E154+E155+E158+E161+E162+E163)</f>
        <v>37042.977999999996</v>
      </c>
      <c r="G170"/>
      <c r="H170"/>
    </row>
    <row r="171" spans="5:8" ht="12.75">
      <c r="E171" s="40" t="s">
        <v>730</v>
      </c>
      <c r="F171" s="18">
        <f>F170/F166</f>
        <v>0.3428185754305056</v>
      </c>
      <c r="G171"/>
      <c r="H171"/>
    </row>
    <row r="172" spans="6:8" ht="12.75">
      <c r="F172" s="174">
        <f>SUM(E7+E14+E17+E18+E20+E23+E31+E34+E38+E41+E44+E49+E50+E52+E67+E68+E69+E70+E71+E80+E103+E111+E117+E119+E120+E124+E148+E157+E159)</f>
        <v>11093.852999999997</v>
      </c>
      <c r="G172"/>
      <c r="H172"/>
    </row>
    <row r="173" spans="5:8" ht="12.75">
      <c r="E173" s="40" t="s">
        <v>731</v>
      </c>
      <c r="F173" s="18">
        <f>F172/F166</f>
        <v>0.1026693610188533</v>
      </c>
      <c r="G173" s="18"/>
      <c r="H173" s="18"/>
    </row>
    <row r="174" spans="6:8" ht="12.75">
      <c r="F174" s="174">
        <f>SUM(E3+E9+E13+E24+E27+E29+E35+E36+E37+E73+E74+E85+E86+E90+E100+E105+E108+E110+E116+E118+E121+E133+E140+E147+E160)</f>
        <v>37769.259999999995</v>
      </c>
      <c r="G174"/>
      <c r="H174"/>
    </row>
    <row r="175" spans="5:8" ht="12.75">
      <c r="E175" s="40" t="s">
        <v>732</v>
      </c>
      <c r="F175" s="18">
        <f>F174/F166</f>
        <v>0.34954003720393045</v>
      </c>
      <c r="G175"/>
      <c r="H175"/>
    </row>
    <row r="176" spans="6:8" ht="12.75">
      <c r="F176" s="181">
        <f>E81</f>
        <v>4751</v>
      </c>
      <c r="G176"/>
      <c r="H176"/>
    </row>
    <row r="177" spans="5:8" ht="12.75">
      <c r="E177" s="40" t="s">
        <v>26</v>
      </c>
      <c r="F177" s="18">
        <f>F176/F166</f>
        <v>0.04396868555952311</v>
      </c>
      <c r="G177"/>
      <c r="H177"/>
    </row>
    <row r="178" spans="6:8" ht="12.75">
      <c r="F178" s="174">
        <f>E35+E36</f>
        <v>18017.5</v>
      </c>
      <c r="G178"/>
      <c r="H178"/>
    </row>
    <row r="179" spans="5:8" ht="12.75">
      <c r="E179" s="40" t="s">
        <v>733</v>
      </c>
      <c r="F179" s="18">
        <f>F178/F166</f>
        <v>0.16674506252761684</v>
      </c>
      <c r="G179"/>
      <c r="H179"/>
    </row>
    <row r="180" spans="7:8" ht="12.75">
      <c r="G180"/>
      <c r="H180"/>
    </row>
    <row r="181" spans="1:8" ht="12.75">
      <c r="A181" s="1" t="s">
        <v>734</v>
      </c>
      <c r="G181"/>
      <c r="H181"/>
    </row>
    <row r="182" spans="7:8" ht="12.75">
      <c r="G182"/>
      <c r="H182"/>
    </row>
    <row r="183" spans="7:8" ht="12.75">
      <c r="G183"/>
      <c r="H183"/>
    </row>
  </sheetData>
  <sheetProtection selectLockedCells="1" selectUnlockedCells="1"/>
  <hyperlinks>
    <hyperlink ref="A2" r:id="rId1" display="https://www.cia.gov/library/publications/the-world-factbook/geos/xx.html"/>
    <hyperlink ref="A170" r:id="rId2" display="https://www.cia.gov/library/publications/the-world-factbook/index.html"/>
  </hyperlink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="95" zoomScaleNormal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2" sqref="M12"/>
    </sheetView>
  </sheetViews>
  <sheetFormatPr defaultColWidth="9.140625" defaultRowHeight="12.75"/>
  <cols>
    <col min="1" max="1" width="16.421875" style="1" customWidth="1"/>
    <col min="2" max="2" width="7.8515625" style="0" customWidth="1"/>
    <col min="3" max="3" width="11.140625" style="0" customWidth="1"/>
    <col min="4" max="4" width="13.7109375" style="0" customWidth="1"/>
    <col min="5" max="5" width="8.00390625" style="0" customWidth="1"/>
    <col min="6" max="6" width="11.140625" style="0" customWidth="1"/>
    <col min="7" max="7" width="9.57421875" style="0" customWidth="1"/>
    <col min="8" max="8" width="11.140625" style="0" customWidth="1"/>
    <col min="9" max="11" width="9.57421875" style="0" customWidth="1"/>
    <col min="12" max="12" width="9.7109375" style="0" customWidth="1"/>
  </cols>
  <sheetData>
    <row r="1" spans="1:12" s="1" customFormat="1" ht="12.75">
      <c r="A1" s="1" t="s">
        <v>0</v>
      </c>
      <c r="B1" s="1" t="s">
        <v>735</v>
      </c>
      <c r="C1" s="1" t="s">
        <v>736</v>
      </c>
      <c r="D1" s="1" t="s">
        <v>240</v>
      </c>
      <c r="E1" s="1" t="s">
        <v>737</v>
      </c>
      <c r="F1" s="1" t="s">
        <v>738</v>
      </c>
      <c r="G1" s="1" t="s">
        <v>739</v>
      </c>
      <c r="H1" s="1" t="s">
        <v>740</v>
      </c>
      <c r="I1" s="1" t="s">
        <v>741</v>
      </c>
      <c r="J1" s="1" t="s">
        <v>742</v>
      </c>
      <c r="K1" s="1" t="s">
        <v>743</v>
      </c>
      <c r="L1" s="1" t="s">
        <v>744</v>
      </c>
    </row>
    <row r="2" spans="1:12" s="1" customFormat="1" ht="12.75">
      <c r="A2" s="1" t="s">
        <v>745</v>
      </c>
      <c r="B2" s="1" t="s">
        <v>746</v>
      </c>
      <c r="C2" s="1" t="s">
        <v>746</v>
      </c>
      <c r="D2" s="1" t="s">
        <v>746</v>
      </c>
      <c r="E2" s="1" t="s">
        <v>747</v>
      </c>
      <c r="F2" s="1" t="s">
        <v>748</v>
      </c>
      <c r="G2" s="1" t="s">
        <v>749</v>
      </c>
      <c r="H2" s="1" t="s">
        <v>750</v>
      </c>
      <c r="I2" s="1" t="s">
        <v>751</v>
      </c>
      <c r="J2" s="1" t="s">
        <v>752</v>
      </c>
      <c r="K2" s="1" t="s">
        <v>753</v>
      </c>
      <c r="L2" s="1" t="s">
        <v>754</v>
      </c>
    </row>
    <row r="3" spans="1:12" s="1" customFormat="1" ht="12.75">
      <c r="A3" s="1" t="s">
        <v>755</v>
      </c>
      <c r="B3" s="1" t="s">
        <v>756</v>
      </c>
      <c r="C3" s="1" t="s">
        <v>756</v>
      </c>
      <c r="D3" s="1" t="s">
        <v>756</v>
      </c>
      <c r="E3" s="1" t="s">
        <v>757</v>
      </c>
      <c r="F3" s="1" t="s">
        <v>758</v>
      </c>
      <c r="G3" s="1" t="s">
        <v>759</v>
      </c>
      <c r="H3" s="1" t="s">
        <v>750</v>
      </c>
      <c r="I3" s="1" t="s">
        <v>760</v>
      </c>
      <c r="L3" s="1" t="s">
        <v>761</v>
      </c>
    </row>
    <row r="4" s="1" customFormat="1" ht="12.75">
      <c r="B4" s="1" t="s">
        <v>762</v>
      </c>
    </row>
    <row r="5" spans="1:10" ht="12.75">
      <c r="A5" s="1" t="s">
        <v>13</v>
      </c>
      <c r="B5" s="182" t="s">
        <v>763</v>
      </c>
      <c r="D5" s="182" t="s">
        <v>763</v>
      </c>
      <c r="J5" s="182" t="s">
        <v>763</v>
      </c>
    </row>
    <row r="6" spans="1:10" ht="12.75">
      <c r="A6" s="1" t="s">
        <v>14</v>
      </c>
      <c r="B6" s="182" t="s">
        <v>763</v>
      </c>
      <c r="D6" s="182" t="s">
        <v>763</v>
      </c>
      <c r="E6" s="182" t="s">
        <v>763</v>
      </c>
      <c r="J6" s="182" t="s">
        <v>763</v>
      </c>
    </row>
    <row r="7" spans="1:10" ht="12.75">
      <c r="A7" s="1" t="s">
        <v>96</v>
      </c>
      <c r="E7" s="182" t="s">
        <v>763</v>
      </c>
      <c r="J7" s="182" t="s">
        <v>763</v>
      </c>
    </row>
    <row r="8" spans="1:10" ht="12.75">
      <c r="A8" s="1" t="s">
        <v>108</v>
      </c>
      <c r="E8" s="182" t="s">
        <v>763</v>
      </c>
      <c r="J8" s="182" t="s">
        <v>763</v>
      </c>
    </row>
    <row r="9" spans="1:10" ht="12.75">
      <c r="A9" s="1" t="s">
        <v>16</v>
      </c>
      <c r="B9" s="182" t="s">
        <v>763</v>
      </c>
      <c r="D9" s="182" t="s">
        <v>763</v>
      </c>
      <c r="J9" s="182" t="s">
        <v>763</v>
      </c>
    </row>
    <row r="10" spans="1:12" ht="12.75">
      <c r="A10" s="1" t="s">
        <v>17</v>
      </c>
      <c r="B10" s="182" t="s">
        <v>763</v>
      </c>
      <c r="C10" s="182" t="s">
        <v>763</v>
      </c>
      <c r="D10" s="182" t="s">
        <v>763</v>
      </c>
      <c r="I10" s="182" t="s">
        <v>763</v>
      </c>
      <c r="J10" s="182" t="s">
        <v>763</v>
      </c>
      <c r="L10" s="182" t="s">
        <v>763</v>
      </c>
    </row>
    <row r="11" spans="1:12" ht="12.75">
      <c r="A11" s="1" t="s">
        <v>18</v>
      </c>
      <c r="B11" s="182" t="s">
        <v>763</v>
      </c>
      <c r="D11" s="182" t="s">
        <v>763</v>
      </c>
      <c r="E11" s="182" t="s">
        <v>763</v>
      </c>
      <c r="H11" s="182" t="s">
        <v>763</v>
      </c>
      <c r="J11" s="182" t="s">
        <v>763</v>
      </c>
      <c r="L11" s="182" t="s">
        <v>764</v>
      </c>
    </row>
    <row r="12" spans="1:10" ht="12.75">
      <c r="A12" s="1" t="s">
        <v>165</v>
      </c>
      <c r="B12" s="182" t="s">
        <v>763</v>
      </c>
      <c r="C12" s="182" t="s">
        <v>763</v>
      </c>
      <c r="D12" s="182" t="s">
        <v>763</v>
      </c>
      <c r="E12" s="182" t="s">
        <v>763</v>
      </c>
      <c r="H12" s="182" t="s">
        <v>763</v>
      </c>
      <c r="J12" s="182" t="s">
        <v>763</v>
      </c>
    </row>
    <row r="13" spans="1:10" ht="12.75">
      <c r="A13" s="1" t="s">
        <v>183</v>
      </c>
      <c r="E13" s="182" t="s">
        <v>763</v>
      </c>
      <c r="J13" s="182" t="s">
        <v>763</v>
      </c>
    </row>
    <row r="14" spans="1:10" ht="12.75">
      <c r="A14" s="1" t="s">
        <v>21</v>
      </c>
      <c r="E14" s="182" t="s">
        <v>763</v>
      </c>
      <c r="G14" s="182" t="s">
        <v>763</v>
      </c>
      <c r="J14" s="182" t="s">
        <v>763</v>
      </c>
    </row>
    <row r="15" spans="1:10" ht="12.75">
      <c r="A15" s="1" t="s">
        <v>22</v>
      </c>
      <c r="E15" s="182" t="s">
        <v>763</v>
      </c>
      <c r="G15" s="182" t="s">
        <v>763</v>
      </c>
      <c r="J15" s="182" t="s">
        <v>763</v>
      </c>
    </row>
    <row r="16" spans="1:10" ht="12.75">
      <c r="A16" s="1" t="s">
        <v>23</v>
      </c>
      <c r="D16" s="182" t="s">
        <v>763</v>
      </c>
      <c r="E16" s="182" t="s">
        <v>763</v>
      </c>
      <c r="J16" s="182" t="s">
        <v>763</v>
      </c>
    </row>
    <row r="17" spans="1:10" ht="12.75">
      <c r="A17" s="1" t="s">
        <v>24</v>
      </c>
      <c r="B17" s="182" t="s">
        <v>763</v>
      </c>
      <c r="C17" s="182" t="s">
        <v>763</v>
      </c>
      <c r="E17" s="182" t="s">
        <v>763</v>
      </c>
      <c r="J17" s="182" t="s">
        <v>763</v>
      </c>
    </row>
    <row r="18" spans="1:10" ht="12.75">
      <c r="A18" s="1" t="s">
        <v>261</v>
      </c>
      <c r="B18" s="182" t="s">
        <v>763</v>
      </c>
      <c r="J18" s="182" t="s">
        <v>763</v>
      </c>
    </row>
    <row r="19" spans="1:10" ht="12.75">
      <c r="A19" s="1" t="s">
        <v>25</v>
      </c>
      <c r="E19" s="182" t="s">
        <v>763</v>
      </c>
      <c r="J19" s="182" t="s">
        <v>763</v>
      </c>
    </row>
    <row r="20" spans="1:12" ht="12.75">
      <c r="A20" s="1" t="s">
        <v>26</v>
      </c>
      <c r="D20" s="182" t="s">
        <v>765</v>
      </c>
      <c r="F20" s="182" t="s">
        <v>766</v>
      </c>
      <c r="H20" s="182" t="s">
        <v>763</v>
      </c>
      <c r="J20" s="182">
        <v>26</v>
      </c>
      <c r="L20" s="182" t="s">
        <v>764</v>
      </c>
    </row>
    <row r="21" spans="1:10" ht="12.75">
      <c r="A21" s="1" t="s">
        <v>27</v>
      </c>
      <c r="B21" s="182" t="s">
        <v>763</v>
      </c>
      <c r="D21" s="182" t="s">
        <v>763</v>
      </c>
      <c r="J21" s="182" t="s">
        <v>763</v>
      </c>
    </row>
    <row r="22" spans="1:10" ht="12.75">
      <c r="A22" s="1" t="s">
        <v>28</v>
      </c>
      <c r="B22" s="182" t="s">
        <v>763</v>
      </c>
      <c r="C22" s="182" t="s">
        <v>763</v>
      </c>
      <c r="D22" s="182" t="s">
        <v>763</v>
      </c>
      <c r="E22" s="182" t="s">
        <v>763</v>
      </c>
      <c r="G22" s="182" t="s">
        <v>763</v>
      </c>
      <c r="J22" s="182" t="s">
        <v>763</v>
      </c>
    </row>
    <row r="23" spans="1:12" ht="12.75">
      <c r="A23" s="1" t="s">
        <v>29</v>
      </c>
      <c r="B23" s="182" t="s">
        <v>763</v>
      </c>
      <c r="C23" s="182" t="s">
        <v>763</v>
      </c>
      <c r="D23" s="182" t="s">
        <v>763</v>
      </c>
      <c r="I23" s="182" t="s">
        <v>763</v>
      </c>
      <c r="J23" s="182" t="s">
        <v>763</v>
      </c>
      <c r="L23" s="182" t="s">
        <v>763</v>
      </c>
    </row>
    <row r="24" spans="1:10" ht="12.75">
      <c r="A24" s="1" t="s">
        <v>304</v>
      </c>
      <c r="E24" s="182" t="s">
        <v>763</v>
      </c>
      <c r="J24" s="182" t="s">
        <v>763</v>
      </c>
    </row>
    <row r="25" spans="1:10" ht="12.75">
      <c r="A25" s="1" t="s">
        <v>32</v>
      </c>
      <c r="B25" s="182" t="s">
        <v>763</v>
      </c>
      <c r="C25" s="182" t="s">
        <v>763</v>
      </c>
      <c r="D25" s="182" t="s">
        <v>763</v>
      </c>
      <c r="E25" s="182" t="s">
        <v>763</v>
      </c>
      <c r="J25" s="182" t="s">
        <v>763</v>
      </c>
    </row>
    <row r="26" spans="1:10" ht="12.75">
      <c r="A26" s="1" t="s">
        <v>33</v>
      </c>
      <c r="E26" s="182" t="s">
        <v>763</v>
      </c>
      <c r="J26" s="182" t="s">
        <v>763</v>
      </c>
    </row>
    <row r="27" spans="1:10" ht="12.75">
      <c r="A27" s="1" t="s">
        <v>34</v>
      </c>
      <c r="B27" s="182" t="s">
        <v>763</v>
      </c>
      <c r="C27" s="182" t="s">
        <v>763</v>
      </c>
      <c r="D27" s="182" t="s">
        <v>763</v>
      </c>
      <c r="E27" s="182" t="s">
        <v>763</v>
      </c>
      <c r="J27" s="182" t="s">
        <v>763</v>
      </c>
    </row>
    <row r="28" spans="1:10" ht="12.75">
      <c r="A28" s="1" t="s">
        <v>358</v>
      </c>
      <c r="B28" s="182" t="s">
        <v>763</v>
      </c>
      <c r="C28" s="182" t="s">
        <v>763</v>
      </c>
      <c r="D28" s="182" t="s">
        <v>763</v>
      </c>
      <c r="E28" s="182" t="s">
        <v>763</v>
      </c>
      <c r="G28" s="182" t="s">
        <v>763</v>
      </c>
      <c r="J28" s="182" t="s">
        <v>763</v>
      </c>
    </row>
    <row r="29" spans="1:10" ht="12.75">
      <c r="A29" s="1" t="s">
        <v>37</v>
      </c>
      <c r="E29" s="182" t="s">
        <v>763</v>
      </c>
      <c r="J29" s="182" t="s">
        <v>763</v>
      </c>
    </row>
    <row r="30" spans="1:10" ht="12.75">
      <c r="A30" s="1" t="s">
        <v>376</v>
      </c>
      <c r="E30" s="182" t="s">
        <v>763</v>
      </c>
      <c r="J30" s="182" t="s">
        <v>763</v>
      </c>
    </row>
    <row r="31" spans="1:10" ht="12.75">
      <c r="A31" s="1" t="s">
        <v>381</v>
      </c>
      <c r="E31" s="182" t="s">
        <v>763</v>
      </c>
      <c r="G31" s="182" t="s">
        <v>763</v>
      </c>
      <c r="J31" s="182" t="s">
        <v>763</v>
      </c>
    </row>
    <row r="32" spans="1:10" ht="12.75">
      <c r="A32" s="1" t="s">
        <v>40</v>
      </c>
      <c r="E32" s="182" t="s">
        <v>763</v>
      </c>
      <c r="G32" s="182" t="s">
        <v>763</v>
      </c>
      <c r="J32" s="182" t="s">
        <v>763</v>
      </c>
    </row>
    <row r="33" spans="1:12" ht="12.75">
      <c r="A33" s="1" t="s">
        <v>41</v>
      </c>
      <c r="B33" s="182" t="s">
        <v>763</v>
      </c>
      <c r="C33" s="182" t="s">
        <v>763</v>
      </c>
      <c r="D33" s="182" t="s">
        <v>763</v>
      </c>
      <c r="I33" s="182" t="s">
        <v>763</v>
      </c>
      <c r="J33" s="182">
        <v>79</v>
      </c>
      <c r="K33" s="182" t="s">
        <v>763</v>
      </c>
      <c r="L33" s="182" t="s">
        <v>763</v>
      </c>
    </row>
    <row r="35" spans="1:12" ht="12.75">
      <c r="A35" s="1" t="s">
        <v>767</v>
      </c>
      <c r="B35">
        <v>832</v>
      </c>
      <c r="C35">
        <v>832</v>
      </c>
      <c r="D35">
        <v>20</v>
      </c>
      <c r="E35">
        <v>124</v>
      </c>
      <c r="F35">
        <v>1600</v>
      </c>
      <c r="G35">
        <v>374</v>
      </c>
      <c r="H35">
        <v>300</v>
      </c>
      <c r="K35">
        <v>31</v>
      </c>
      <c r="L35">
        <v>22</v>
      </c>
    </row>
    <row r="36" spans="1:12" ht="12.75">
      <c r="A36" s="1" t="s">
        <v>768</v>
      </c>
      <c r="B36" t="s">
        <v>769</v>
      </c>
      <c r="C36" t="s">
        <v>769</v>
      </c>
      <c r="D36" t="s">
        <v>770</v>
      </c>
      <c r="E36" t="s">
        <v>771</v>
      </c>
      <c r="F36" t="s">
        <v>772</v>
      </c>
      <c r="G36" t="s">
        <v>771</v>
      </c>
      <c r="H36" t="s">
        <v>773</v>
      </c>
      <c r="K36" t="s">
        <v>774</v>
      </c>
      <c r="L36" t="s">
        <v>775</v>
      </c>
    </row>
    <row r="37" spans="1:8" ht="12.75">
      <c r="A37" s="1" t="s">
        <v>776</v>
      </c>
      <c r="B37" t="s">
        <v>777</v>
      </c>
      <c r="C37" t="s">
        <v>778</v>
      </c>
      <c r="D37" t="s">
        <v>779</v>
      </c>
      <c r="E37" t="s">
        <v>780</v>
      </c>
      <c r="F37" t="s">
        <v>778</v>
      </c>
      <c r="G37" t="s">
        <v>781</v>
      </c>
      <c r="H37" t="s">
        <v>778</v>
      </c>
    </row>
    <row r="38" spans="1:8" ht="12.75">
      <c r="A38" s="1" t="s">
        <v>782</v>
      </c>
      <c r="B38" t="s">
        <v>783</v>
      </c>
      <c r="C38" t="s">
        <v>784</v>
      </c>
      <c r="D38" t="s">
        <v>785</v>
      </c>
      <c r="E38" t="s">
        <v>786</v>
      </c>
      <c r="F38" t="s">
        <v>787</v>
      </c>
      <c r="G38" t="s">
        <v>786</v>
      </c>
      <c r="H38" t="s">
        <v>788</v>
      </c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Ecclesine</cp:lastModifiedBy>
  <dcterms:modified xsi:type="dcterms:W3CDTF">2016-05-12T11:56:21Z</dcterms:modified>
  <cp:category/>
  <cp:version/>
  <cp:contentType/>
  <cp:contentStatus/>
  <cp:revision>121</cp:revision>
</cp:coreProperties>
</file>