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521" windowWidth="6600" windowHeight="7140" activeTab="0"/>
  </bookViews>
  <sheets>
    <sheet name="Read Me" sheetId="1" r:id="rId1"/>
    <sheet name="PMD Sol'n Set" sheetId="2" r:id="rId2"/>
  </sheets>
  <definedNames/>
  <calcPr fullCalcOnLoad="1"/>
</workbook>
</file>

<file path=xl/comments2.xml><?xml version="1.0" encoding="utf-8"?>
<comments xmlns="http://schemas.openxmlformats.org/spreadsheetml/2006/main">
  <authors>
    <author>pkolesar</author>
  </authors>
  <commentList>
    <comment ref="Q1" authorId="0">
      <text>
        <r>
          <rPr>
            <b/>
            <sz val="8"/>
            <rFont val="Tahoma"/>
            <family val="0"/>
          </rPr>
          <t>pkolesar:</t>
        </r>
        <r>
          <rPr>
            <sz val="8"/>
            <rFont val="Tahoma"/>
            <family val="0"/>
          </rPr>
          <t xml:space="preserve">
from kolesar_02_0911.pdf</t>
        </r>
      </text>
    </comment>
    <comment ref="E7" authorId="0">
      <text>
        <r>
          <rPr>
            <b/>
            <sz val="8"/>
            <rFont val="Tahoma"/>
            <family val="0"/>
          </rPr>
          <t>pkolesar:</t>
        </r>
        <r>
          <rPr>
            <sz val="8"/>
            <rFont val="Tahoma"/>
            <family val="0"/>
          </rPr>
          <t xml:space="preserve">
Will sum to 100% for solution sets that provide complete coverage.</t>
        </r>
      </text>
    </comment>
    <comment ref="P2" authorId="0">
      <text>
        <r>
          <rPr>
            <b/>
            <sz val="8"/>
            <rFont val="Tahoma"/>
            <family val="0"/>
          </rPr>
          <t>pkolesar:</t>
        </r>
        <r>
          <rPr>
            <sz val="8"/>
            <rFont val="Tahoma"/>
            <family val="0"/>
          </rPr>
          <t xml:space="preserve">
pre 2008 per
flatman_01_0108</t>
        </r>
      </text>
    </comment>
    <comment ref="O2" authorId="0">
      <text>
        <r>
          <rPr>
            <b/>
            <sz val="8"/>
            <rFont val="Tahoma"/>
            <family val="0"/>
          </rPr>
          <t>pkolesar:</t>
        </r>
        <r>
          <rPr>
            <sz val="8"/>
            <rFont val="Tahoma"/>
            <family val="0"/>
          </rPr>
          <t xml:space="preserve">
post-2012 projection per
flatman_01_0311</t>
        </r>
      </text>
    </comment>
    <comment ref="E14" authorId="0">
      <text>
        <r>
          <rPr>
            <b/>
            <sz val="8"/>
            <rFont val="Tahoma"/>
            <family val="0"/>
          </rPr>
          <t>pkolesar:</t>
        </r>
        <r>
          <rPr>
            <sz val="8"/>
            <rFont val="Tahoma"/>
            <family val="0"/>
          </rPr>
          <t xml:space="preserve">
Will sum to 100% for solution sets that provide complete coverage.</t>
        </r>
      </text>
    </comment>
    <comment ref="E21" authorId="0">
      <text>
        <r>
          <rPr>
            <b/>
            <sz val="8"/>
            <rFont val="Tahoma"/>
            <family val="0"/>
          </rPr>
          <t>pkolesar:</t>
        </r>
        <r>
          <rPr>
            <sz val="8"/>
            <rFont val="Tahoma"/>
            <family val="0"/>
          </rPr>
          <t xml:space="preserve">
Will sum to 100% for solution sets that provide complete coverage.</t>
        </r>
      </text>
    </comment>
    <comment ref="E28" authorId="0">
      <text>
        <r>
          <rPr>
            <b/>
            <sz val="8"/>
            <rFont val="Tahoma"/>
            <family val="0"/>
          </rPr>
          <t>pkolesar:</t>
        </r>
        <r>
          <rPr>
            <sz val="8"/>
            <rFont val="Tahoma"/>
            <family val="0"/>
          </rPr>
          <t xml:space="preserve">
Will sum to 100% for solution sets that provide complete coverage.</t>
        </r>
      </text>
    </comment>
  </commentList>
</comments>
</file>

<file path=xl/sharedStrings.xml><?xml version="1.0" encoding="utf-8"?>
<sst xmlns="http://schemas.openxmlformats.org/spreadsheetml/2006/main" count="69" uniqueCount="52">
  <si>
    <t>(m)</t>
  </si>
  <si>
    <t>comparison metric</t>
  </si>
  <si>
    <t>channel length</t>
  </si>
  <si>
    <t>PMD description</t>
  </si>
  <si>
    <t>(relative values)</t>
  </si>
  <si>
    <t>(ordered by increasing reach)</t>
  </si>
  <si>
    <t>PMD reach capability</t>
  </si>
  <si>
    <t>coverage check:</t>
  </si>
  <si>
    <t>Figures of Merit:</t>
  </si>
  <si>
    <t>PMD set number</t>
  </si>
  <si>
    <t>A (AOC)</t>
  </si>
  <si>
    <t>B1 (SR4)</t>
  </si>
  <si>
    <t>C (PR4)</t>
  </si>
  <si>
    <t>D (LR4)</t>
  </si>
  <si>
    <t>B2 (SR4)</t>
  </si>
  <si>
    <t>single link: concat ratio = 0</t>
  </si>
  <si>
    <t>2:1 mix: concat ratio = 0.33</t>
  </si>
  <si>
    <t>double link: concat ratio = 1</t>
  </si>
  <si>
    <t>(ft)</t>
  </si>
  <si>
    <t>pre-2008</t>
  </si>
  <si>
    <t>post-2012</t>
  </si>
  <si>
    <t xml:space="preserve"> server-to-switch channel 
cumulative density functions </t>
  </si>
  <si>
    <t>data center switch-to-switch channel 
cumulative density functions in 2010</t>
  </si>
  <si>
    <t>PMD coverage for 
server-to-switch channels</t>
  </si>
  <si>
    <t>PMD coverage for 
switch-to-switch channels</t>
  </si>
  <si>
    <t>for interpolation</t>
  </si>
  <si>
    <t xml:space="preserve">post-2012 server-to-switch </t>
  </si>
  <si>
    <t xml:space="preserve">pre-2008 server-to-switch </t>
  </si>
  <si>
    <t xml:space="preserve">single-link switch-to-switch </t>
  </si>
  <si>
    <t xml:space="preserve">2:1 mix switch-to-switch </t>
  </si>
  <si>
    <t xml:space="preserve">double-link switch-to-switch </t>
  </si>
  <si>
    <t>Paul Kolesar</t>
  </si>
  <si>
    <t>Description</t>
  </si>
  <si>
    <t>SolutionAnalyzer_2011_11_14</t>
  </si>
  <si>
    <t xml:space="preserve">This spreadsheet permits comparison of PMD solution sets targeted to support data center environments. </t>
  </si>
  <si>
    <t>The originating source of the CDFs is referenced within the comments imbedded in the title cells above the CDF columns.</t>
  </si>
  <si>
    <t>The calculation proceeds as follows:</t>
  </si>
  <si>
    <t xml:space="preserve">The channel coverage of the next PMD in the set is determined from where the previous PMD stopped, and so on, thus necessitating ascending reach order. </t>
  </si>
  <si>
    <r>
      <t xml:space="preserve">The cells in columns B, C and D in </t>
    </r>
    <r>
      <rPr>
        <b/>
        <sz val="10"/>
        <rFont val="Arial"/>
        <family val="2"/>
      </rPr>
      <t>bold font</t>
    </r>
    <r>
      <rPr>
        <sz val="10"/>
        <rFont val="Arial"/>
        <family val="0"/>
      </rPr>
      <t xml:space="preserve"> are inputs to the analysis.  </t>
    </r>
  </si>
  <si>
    <t>Columns O and P are the CDFs for access channels between servers and switches in two different time periods that illustrate migration of switch placement closer to servers.</t>
  </si>
  <si>
    <t>Columns Q, R and S are the CDFs for aggregation channels between switches for three different topology mixes detailed in the referenced source material.</t>
  </si>
  <si>
    <r>
      <t xml:space="preserve">In </t>
    </r>
    <r>
      <rPr>
        <sz val="10"/>
        <color indexed="17"/>
        <rFont val="Arial"/>
        <family val="2"/>
      </rPr>
      <t>column C</t>
    </r>
    <r>
      <rPr>
        <sz val="10"/>
        <rFont val="Arial"/>
        <family val="0"/>
      </rPr>
      <t xml:space="preserve"> input relative values of the metric to be compared such as cost, power consumption, size, etc.</t>
    </r>
  </si>
  <si>
    <t>Note: the default input values are placeholders.</t>
  </si>
  <si>
    <r>
      <t xml:space="preserve">In </t>
    </r>
    <r>
      <rPr>
        <sz val="10"/>
        <color indexed="12"/>
        <rFont val="Arial"/>
        <family val="2"/>
      </rPr>
      <t>column D</t>
    </r>
    <r>
      <rPr>
        <sz val="10"/>
        <rFont val="Arial"/>
        <family val="0"/>
      </rPr>
      <t xml:space="preserve"> input the reach capability in meters.  The column E reach values in US customary units of feet are calculated, not input.</t>
    </r>
  </si>
  <si>
    <t xml:space="preserve">The worksheet "PMD Sol'n Set" allows comparison of up to four sets, each with up to four PMDs, on a variety of metrics. </t>
  </si>
  <si>
    <r>
      <t xml:space="preserve">In </t>
    </r>
    <r>
      <rPr>
        <sz val="10"/>
        <color indexed="10"/>
        <rFont val="Arial"/>
        <family val="2"/>
      </rPr>
      <t>column B</t>
    </r>
    <r>
      <rPr>
        <sz val="10"/>
        <rFont val="Arial"/>
        <family val="0"/>
      </rPr>
      <t xml:space="preserve"> input the description of the PMDs within the sets, </t>
    </r>
    <r>
      <rPr>
        <u val="single"/>
        <sz val="10"/>
        <rFont val="Arial"/>
        <family val="2"/>
      </rPr>
      <t>in order of ascending reach</t>
    </r>
    <r>
      <rPr>
        <sz val="10"/>
        <rFont val="Arial"/>
        <family val="0"/>
      </rPr>
      <t xml:space="preserve"> (i.e. ascending supportable distance) capability.</t>
    </r>
  </si>
  <si>
    <t xml:space="preserve">Two categories of channel CDFs are provided. </t>
  </si>
  <si>
    <t>Note: Setting reach to 0 effectively eliminates a PMD from the calculation provided that PMD is listed before others in compliance with the ascending reach ordering requirement.</t>
  </si>
  <si>
    <t>The Figures of Merit are determined by summing coverage-weighted comparison metrics.  These are plotted below the PMD tables in the order of channels with increasing CDF.</t>
  </si>
  <si>
    <t>The calculation produces Figures of Merit for each of the five data center channel length cumulative density functions (CDFs) provided in columns M thru S and plotted to the right in both metric (meters) and US customary (feet) units.</t>
  </si>
  <si>
    <t>The channel coverage of each PMD is determined by comparison to the CDFs using linear interpolation starting with the first PMD listed in the set.</t>
  </si>
  <si>
    <t>A coverage check is determined by summing the coverage of all the PMDs in the set for each CDF, wherein a value less than 100% indicates that a portion of that CDF is not covered.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</si>
</sst>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000000000000%"/>
    <numFmt numFmtId="167" formatCode="0.00000"/>
    <numFmt numFmtId="168" formatCode="0.0000"/>
    <numFmt numFmtId="169" formatCode="0.000"/>
    <numFmt numFmtId="170" formatCode="0.0000%"/>
    <numFmt numFmtId="171" formatCode="0.000%"/>
    <numFmt numFmtId="172" formatCode="0.00000000000000000%"/>
  </numFmts>
  <fonts count="20">
    <font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8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165" fontId="0" fillId="0" borderId="2" xfId="0" applyNumberForma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0" fillId="0" borderId="6" xfId="0" applyNumberFormat="1" applyBorder="1" applyAlignment="1">
      <alignment/>
    </xf>
    <xf numFmtId="165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8" xfId="0" applyNumberFormat="1" applyBorder="1" applyAlignment="1">
      <alignment/>
    </xf>
    <xf numFmtId="2" fontId="0" fillId="0" borderId="9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Metric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92"/>
          <c:w val="0.86325"/>
          <c:h val="0.80925"/>
        </c:manualLayout>
      </c:layout>
      <c:lineChart>
        <c:grouping val="standard"/>
        <c:varyColors val="0"/>
        <c:ser>
          <c:idx val="0"/>
          <c:order val="0"/>
          <c:tx>
            <c:strRef>
              <c:f>'PMD Sol''n Set'!$A$3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'PMD Sol''n Set'!$F$2:$J$2</c:f>
              <c:strCache/>
            </c:strRef>
          </c:cat>
          <c:val>
            <c:numRef>
              <c:f>'PMD Sol''n Set'!$F$8:$J$8</c:f>
              <c:numCache/>
            </c:numRef>
          </c:val>
          <c:smooth val="0"/>
        </c:ser>
        <c:ser>
          <c:idx val="1"/>
          <c:order val="1"/>
          <c:tx>
            <c:strRef>
              <c:f>'PMD Sol''n Set'!$A$10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'PMD Sol''n Set'!$F$2:$J$2</c:f>
              <c:strCache/>
            </c:strRef>
          </c:cat>
          <c:val>
            <c:numRef>
              <c:f>'PMD Sol''n Set'!$F$15:$J$15</c:f>
              <c:numCache/>
            </c:numRef>
          </c:val>
          <c:smooth val="0"/>
        </c:ser>
        <c:ser>
          <c:idx val="2"/>
          <c:order val="2"/>
          <c:tx>
            <c:strRef>
              <c:f>'PMD Sol''n Set'!$A$17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'PMD Sol''n Set'!$F$2:$J$2</c:f>
              <c:strCache/>
            </c:strRef>
          </c:cat>
          <c:val>
            <c:numRef>
              <c:f>'PMD Sol''n Set'!$F$22:$J$22</c:f>
              <c:numCache/>
            </c:numRef>
          </c:val>
          <c:smooth val="0"/>
        </c:ser>
        <c:ser>
          <c:idx val="3"/>
          <c:order val="3"/>
          <c:tx>
            <c:strRef>
              <c:f>'PMD Sol''n Set'!$A$24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'PMD Sol''n Set'!$F$2:$J$2</c:f>
              <c:strCache/>
            </c:strRef>
          </c:cat>
          <c:val>
            <c:numRef>
              <c:f>'PMD Sol''n Set'!$F$29:$J$29</c:f>
              <c:numCache/>
            </c:numRef>
          </c:val>
          <c:smooth val="0"/>
        </c:ser>
        <c:marker val="1"/>
        <c:axId val="21074581"/>
        <c:axId val="55453502"/>
      </c:lineChart>
      <c:catAx>
        <c:axId val="21074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Channel Topology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5453502"/>
        <c:crosses val="autoZero"/>
        <c:auto val="1"/>
        <c:lblOffset val="100"/>
        <c:noMultiLvlLbl val="0"/>
      </c:catAx>
      <c:valAx>
        <c:axId val="55453502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Figure of Merit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074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"/>
          <c:y val="0.35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Server-to-Switch Channels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9325"/>
          <c:w val="0.93175"/>
          <c:h val="0.83325"/>
        </c:manualLayout>
      </c:layout>
      <c:scatterChart>
        <c:scatterStyle val="smooth"/>
        <c:varyColors val="0"/>
        <c:ser>
          <c:idx val="0"/>
          <c:order val="0"/>
          <c:tx>
            <c:strRef>
              <c:f>'PMD Sol''n Set'!$O$2</c:f>
              <c:strCache>
                <c:ptCount val="1"/>
                <c:pt idx="0">
                  <c:v>post-2012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'PMD Sol''n Set'!$N$3:$N$14</c:f>
              <c:numCache/>
            </c:numRef>
          </c:xVal>
          <c:yVal>
            <c:numRef>
              <c:f>'PMD Sol''n Set'!$O$3:$O$14</c:f>
              <c:numCache/>
            </c:numRef>
          </c:yVal>
          <c:smooth val="1"/>
        </c:ser>
        <c:ser>
          <c:idx val="1"/>
          <c:order val="1"/>
          <c:tx>
            <c:strRef>
              <c:f>'PMD Sol''n Set'!$P$2</c:f>
              <c:strCache>
                <c:ptCount val="1"/>
                <c:pt idx="0">
                  <c:v>pre-2008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'PMD Sol''n Set'!$N$3:$N$14</c:f>
              <c:numCache/>
            </c:numRef>
          </c:xVal>
          <c:yVal>
            <c:numRef>
              <c:f>'PMD Sol''n Set'!$P$3:$P$14</c:f>
              <c:numCache/>
            </c:numRef>
          </c:yVal>
          <c:smooth val="1"/>
        </c:ser>
        <c:axId val="29319471"/>
        <c:axId val="62548648"/>
      </c:scatterChart>
      <c:valAx>
        <c:axId val="29319471"/>
        <c:scaling>
          <c:orientation val="minMax"/>
          <c:max val="3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Length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48648"/>
        <c:crosses val="autoZero"/>
        <c:crossBetween val="midCat"/>
        <c:dispUnits/>
        <c:majorUnit val="30"/>
        <c:minorUnit val="10"/>
      </c:valAx>
      <c:valAx>
        <c:axId val="6254864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9319471"/>
        <c:crosses val="autoZero"/>
        <c:crossBetween val="midCat"/>
        <c:dispUnits/>
        <c:majorUnit val="0.1"/>
        <c:min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75"/>
          <c:y val="0.4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Server-to-Switch Channels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9575"/>
          <c:w val="0.93525"/>
          <c:h val="0.83375"/>
        </c:manualLayout>
      </c:layout>
      <c:scatterChart>
        <c:scatterStyle val="smooth"/>
        <c:varyColors val="0"/>
        <c:ser>
          <c:idx val="0"/>
          <c:order val="0"/>
          <c:tx>
            <c:strRef>
              <c:f>'PMD Sol''n Set'!$O$2</c:f>
              <c:strCache>
                <c:ptCount val="1"/>
                <c:pt idx="0">
                  <c:v>post-2012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'PMD Sol''n Set'!$M$3:$M$14</c:f>
              <c:numCache/>
            </c:numRef>
          </c:xVal>
          <c:yVal>
            <c:numRef>
              <c:f>'PMD Sol''n Set'!$O$3:$O$14</c:f>
              <c:numCache/>
            </c:numRef>
          </c:yVal>
          <c:smooth val="1"/>
        </c:ser>
        <c:ser>
          <c:idx val="1"/>
          <c:order val="1"/>
          <c:tx>
            <c:strRef>
              <c:f>'PMD Sol''n Set'!$P$2</c:f>
              <c:strCache>
                <c:ptCount val="1"/>
                <c:pt idx="0">
                  <c:v>pre-2008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'PMD Sol''n Set'!$M$3:$M$14</c:f>
              <c:numCache/>
            </c:numRef>
          </c:xVal>
          <c:yVal>
            <c:numRef>
              <c:f>'PMD Sol''n Set'!$P$3:$P$14</c:f>
              <c:numCache/>
            </c:numRef>
          </c:yVal>
          <c:smooth val="1"/>
        </c:ser>
        <c:axId val="26066921"/>
        <c:axId val="33275698"/>
      </c:scatterChart>
      <c:valAx>
        <c:axId val="2606692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275698"/>
        <c:crosses val="autoZero"/>
        <c:crossBetween val="midCat"/>
        <c:dispUnits/>
        <c:majorUnit val="10"/>
        <c:minorUnit val="2.5"/>
      </c:valAx>
      <c:valAx>
        <c:axId val="3327569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6066921"/>
        <c:crosses val="autoZero"/>
        <c:crossBetween val="midCat"/>
        <c:dispUnits/>
        <c:majorUnit val="0.1"/>
        <c:min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05"/>
          <c:y val="0.4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Switch-to-Switch Channels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9875"/>
          <c:w val="0.93225"/>
          <c:h val="0.82775"/>
        </c:manualLayout>
      </c:layout>
      <c:scatterChart>
        <c:scatterStyle val="smooth"/>
        <c:varyColors val="0"/>
        <c:ser>
          <c:idx val="0"/>
          <c:order val="0"/>
          <c:tx>
            <c:v>single-link (concat ratio = 0)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'PMD Sol''n Set'!$N$3:$N$43</c:f>
              <c:numCache/>
            </c:numRef>
          </c:xVal>
          <c:yVal>
            <c:numRef>
              <c:f>'PMD Sol''n Set'!$Q$3:$Q$43</c:f>
              <c:numCache/>
            </c:numRef>
          </c:yVal>
          <c:smooth val="1"/>
        </c:ser>
        <c:ser>
          <c:idx val="1"/>
          <c:order val="1"/>
          <c:tx>
            <c:v>2:1 mix (concat ratio = 0.33)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'PMD Sol''n Set'!$N$3:$N$43</c:f>
              <c:numCache/>
            </c:numRef>
          </c:xVal>
          <c:yVal>
            <c:numRef>
              <c:f>'PMD Sol''n Set'!$R$3:$R$43</c:f>
              <c:numCache/>
            </c:numRef>
          </c:yVal>
          <c:smooth val="1"/>
        </c:ser>
        <c:ser>
          <c:idx val="2"/>
          <c:order val="2"/>
          <c:tx>
            <c:v>double-link (concat ratio = 1)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'PMD Sol''n Set'!$N$3:$N$43</c:f>
              <c:numCache/>
            </c:numRef>
          </c:xVal>
          <c:yVal>
            <c:numRef>
              <c:f>'PMD Sol''n Set'!$S$3:$S$43</c:f>
              <c:numCache/>
            </c:numRef>
          </c:yVal>
          <c:smooth val="1"/>
        </c:ser>
        <c:axId val="31045827"/>
        <c:axId val="10976988"/>
      </c:scatterChart>
      <c:valAx>
        <c:axId val="31045827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Length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0976988"/>
        <c:crosses val="autoZero"/>
        <c:crossBetween val="midCat"/>
        <c:dispUnits/>
        <c:majorUnit val="100"/>
        <c:minorUnit val="10"/>
      </c:valAx>
      <c:valAx>
        <c:axId val="10976988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1045827"/>
        <c:crosses val="autoZero"/>
        <c:crossBetween val="midCat"/>
        <c:dispUnits/>
        <c:majorUnit val="0.1"/>
        <c:min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"/>
          <c:y val="0.44925"/>
          <c:w val="0.49575"/>
          <c:h val="0.16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Switch-to-Switch Channels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9775"/>
          <c:w val="0.93225"/>
          <c:h val="0.81225"/>
        </c:manualLayout>
      </c:layout>
      <c:scatterChart>
        <c:scatterStyle val="smooth"/>
        <c:varyColors val="0"/>
        <c:ser>
          <c:idx val="0"/>
          <c:order val="0"/>
          <c:tx>
            <c:v>single-link (concat ratio = 0)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'PMD Sol''n Set'!$M$3:$M$43</c:f>
              <c:numCache/>
            </c:numRef>
          </c:xVal>
          <c:yVal>
            <c:numRef>
              <c:f>'PMD Sol''n Set'!$Q$3:$Q$43</c:f>
              <c:numCache/>
            </c:numRef>
          </c:yVal>
          <c:smooth val="1"/>
        </c:ser>
        <c:ser>
          <c:idx val="1"/>
          <c:order val="1"/>
          <c:tx>
            <c:v>2:1 mix (concat ratio = 0.33)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'PMD Sol''n Set'!$M$3:$M$43</c:f>
              <c:numCache/>
            </c:numRef>
          </c:xVal>
          <c:yVal>
            <c:numRef>
              <c:f>'PMD Sol''n Set'!$R$3:$R$43</c:f>
              <c:numCache/>
            </c:numRef>
          </c:yVal>
          <c:smooth val="1"/>
        </c:ser>
        <c:ser>
          <c:idx val="2"/>
          <c:order val="2"/>
          <c:tx>
            <c:v>double-link (concat ratio = 1)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'PMD Sol''n Set'!$M$3:$M$43</c:f>
              <c:numCache/>
            </c:numRef>
          </c:xVal>
          <c:yVal>
            <c:numRef>
              <c:f>'PMD Sol''n Set'!$S$3:$S$43</c:f>
              <c:numCache/>
            </c:numRef>
          </c:yVal>
          <c:smooth val="1"/>
        </c:ser>
        <c:axId val="31684029"/>
        <c:axId val="16720806"/>
      </c:scatterChart>
      <c:valAx>
        <c:axId val="31684029"/>
        <c:scaling>
          <c:orientation val="minMax"/>
          <c:max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Length (m)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720806"/>
        <c:crosses val="autoZero"/>
        <c:crossBetween val="midCat"/>
        <c:dispUnits/>
        <c:majorUnit val="25"/>
        <c:minorUnit val="10"/>
      </c:valAx>
      <c:valAx>
        <c:axId val="16720806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1684029"/>
        <c:crosses val="autoZero"/>
        <c:crossBetween val="midCat"/>
        <c:dispUnits/>
        <c:majorUnit val="0.1"/>
        <c:min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"/>
          <c:y val="0.4675"/>
          <c:w val="0.49575"/>
          <c:h val="0.166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10</xdr:col>
      <xdr:colOff>0</xdr:colOff>
      <xdr:row>52</xdr:row>
      <xdr:rowOff>28575</xdr:rowOff>
    </xdr:to>
    <xdr:graphicFrame>
      <xdr:nvGraphicFramePr>
        <xdr:cNvPr id="1" name="Chart 6"/>
        <xdr:cNvGraphicFramePr/>
      </xdr:nvGraphicFramePr>
      <xdr:xfrm>
        <a:off x="609600" y="5391150"/>
        <a:ext cx="6619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19050</xdr:colOff>
      <xdr:row>0</xdr:row>
      <xdr:rowOff>28575</xdr:rowOff>
    </xdr:from>
    <xdr:to>
      <xdr:col>25</xdr:col>
      <xdr:colOff>419100</xdr:colOff>
      <xdr:row>22</xdr:row>
      <xdr:rowOff>85725</xdr:rowOff>
    </xdr:to>
    <xdr:graphicFrame>
      <xdr:nvGraphicFramePr>
        <xdr:cNvPr id="2" name="Chart 15"/>
        <xdr:cNvGraphicFramePr/>
      </xdr:nvGraphicFramePr>
      <xdr:xfrm>
        <a:off x="13877925" y="28575"/>
        <a:ext cx="40576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104775</xdr:colOff>
      <xdr:row>0</xdr:row>
      <xdr:rowOff>28575</xdr:rowOff>
    </xdr:from>
    <xdr:to>
      <xdr:col>29</xdr:col>
      <xdr:colOff>514350</xdr:colOff>
      <xdr:row>22</xdr:row>
      <xdr:rowOff>95250</xdr:rowOff>
    </xdr:to>
    <xdr:graphicFrame>
      <xdr:nvGraphicFramePr>
        <xdr:cNvPr id="3" name="Chart 16"/>
        <xdr:cNvGraphicFramePr/>
      </xdr:nvGraphicFramePr>
      <xdr:xfrm>
        <a:off x="16402050" y="28575"/>
        <a:ext cx="4067175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19050</xdr:colOff>
      <xdr:row>22</xdr:row>
      <xdr:rowOff>85725</xdr:rowOff>
    </xdr:from>
    <xdr:to>
      <xdr:col>25</xdr:col>
      <xdr:colOff>447675</xdr:colOff>
      <xdr:row>48</xdr:row>
      <xdr:rowOff>57150</xdr:rowOff>
    </xdr:to>
    <xdr:graphicFrame>
      <xdr:nvGraphicFramePr>
        <xdr:cNvPr id="4" name="Chart 18"/>
        <xdr:cNvGraphicFramePr/>
      </xdr:nvGraphicFramePr>
      <xdr:xfrm>
        <a:off x="13877925" y="4181475"/>
        <a:ext cx="4086225" cy="4181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104775</xdr:colOff>
      <xdr:row>22</xdr:row>
      <xdr:rowOff>85725</xdr:rowOff>
    </xdr:from>
    <xdr:to>
      <xdr:col>29</xdr:col>
      <xdr:colOff>523875</xdr:colOff>
      <xdr:row>48</xdr:row>
      <xdr:rowOff>66675</xdr:rowOff>
    </xdr:to>
    <xdr:graphicFrame>
      <xdr:nvGraphicFramePr>
        <xdr:cNvPr id="5" name="Chart 19"/>
        <xdr:cNvGraphicFramePr/>
      </xdr:nvGraphicFramePr>
      <xdr:xfrm>
        <a:off x="16402050" y="4181475"/>
        <a:ext cx="4076700" cy="4191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1"/>
  <sheetViews>
    <sheetView tabSelected="1" zoomScale="115" zoomScaleNormal="115" workbookViewId="0" topLeftCell="A1">
      <selection activeCell="K29" sqref="K29"/>
    </sheetView>
  </sheetViews>
  <sheetFormatPr defaultColWidth="9.140625" defaultRowHeight="12.75"/>
  <sheetData>
    <row r="1" spans="2:5" ht="12.75">
      <c r="B1" t="s">
        <v>33</v>
      </c>
      <c r="E1" t="s">
        <v>31</v>
      </c>
    </row>
    <row r="3" ht="12.75">
      <c r="B3" t="s">
        <v>32</v>
      </c>
    </row>
    <row r="4" ht="12.75">
      <c r="B4" t="s">
        <v>34</v>
      </c>
    </row>
    <row r="5" ht="12.75">
      <c r="B5" t="s">
        <v>44</v>
      </c>
    </row>
    <row r="6" ht="12.75">
      <c r="B6" t="s">
        <v>38</v>
      </c>
    </row>
    <row r="7" ht="12.75">
      <c r="C7" t="s">
        <v>45</v>
      </c>
    </row>
    <row r="8" ht="12.75">
      <c r="C8" t="s">
        <v>41</v>
      </c>
    </row>
    <row r="9" ht="12.75">
      <c r="C9" t="s">
        <v>43</v>
      </c>
    </row>
    <row r="10" ht="12.75">
      <c r="C10" t="s">
        <v>42</v>
      </c>
    </row>
    <row r="11" ht="12.75">
      <c r="B11" t="s">
        <v>49</v>
      </c>
    </row>
    <row r="12" ht="12.75">
      <c r="C12" t="s">
        <v>35</v>
      </c>
    </row>
    <row r="13" ht="12.75">
      <c r="B13" t="s">
        <v>46</v>
      </c>
    </row>
    <row r="14" ht="12.75">
      <c r="C14" t="s">
        <v>39</v>
      </c>
    </row>
    <row r="15" ht="12.75">
      <c r="C15" t="s">
        <v>40</v>
      </c>
    </row>
    <row r="16" ht="12.75">
      <c r="B16" t="s">
        <v>36</v>
      </c>
    </row>
    <row r="17" ht="12.75">
      <c r="C17" t="s">
        <v>50</v>
      </c>
    </row>
    <row r="18" ht="12.75">
      <c r="C18" t="s">
        <v>37</v>
      </c>
    </row>
    <row r="19" ht="12.75">
      <c r="C19" t="s">
        <v>51</v>
      </c>
    </row>
    <row r="20" ht="12.75">
      <c r="C20" t="s">
        <v>48</v>
      </c>
    </row>
    <row r="21" ht="12.75">
      <c r="C21" t="s">
        <v>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0"/>
  <sheetViews>
    <sheetView zoomScale="85" zoomScaleNormal="85" workbookViewId="0" topLeftCell="A1">
      <selection activeCell="G12" sqref="G12"/>
    </sheetView>
  </sheetViews>
  <sheetFormatPr defaultColWidth="9.140625" defaultRowHeight="12.75"/>
  <cols>
    <col min="2" max="2" width="12.7109375" style="0" customWidth="1"/>
    <col min="3" max="3" width="10.7109375" style="0" customWidth="1"/>
    <col min="4" max="4" width="9.7109375" style="0" customWidth="1"/>
    <col min="5" max="5" width="9.57421875" style="0" customWidth="1"/>
    <col min="6" max="6" width="12.00390625" style="0" customWidth="1"/>
    <col min="7" max="7" width="11.7109375" style="0" customWidth="1"/>
    <col min="8" max="8" width="10.8515625" style="0" customWidth="1"/>
    <col min="9" max="9" width="10.421875" style="0" customWidth="1"/>
    <col min="10" max="10" width="11.57421875" style="0" customWidth="1"/>
    <col min="12" max="12" width="11.8515625" style="0" customWidth="1"/>
    <col min="13" max="13" width="8.8515625" style="0" customWidth="1"/>
    <col min="14" max="14" width="9.28125" style="0" customWidth="1"/>
    <col min="15" max="15" width="12.140625" style="0" customWidth="1"/>
    <col min="16" max="16" width="12.28125" style="0" customWidth="1"/>
    <col min="17" max="17" width="12.00390625" style="0" customWidth="1"/>
    <col min="18" max="18" width="11.8515625" style="0" customWidth="1"/>
    <col min="19" max="19" width="12.00390625" style="0" customWidth="1"/>
    <col min="35" max="35" width="11.421875" style="0" customWidth="1"/>
    <col min="36" max="37" width="10.8515625" style="0" customWidth="1"/>
    <col min="38" max="38" width="11.140625" style="0" customWidth="1"/>
    <col min="39" max="39" width="12.8515625" style="0" customWidth="1"/>
  </cols>
  <sheetData>
    <row r="1" spans="1:40" ht="27.75" customHeight="1">
      <c r="A1" s="2" t="s">
        <v>9</v>
      </c>
      <c r="B1" s="40" t="s">
        <v>3</v>
      </c>
      <c r="C1" s="41" t="s">
        <v>1</v>
      </c>
      <c r="D1" s="43" t="s">
        <v>6</v>
      </c>
      <c r="E1" s="44"/>
      <c r="F1" s="49" t="s">
        <v>23</v>
      </c>
      <c r="G1" s="49"/>
      <c r="H1" s="49" t="s">
        <v>24</v>
      </c>
      <c r="I1" s="49"/>
      <c r="J1" s="49"/>
      <c r="K1" s="17"/>
      <c r="L1" s="16" t="s">
        <v>25</v>
      </c>
      <c r="M1" s="47" t="s">
        <v>2</v>
      </c>
      <c r="N1" s="48"/>
      <c r="O1" s="48" t="s">
        <v>21</v>
      </c>
      <c r="P1" s="48"/>
      <c r="Q1" s="45" t="s">
        <v>22</v>
      </c>
      <c r="R1" s="45"/>
      <c r="S1" s="46"/>
      <c r="AE1" s="20"/>
      <c r="AF1" s="20"/>
      <c r="AG1" s="20"/>
      <c r="AH1" s="20"/>
      <c r="AI1" s="19"/>
      <c r="AJ1" s="19"/>
      <c r="AK1" s="19"/>
      <c r="AL1" s="20"/>
      <c r="AM1" s="20"/>
      <c r="AN1" s="4"/>
    </row>
    <row r="2" spans="1:40" ht="39.75" customHeight="1">
      <c r="A2" s="1"/>
      <c r="B2" s="40" t="s">
        <v>5</v>
      </c>
      <c r="C2" s="41" t="s">
        <v>4</v>
      </c>
      <c r="D2" s="42" t="s">
        <v>0</v>
      </c>
      <c r="E2" s="17" t="s">
        <v>18</v>
      </c>
      <c r="F2" s="16" t="s">
        <v>26</v>
      </c>
      <c r="G2" s="16" t="s">
        <v>27</v>
      </c>
      <c r="H2" s="16" t="s">
        <v>28</v>
      </c>
      <c r="I2" s="16" t="s">
        <v>29</v>
      </c>
      <c r="J2" s="16" t="s">
        <v>30</v>
      </c>
      <c r="L2" s="17"/>
      <c r="M2" s="18" t="s">
        <v>0</v>
      </c>
      <c r="N2" s="22" t="s">
        <v>18</v>
      </c>
      <c r="O2" s="20" t="s">
        <v>20</v>
      </c>
      <c r="P2" s="20" t="s">
        <v>19</v>
      </c>
      <c r="Q2" s="19" t="s">
        <v>15</v>
      </c>
      <c r="R2" s="20" t="s">
        <v>16</v>
      </c>
      <c r="S2" s="21" t="s">
        <v>17</v>
      </c>
      <c r="AE2" s="22"/>
      <c r="AF2" s="22"/>
      <c r="AG2" s="22"/>
      <c r="AH2" s="22"/>
      <c r="AI2" s="19"/>
      <c r="AJ2" s="20"/>
      <c r="AK2" s="20"/>
      <c r="AL2" s="20"/>
      <c r="AM2" s="20"/>
      <c r="AN2" s="4"/>
    </row>
    <row r="3" spans="1:40" ht="12.75">
      <c r="A3" s="1">
        <v>1</v>
      </c>
      <c r="B3" s="5"/>
      <c r="C3" s="6">
        <v>1</v>
      </c>
      <c r="D3" s="6">
        <v>0</v>
      </c>
      <c r="E3" s="7">
        <f>3.281*D3</f>
        <v>0</v>
      </c>
      <c r="F3" s="37">
        <f>IF($E3&gt;$N$47,1,VLOOKUP($E3,$N$3:$S$47,2)+((VLOOKUP($E3,$L$4:$S$48,4)-VLOOKUP($E3,$N$3:$S$47,2))*($E3-VLOOKUP($E3,$N$3:$S$47,1))/(VLOOKUP($E3,$L$4:$S$48,3)-VLOOKUP($E3,$N$3:$S$47,1))))</f>
        <v>0</v>
      </c>
      <c r="G3" s="33">
        <f>IF($E3&gt;$N$47,1,VLOOKUP($E3,$N$3:$S$47,3)+((VLOOKUP($E3,$L$4:$S$48,5)-VLOOKUP($E3,$N$3:$S$47,3))*($E3-VLOOKUP($E3,$N$3:$S$47,1))/(VLOOKUP($E3,$L$4:$S$48,3)-VLOOKUP($E3,$N$3:$S$47,1))))</f>
        <v>0</v>
      </c>
      <c r="H3" s="33">
        <f>IF($E3&gt;$N$47,1,VLOOKUP($E3,$N$3:$S$47,4)+((VLOOKUP($E3,$L$4:$S$48,6)-VLOOKUP($E3,$N$3:$S$47,4))*($E3-VLOOKUP($E3,$N$3:$S$47,1))/(VLOOKUP($E3,$L$4:$S$48,3)-VLOOKUP($E3,$N$3:$S$47,1))))</f>
        <v>0</v>
      </c>
      <c r="I3" s="33">
        <f>IF($E3&gt;$N$47,1,VLOOKUP($E3,$N$3:$S$47,5)+((VLOOKUP($E3,$L$4:$S$48,7)-VLOOKUP($E3,$N$3:$S$47,5))*($E3-VLOOKUP($E3,$N$3:$S$47,1))/(VLOOKUP($E3,$L$4:$S$48,3)-VLOOKUP($E3,$N$3:$S$47,1))))</f>
        <v>0</v>
      </c>
      <c r="J3" s="34">
        <f>IF($E3&gt;$N$47,1,VLOOKUP($E3,$N$3:$S$47,6)+((VLOOKUP($E3,$L$4:$S$48,8)-VLOOKUP($E3,$N$3:$S$47,6))*($E3-VLOOKUP($E3,$N$3:$S$47,1))/(VLOOKUP($E3,$L$4:$S$48,3)-VLOOKUP($E3,$N$3:$S$47,1))))</f>
        <v>0</v>
      </c>
      <c r="M3" s="25">
        <f>N3/3.281</f>
        <v>0</v>
      </c>
      <c r="N3" s="23">
        <v>0</v>
      </c>
      <c r="O3" s="31">
        <v>0</v>
      </c>
      <c r="P3" s="31">
        <v>0</v>
      </c>
      <c r="Q3" s="24">
        <v>0</v>
      </c>
      <c r="R3" s="24">
        <v>0</v>
      </c>
      <c r="S3" s="26">
        <v>0</v>
      </c>
      <c r="AE3" s="4"/>
      <c r="AF3" s="4"/>
      <c r="AG3" s="10"/>
      <c r="AH3" s="23"/>
      <c r="AI3" s="24"/>
      <c r="AJ3" s="24"/>
      <c r="AK3" s="24"/>
      <c r="AL3" s="31"/>
      <c r="AM3" s="31"/>
      <c r="AN3" s="4"/>
    </row>
    <row r="4" spans="1:40" ht="12.75">
      <c r="A4" s="1"/>
      <c r="B4" s="8" t="s">
        <v>11</v>
      </c>
      <c r="C4" s="9">
        <v>1.25</v>
      </c>
      <c r="D4" s="9">
        <v>100</v>
      </c>
      <c r="E4" s="10">
        <f>3.281*D4</f>
        <v>328.1</v>
      </c>
      <c r="F4" s="38">
        <f>IF($E4&gt;$N$47,1-(F3),VLOOKUP($E4,$N$3:$S$47,2)+((VLOOKUP($E4,$L$4:$S$48,4)-VLOOKUP($E4,$N$3:$S$47,2))*($E4-VLOOKUP($E4,$N$3:$S$47,1))/(VLOOKUP($E4,$L$4:$S$48,3)-VLOOKUP($E4,$N$3:$S$47,1)))-(F3))</f>
        <v>0.9996833333333334</v>
      </c>
      <c r="G4" s="24">
        <f>IF($E4&gt;$N$47,1-(G3),VLOOKUP($E4,$N$3:$S$47,3)+((VLOOKUP($E4,$L$4:$S$48,5)-VLOOKUP($E4,$N$3:$S$47,3))*($E4-VLOOKUP($E4,$N$3:$S$47,1))/(VLOOKUP($E4,$L$4:$S$48,3)-VLOOKUP($E4,$N$3:$S$47,1)))-(G3))</f>
        <v>0.9991766666666667</v>
      </c>
      <c r="H4" s="24">
        <f>IF($E4&gt;$N$47,1-(H3),VLOOKUP($E4,$N$3:$S$47,4)+((VLOOKUP($E4,$L$4:$S$48,6)-VLOOKUP($E4,$N$3:$S$47,4))*($E4-VLOOKUP($E4,$N$3:$S$47,1))/(VLOOKUP($E4,$L$4:$S$48,3)-VLOOKUP($E4,$N$3:$S$47,1)))-(H3))</f>
        <v>0.8815100350874046</v>
      </c>
      <c r="I4" s="24">
        <f>IF($E4&gt;$N$47,1-(I3),VLOOKUP($E4,$N$3:$S$47,5)+((VLOOKUP($E4,$L$4:$S$48,7)-VLOOKUP($E4,$N$3:$S$47,5))*($E4-VLOOKUP($E4,$N$3:$S$47,1))/(VLOOKUP($E4,$L$4:$S$48,3)-VLOOKUP($E4,$N$3:$S$47,1)))-(I3))</f>
        <v>0.7934502168684111</v>
      </c>
      <c r="J4" s="26">
        <f>IF($E4&gt;$N$47,1-(J3),VLOOKUP($E4,$N$3:$S$47,6)+((VLOOKUP($E4,$L$4:$S$48,8)-VLOOKUP($E4,$N$3:$S$47,6))*($E4-VLOOKUP($E4,$N$3:$S$47,1))/(VLOOKUP($E4,$L$4:$S$48,3)-VLOOKUP($E4,$N$3:$S$47,1)))-(J3))</f>
        <v>0.6173305804304241</v>
      </c>
      <c r="L4" s="23">
        <v>0</v>
      </c>
      <c r="M4" s="25">
        <f aca="true" t="shared" si="0" ref="M4:M47">N4/3.281</f>
        <v>9.143553794574824</v>
      </c>
      <c r="N4" s="23">
        <v>30</v>
      </c>
      <c r="O4" s="31">
        <v>0.639</v>
      </c>
      <c r="P4" s="31">
        <v>0.305</v>
      </c>
      <c r="Q4" s="24">
        <v>0</v>
      </c>
      <c r="R4" s="24">
        <v>0</v>
      </c>
      <c r="S4" s="26">
        <v>0</v>
      </c>
      <c r="AE4" s="10"/>
      <c r="AF4" s="23"/>
      <c r="AG4" s="10"/>
      <c r="AH4" s="23"/>
      <c r="AI4" s="24"/>
      <c r="AJ4" s="24"/>
      <c r="AK4" s="24"/>
      <c r="AL4" s="31"/>
      <c r="AM4" s="31"/>
      <c r="AN4" s="4"/>
    </row>
    <row r="5" spans="1:40" ht="12.75">
      <c r="A5" s="1"/>
      <c r="B5" s="8" t="s">
        <v>12</v>
      </c>
      <c r="C5" s="9">
        <v>4</v>
      </c>
      <c r="D5" s="9">
        <v>1000</v>
      </c>
      <c r="E5" s="10">
        <f>3.281*D5</f>
        <v>3281</v>
      </c>
      <c r="F5" s="38">
        <f>IF($E5&gt;$N$47,1-(F3+F4),VLOOKUP($E5,$N$3:$S$47,2)+((VLOOKUP($E5,$L$4:$S$48,4)-VLOOKUP($E5,$N$3:$S$47,2))*($E5-VLOOKUP($E5,$N$3:$S$47,1))/(VLOOKUP($E5,$L$4:$S$48,3)-VLOOKUP($E5,$N$3:$S$47,1)))-(F3+F4))</f>
        <v>0.0003166666666666318</v>
      </c>
      <c r="G5" s="24">
        <f>IF($E5&gt;$N$47,1-(G3+G4),VLOOKUP($E5,$N$3:$S$47,3)+((VLOOKUP($E5,$L$4:$S$48,5)-VLOOKUP($E5,$N$3:$S$47,3))*($E5-VLOOKUP($E5,$N$3:$S$47,1))/(VLOOKUP($E5,$L$4:$S$48,3)-VLOOKUP($E5,$N$3:$S$47,1)))-(G3+G4))</f>
        <v>0.0008233333333332871</v>
      </c>
      <c r="H5" s="24">
        <f>IF($E5&gt;$N$47,1-(H3+H4),VLOOKUP($E5,$N$3:$S$47,4)+((VLOOKUP($E5,$L$4:$S$48,6)-VLOOKUP($E5,$N$3:$S$47,4))*($E5-VLOOKUP($E5,$N$3:$S$47,1))/(VLOOKUP($E5,$L$4:$S$48,3)-VLOOKUP($E5,$N$3:$S$47,1)))-(H3+H4))</f>
        <v>0.11848996491259545</v>
      </c>
      <c r="I5" s="24">
        <f>IF($E5&gt;$N$47,1-(I3+I4),VLOOKUP($E5,$N$3:$S$47,5)+((VLOOKUP($E5,$L$4:$S$48,7)-VLOOKUP($E5,$N$3:$S$47,5))*($E5-VLOOKUP($E5,$N$3:$S$47,1))/(VLOOKUP($E5,$L$4:$S$48,3)-VLOOKUP($E5,$N$3:$S$47,1)))-(I3+I4))</f>
        <v>0.2065497831315889</v>
      </c>
      <c r="J5" s="26">
        <f>IF($E5&gt;$N$47,1-(J3+J4),VLOOKUP($E5,$N$3:$S$47,6)+((VLOOKUP($E5,$L$4:$S$48,8)-VLOOKUP($E5,$N$3:$S$47,6))*($E5-VLOOKUP($E5,$N$3:$S$47,1))/(VLOOKUP($E5,$L$4:$S$48,3)-VLOOKUP($E5,$N$3:$S$47,1)))-(J3+J4))</f>
        <v>0.3826694195695759</v>
      </c>
      <c r="L5" s="23">
        <v>30</v>
      </c>
      <c r="M5" s="25">
        <f t="shared" si="0"/>
        <v>18.28710758914965</v>
      </c>
      <c r="N5" s="23">
        <v>60</v>
      </c>
      <c r="O5" s="31">
        <v>0.8490000000000001</v>
      </c>
      <c r="P5" s="31">
        <v>0.659</v>
      </c>
      <c r="Q5" s="24">
        <v>0.060284144879948584</v>
      </c>
      <c r="R5" s="24">
        <v>0.04021256927536592</v>
      </c>
      <c r="S5" s="26">
        <v>6.941806620061916E-05</v>
      </c>
      <c r="AE5" s="10"/>
      <c r="AF5" s="23"/>
      <c r="AG5" s="10"/>
      <c r="AH5" s="23"/>
      <c r="AI5" s="24"/>
      <c r="AJ5" s="24"/>
      <c r="AK5" s="24"/>
      <c r="AL5" s="31"/>
      <c r="AM5" s="31"/>
      <c r="AN5" s="4"/>
    </row>
    <row r="6" spans="1:40" ht="12.75">
      <c r="A6" s="1"/>
      <c r="B6" s="8" t="s">
        <v>13</v>
      </c>
      <c r="C6" s="9">
        <v>20</v>
      </c>
      <c r="D6" s="9">
        <v>10000</v>
      </c>
      <c r="E6" s="10">
        <f>3.281*D6</f>
        <v>32810</v>
      </c>
      <c r="F6" s="38">
        <f>IF($E6&gt;$N$47,1-(F3+F4+F5),VLOOKUP($E6,$N$3:$S$47,2)+((VLOOKUP($E6,$L$4:$S$48,4)-VLOOKUP($E6,$N$3:$S$47,2))*($E6-VLOOKUP($E6,$N$3:$S$47,1))/(VLOOKUP($E6,$L$4:$S$48,3)-VLOOKUP($E6,$N$3:$S$47,1)))-(F3+F4+F5))</f>
        <v>0</v>
      </c>
      <c r="G6" s="24">
        <f>IF($E6&gt;$N$47,1-(G3+G4+G5),VLOOKUP($E6,$N$3:$S$47,3)+((VLOOKUP($E6,$L$4:$S$48,5)-VLOOKUP($E6,$N$3:$S$47,3))*($E6-VLOOKUP($E6,$N$3:$S$47,1))/(VLOOKUP($E6,$L$4:$S$48,3)-VLOOKUP($E6,$N$3:$S$47,1)))-(G3+G4+G5))</f>
        <v>0</v>
      </c>
      <c r="H6" s="24">
        <f>IF($E6&gt;$N$47,1-(H3+H4+H5),VLOOKUP($E6,$N$3:$S$47,4)+((VLOOKUP($E6,$L$4:$S$48,6)-VLOOKUP($E6,$N$3:$S$47,4))*($E6-VLOOKUP($E6,$N$3:$S$47,1))/(VLOOKUP($E6,$L$4:$S$48,3)-VLOOKUP($E6,$N$3:$S$47,1)))-(H3+H4+H5))</f>
        <v>0</v>
      </c>
      <c r="I6" s="24">
        <f>IF($E6&gt;$N$47,1-(I3+I4+I5),VLOOKUP($E6,$N$3:$S$47,5)+((VLOOKUP($E6,$L$4:$S$48,7)-VLOOKUP($E6,$N$3:$S$47,5))*($E6-VLOOKUP($E6,$N$3:$S$47,1))/(VLOOKUP($E6,$L$4:$S$48,3)-VLOOKUP($E6,$N$3:$S$47,1)))-(I3+I4+I5))</f>
        <v>0</v>
      </c>
      <c r="J6" s="26">
        <f>IF($E6&gt;$N$47,1-(J3+J4+J5),VLOOKUP($E6,$N$3:$S$47,6)+((VLOOKUP($E6,$L$4:$S$48,8)-VLOOKUP($E6,$N$3:$S$47,6))*($E6-VLOOKUP($E6,$N$3:$S$47,1))/(VLOOKUP($E6,$L$4:$S$48,3)-VLOOKUP($E6,$N$3:$S$47,1)))-(J3+J4+J5))</f>
        <v>0</v>
      </c>
      <c r="L6" s="23">
        <v>60</v>
      </c>
      <c r="M6" s="25">
        <f t="shared" si="0"/>
        <v>27.430661383724473</v>
      </c>
      <c r="N6" s="23">
        <v>90</v>
      </c>
      <c r="O6" s="31">
        <v>0.9159999999999999</v>
      </c>
      <c r="P6" s="31">
        <v>0.805</v>
      </c>
      <c r="Q6" s="24">
        <v>0.2292837872218782</v>
      </c>
      <c r="R6" s="24">
        <v>0.15371776006091267</v>
      </c>
      <c r="S6" s="26">
        <v>0.0025857057389816764</v>
      </c>
      <c r="AE6" s="10"/>
      <c r="AF6" s="23"/>
      <c r="AG6" s="10"/>
      <c r="AH6" s="23"/>
      <c r="AI6" s="24"/>
      <c r="AJ6" s="24"/>
      <c r="AK6" s="24"/>
      <c r="AL6" s="31"/>
      <c r="AM6" s="31"/>
      <c r="AN6" s="4"/>
    </row>
    <row r="7" spans="1:40" ht="12.75">
      <c r="A7" s="1"/>
      <c r="B7" s="11"/>
      <c r="C7" s="4"/>
      <c r="D7" s="4"/>
      <c r="E7" s="15" t="s">
        <v>7</v>
      </c>
      <c r="F7" s="39">
        <f>SUM(F3:F6)</f>
        <v>1</v>
      </c>
      <c r="G7" s="29">
        <f>SUM(G3:G6)</f>
        <v>1</v>
      </c>
      <c r="H7" s="29">
        <f>SUM(H3:H6)</f>
        <v>1</v>
      </c>
      <c r="I7" s="29">
        <f>SUM(I3:I6)</f>
        <v>1</v>
      </c>
      <c r="J7" s="30">
        <f>SUM(J3:J6)</f>
        <v>1</v>
      </c>
      <c r="L7" s="23">
        <v>90</v>
      </c>
      <c r="M7" s="25">
        <f t="shared" si="0"/>
        <v>36.5742151782993</v>
      </c>
      <c r="N7" s="23">
        <v>120</v>
      </c>
      <c r="O7" s="31">
        <v>0.939</v>
      </c>
      <c r="P7" s="31">
        <v>0.872</v>
      </c>
      <c r="Q7" s="24">
        <v>0.41132977832842066</v>
      </c>
      <c r="R7" s="24">
        <v>0.28062137363348166</v>
      </c>
      <c r="S7" s="26">
        <v>0.019204564243603808</v>
      </c>
      <c r="AE7" s="10"/>
      <c r="AF7" s="23"/>
      <c r="AG7" s="10"/>
      <c r="AH7" s="23"/>
      <c r="AI7" s="24"/>
      <c r="AJ7" s="24"/>
      <c r="AK7" s="24"/>
      <c r="AL7" s="31"/>
      <c r="AM7" s="31"/>
      <c r="AN7" s="4"/>
    </row>
    <row r="8" spans="1:40" ht="12.75">
      <c r="A8" s="1"/>
      <c r="B8" s="12"/>
      <c r="C8" s="13"/>
      <c r="D8" s="13"/>
      <c r="E8" s="14" t="s">
        <v>8</v>
      </c>
      <c r="F8" s="35">
        <f>$C3*F3+$C4*F4+$C5*F5+$C6*F6</f>
        <v>1.2508708333333332</v>
      </c>
      <c r="G8" s="35">
        <f>$C3*G3+$C4*G4+$C5*G5+$C6*G6</f>
        <v>1.2522641666666665</v>
      </c>
      <c r="H8" s="36">
        <f>$C3*H3+$C4*H4+$C5*H5+$C6*H6</f>
        <v>1.5758474035096375</v>
      </c>
      <c r="I8" s="36">
        <f>$C3*I3+$C4*I4+$C5*I5+$C6*I6</f>
        <v>1.8180119036118696</v>
      </c>
      <c r="J8" s="35">
        <f>$C3*J3+$C4*J4+$C5*J5+$C6*J6</f>
        <v>2.302340903816334</v>
      </c>
      <c r="L8" s="23">
        <v>120</v>
      </c>
      <c r="M8" s="25">
        <f t="shared" si="0"/>
        <v>45.71776897287412</v>
      </c>
      <c r="N8" s="23">
        <v>150</v>
      </c>
      <c r="O8" s="31">
        <v>0.958</v>
      </c>
      <c r="P8" s="31">
        <v>0.905</v>
      </c>
      <c r="Q8" s="24">
        <v>0.5536885641237064</v>
      </c>
      <c r="R8" s="24">
        <v>0.39131378203917333</v>
      </c>
      <c r="S8" s="26">
        <v>0.0665642178701074</v>
      </c>
      <c r="AE8" s="10"/>
      <c r="AF8" s="23"/>
      <c r="AG8" s="10"/>
      <c r="AH8" s="23"/>
      <c r="AI8" s="24"/>
      <c r="AJ8" s="24"/>
      <c r="AK8" s="24"/>
      <c r="AL8" s="31"/>
      <c r="AM8" s="31"/>
      <c r="AN8" s="4"/>
    </row>
    <row r="9" spans="1:40" ht="12.75">
      <c r="A9" s="1"/>
      <c r="B9" s="4"/>
      <c r="C9" s="4"/>
      <c r="D9" s="4"/>
      <c r="E9" s="4"/>
      <c r="F9" s="4"/>
      <c r="G9" s="4"/>
      <c r="H9" s="4"/>
      <c r="I9" s="4"/>
      <c r="J9" s="4"/>
      <c r="L9" s="23">
        <v>150</v>
      </c>
      <c r="M9" s="25">
        <f t="shared" si="0"/>
        <v>54.86132276744895</v>
      </c>
      <c r="N9" s="23">
        <v>180</v>
      </c>
      <c r="O9" s="31">
        <v>0.968</v>
      </c>
      <c r="P9" s="31">
        <v>0.926</v>
      </c>
      <c r="Q9" s="24">
        <v>0.6644123424181659</v>
      </c>
      <c r="R9" s="24">
        <v>0.5095439677476216</v>
      </c>
      <c r="S9" s="26">
        <v>0.19980721840653304</v>
      </c>
      <c r="AE9" s="10"/>
      <c r="AF9" s="23"/>
      <c r="AG9" s="10"/>
      <c r="AH9" s="23"/>
      <c r="AI9" s="24"/>
      <c r="AJ9" s="24"/>
      <c r="AK9" s="24"/>
      <c r="AL9" s="31"/>
      <c r="AM9" s="31"/>
      <c r="AN9" s="4"/>
    </row>
    <row r="10" spans="1:40" ht="12.75">
      <c r="A10" s="1">
        <v>2</v>
      </c>
      <c r="B10" s="5" t="s">
        <v>10</v>
      </c>
      <c r="C10" s="6">
        <v>1</v>
      </c>
      <c r="D10" s="6">
        <v>20</v>
      </c>
      <c r="E10" s="7">
        <f>3.281*D10</f>
        <v>65.62</v>
      </c>
      <c r="F10" s="37">
        <f>IF($E10&gt;$N$47,1,VLOOKUP($E10,$N$3:$S$47,2)+((VLOOKUP($E10,$L$4:$S$48,4)-VLOOKUP($E10,$N$3:$S$47,2))*($E10-VLOOKUP($E10,$N$3:$S$47,1))/(VLOOKUP($E10,$L$4:$S$48,3)-VLOOKUP($E10,$N$3:$S$47,1))))</f>
        <v>0.8615513333333334</v>
      </c>
      <c r="G10" s="33">
        <f>IF($E10&gt;$N$47,1,VLOOKUP($E10,$N$3:$S$47,3)+((VLOOKUP($E10,$L$4:$S$48,5)-VLOOKUP($E10,$N$3:$S$47,3))*($E10-VLOOKUP($E10,$N$3:$S$47,1))/(VLOOKUP($E10,$L$4:$S$48,3)-VLOOKUP($E10,$N$3:$S$47,1))))</f>
        <v>0.6863506666666668</v>
      </c>
      <c r="H10" s="33">
        <f>IF($E10&gt;$N$47,1,VLOOKUP($E10,$N$3:$S$47,4)+((VLOOKUP($E10,$L$4:$S$48,6)-VLOOKUP($E10,$N$3:$S$47,4))*($E10-VLOOKUP($E10,$N$3:$S$47,1))/(VLOOKUP($E10,$L$4:$S$48,3)-VLOOKUP($E10,$N$3:$S$47,1))))</f>
        <v>0.09194341121200342</v>
      </c>
      <c r="I10" s="33">
        <f>IF($E10&gt;$N$47,1,VLOOKUP($E10,$N$3:$S$47,5)+((VLOOKUP($E10,$L$4:$S$48,7)-VLOOKUP($E10,$N$3:$S$47,5))*($E10-VLOOKUP($E10,$N$3:$S$47,1))/(VLOOKUP($E10,$L$4:$S$48,3)-VLOOKUP($E10,$N$3:$S$47,1))))</f>
        <v>0.06147587501585836</v>
      </c>
      <c r="J10" s="34">
        <f>IF($E10&gt;$N$47,1,VLOOKUP($E10,$N$3:$S$47,6)+((VLOOKUP($E10,$L$4:$S$48,8)-VLOOKUP($E10,$N$3:$S$47,6))*($E10-VLOOKUP($E10,$N$3:$S$47,1))/(VLOOKUP($E10,$L$4:$S$48,3)-VLOOKUP($E10,$N$3:$S$47,1))))</f>
        <v>0.000540802623568271</v>
      </c>
      <c r="L10" s="23">
        <v>180</v>
      </c>
      <c r="M10" s="25">
        <f t="shared" si="0"/>
        <v>64.00487656202377</v>
      </c>
      <c r="N10" s="23">
        <v>210</v>
      </c>
      <c r="O10" s="31">
        <v>0.976</v>
      </c>
      <c r="P10" s="31">
        <v>0.946</v>
      </c>
      <c r="Q10" s="24">
        <v>0.7421972801769068</v>
      </c>
      <c r="R10" s="24">
        <v>0.5941772278711102</v>
      </c>
      <c r="S10" s="26">
        <v>0.2981371232595172</v>
      </c>
      <c r="AE10" s="10"/>
      <c r="AF10" s="23"/>
      <c r="AG10" s="10"/>
      <c r="AH10" s="23"/>
      <c r="AI10" s="24"/>
      <c r="AJ10" s="24"/>
      <c r="AK10" s="24"/>
      <c r="AL10" s="31"/>
      <c r="AM10" s="31"/>
      <c r="AN10" s="4"/>
    </row>
    <row r="11" spans="1:40" ht="12.75">
      <c r="A11" s="1"/>
      <c r="B11" s="8" t="s">
        <v>11</v>
      </c>
      <c r="C11" s="9">
        <v>1.25</v>
      </c>
      <c r="D11" s="9">
        <v>100</v>
      </c>
      <c r="E11" s="10">
        <f>3.281*D11</f>
        <v>328.1</v>
      </c>
      <c r="F11" s="38">
        <f>IF($E11&gt;$N$47,1-(F10),VLOOKUP($E11,$N$3:$S$47,2)+((VLOOKUP($E11,$L$4:$S$48,4)-VLOOKUP($E11,$N$3:$S$47,2))*($E11-VLOOKUP($E11,$N$3:$S$47,1))/(VLOOKUP($E11,$L$4:$S$48,3)-VLOOKUP($E11,$N$3:$S$47,1)))-(F10))</f>
        <v>0.13813199999999992</v>
      </c>
      <c r="G11" s="24">
        <f>IF($E11&gt;$N$47,1-(G10),VLOOKUP($E11,$N$3:$S$47,3)+((VLOOKUP($E11,$L$4:$S$48,5)-VLOOKUP($E11,$N$3:$S$47,3))*($E11-VLOOKUP($E11,$N$3:$S$47,1))/(VLOOKUP($E11,$L$4:$S$48,3)-VLOOKUP($E11,$N$3:$S$47,1)))-(G10))</f>
        <v>0.31282599999999994</v>
      </c>
      <c r="H11" s="24">
        <f>IF($E11&gt;$N$47,1-(H10),VLOOKUP($E11,$N$3:$S$47,4)+((VLOOKUP($E11,$L$4:$S$48,6)-VLOOKUP($E11,$N$3:$S$47,4))*($E11-VLOOKUP($E11,$N$3:$S$47,1))/(VLOOKUP($E11,$L$4:$S$48,3)-VLOOKUP($E11,$N$3:$S$47,1)))-(H10))</f>
        <v>0.7895666238754011</v>
      </c>
      <c r="I11" s="24">
        <f>IF($E11&gt;$N$47,1-(I10),VLOOKUP($E11,$N$3:$S$47,5)+((VLOOKUP($E11,$L$4:$S$48,7)-VLOOKUP($E11,$N$3:$S$47,5))*($E11-VLOOKUP($E11,$N$3:$S$47,1))/(VLOOKUP($E11,$L$4:$S$48,3)-VLOOKUP($E11,$N$3:$S$47,1)))-(I10))</f>
        <v>0.7319743418525527</v>
      </c>
      <c r="J11" s="26">
        <f>IF($E11&gt;$N$47,1-(J10),VLOOKUP($E11,$N$3:$S$47,6)+((VLOOKUP($E11,$L$4:$S$48,8)-VLOOKUP($E11,$N$3:$S$47,6))*($E11-VLOOKUP($E11,$N$3:$S$47,1))/(VLOOKUP($E11,$L$4:$S$48,3)-VLOOKUP($E11,$N$3:$S$47,1)))-(J10))</f>
        <v>0.6167897778068558</v>
      </c>
      <c r="L11" s="23">
        <v>210</v>
      </c>
      <c r="M11" s="25">
        <f t="shared" si="0"/>
        <v>73.1484303565986</v>
      </c>
      <c r="N11" s="23">
        <v>240</v>
      </c>
      <c r="O11" s="31">
        <v>0.9840000000000001</v>
      </c>
      <c r="P11" s="31">
        <v>0.964</v>
      </c>
      <c r="Q11" s="24">
        <v>0.7937162421515479</v>
      </c>
      <c r="R11" s="24">
        <v>0.660794836697159</v>
      </c>
      <c r="S11" s="26">
        <v>0.3949520257883812</v>
      </c>
      <c r="AE11" s="10"/>
      <c r="AF11" s="23"/>
      <c r="AG11" s="10"/>
      <c r="AH11" s="23"/>
      <c r="AI11" s="24"/>
      <c r="AJ11" s="24"/>
      <c r="AK11" s="24"/>
      <c r="AL11" s="31"/>
      <c r="AM11" s="31"/>
      <c r="AN11" s="4"/>
    </row>
    <row r="12" spans="1:40" ht="12.75">
      <c r="A12" s="1"/>
      <c r="B12" s="8" t="s">
        <v>12</v>
      </c>
      <c r="C12" s="9">
        <v>4</v>
      </c>
      <c r="D12" s="9">
        <v>1000</v>
      </c>
      <c r="E12" s="10">
        <f>3.281*D12</f>
        <v>3281</v>
      </c>
      <c r="F12" s="38">
        <f>IF($E12&gt;$N$47,1-(F10+F11),VLOOKUP($E12,$N$3:$S$47,2)+((VLOOKUP($E12,$L$4:$S$48,4)-VLOOKUP($E12,$N$3:$S$47,2))*($E12-VLOOKUP($E12,$N$3:$S$47,1))/(VLOOKUP($E12,$L$4:$S$48,3)-VLOOKUP($E12,$N$3:$S$47,1)))-(F10+F11))</f>
        <v>0.0003166666666666318</v>
      </c>
      <c r="G12" s="24">
        <f>IF($E12&gt;$N$47,1-(G10+G11),VLOOKUP($E12,$N$3:$S$47,3)+((VLOOKUP($E12,$L$4:$S$48,5)-VLOOKUP($E12,$N$3:$S$47,3))*($E12-VLOOKUP($E12,$N$3:$S$47,1))/(VLOOKUP($E12,$L$4:$S$48,3)-VLOOKUP($E12,$N$3:$S$47,1)))-(G10+G11))</f>
        <v>0.0008233333333332871</v>
      </c>
      <c r="H12" s="24">
        <f>IF($E12&gt;$N$47,1-(H10+H11),VLOOKUP($E12,$N$3:$S$47,4)+((VLOOKUP($E12,$L$4:$S$48,6)-VLOOKUP($E12,$N$3:$S$47,4))*($E12-VLOOKUP($E12,$N$3:$S$47,1))/(VLOOKUP($E12,$L$4:$S$48,3)-VLOOKUP($E12,$N$3:$S$47,1)))-(H10+H11))</f>
        <v>0.11848996491259545</v>
      </c>
      <c r="I12" s="24">
        <f>IF($E12&gt;$N$47,1-(I10+I11),VLOOKUP($E12,$N$3:$S$47,5)+((VLOOKUP($E12,$L$4:$S$48,7)-VLOOKUP($E12,$N$3:$S$47,5))*($E12-VLOOKUP($E12,$N$3:$S$47,1))/(VLOOKUP($E12,$L$4:$S$48,3)-VLOOKUP($E12,$N$3:$S$47,1)))-(I10+I11))</f>
        <v>0.2065497831315889</v>
      </c>
      <c r="J12" s="26">
        <f>IF($E12&gt;$N$47,1-(J10+J11),VLOOKUP($E12,$N$3:$S$47,6)+((VLOOKUP($E12,$L$4:$S$48,8)-VLOOKUP($E12,$N$3:$S$47,6))*($E12-VLOOKUP($E12,$N$3:$S$47,1))/(VLOOKUP($E12,$L$4:$S$48,3)-VLOOKUP($E12,$N$3:$S$47,1)))-(J10+J11))</f>
        <v>0.3826694195695759</v>
      </c>
      <c r="L12" s="23">
        <v>240</v>
      </c>
      <c r="M12" s="25">
        <f t="shared" si="0"/>
        <v>82.29198415117342</v>
      </c>
      <c r="N12" s="23">
        <v>270</v>
      </c>
      <c r="O12" s="31">
        <v>0.9890000000000001</v>
      </c>
      <c r="P12" s="31">
        <v>0.977</v>
      </c>
      <c r="Q12" s="24">
        <v>0.8305357694949576</v>
      </c>
      <c r="R12" s="24">
        <v>0.714632154019386</v>
      </c>
      <c r="S12" s="26">
        <v>0.48282492306824276</v>
      </c>
      <c r="AE12" s="10"/>
      <c r="AF12" s="23"/>
      <c r="AG12" s="10"/>
      <c r="AH12" s="23"/>
      <c r="AI12" s="24"/>
      <c r="AJ12" s="24"/>
      <c r="AK12" s="24"/>
      <c r="AL12" s="31"/>
      <c r="AM12" s="31"/>
      <c r="AN12" s="4"/>
    </row>
    <row r="13" spans="1:40" ht="12.75">
      <c r="A13" s="1"/>
      <c r="B13" s="8" t="s">
        <v>13</v>
      </c>
      <c r="C13" s="9">
        <v>20</v>
      </c>
      <c r="D13" s="9">
        <v>10000</v>
      </c>
      <c r="E13" s="10">
        <f>3.281*D13</f>
        <v>32810</v>
      </c>
      <c r="F13" s="38">
        <f>IF($E13&gt;$N$47,1-(F10+F11+F12),VLOOKUP($E13,$N$3:$S$47,2)+((VLOOKUP($E13,$L$4:$S$48,4)-VLOOKUP($E13,$N$3:$S$47,2))*($E13-VLOOKUP($E13,$N$3:$S$47,1))/(VLOOKUP($E13,$L$4:$S$48,3)-VLOOKUP($E13,$N$3:$S$47,1)))-(F10+F11+F12))</f>
        <v>0</v>
      </c>
      <c r="G13" s="24">
        <f>IF($E13&gt;$N$47,1-(G10+G11+G12),VLOOKUP($E13,$N$3:$S$47,3)+((VLOOKUP($E13,$L$4:$S$48,5)-VLOOKUP($E13,$N$3:$S$47,3))*($E13-VLOOKUP($E13,$N$3:$S$47,1))/(VLOOKUP($E13,$L$4:$S$48,3)-VLOOKUP($E13,$N$3:$S$47,1)))-(G10+G11+G12))</f>
        <v>0</v>
      </c>
      <c r="H13" s="24">
        <f>IF($E13&gt;$N$47,1-(H10+H11+H12),VLOOKUP($E13,$N$3:$S$47,4)+((VLOOKUP($E13,$L$4:$S$48,6)-VLOOKUP($E13,$N$3:$S$47,4))*($E13-VLOOKUP($E13,$N$3:$S$47,1))/(VLOOKUP($E13,$L$4:$S$48,3)-VLOOKUP($E13,$N$3:$S$47,1)))-(H10+H11+H12))</f>
        <v>0</v>
      </c>
      <c r="I13" s="24">
        <f>IF($E13&gt;$N$47,1-(I10+I11+I12),VLOOKUP($E13,$N$3:$S$47,5)+((VLOOKUP($E13,$L$4:$S$48,7)-VLOOKUP($E13,$N$3:$S$47,5))*($E13-VLOOKUP($E13,$N$3:$S$47,1))/(VLOOKUP($E13,$L$4:$S$48,3)-VLOOKUP($E13,$N$3:$S$47,1)))-(I10+I11+I12))</f>
        <v>0</v>
      </c>
      <c r="J13" s="26">
        <f>IF($E13&gt;$N$47,1-(J10+J11+J12),VLOOKUP($E13,$N$3:$S$47,6)+((VLOOKUP($E13,$L$4:$S$48,8)-VLOOKUP($E13,$N$3:$S$47,6))*($E13-VLOOKUP($E13,$N$3:$S$47,1))/(VLOOKUP($E13,$L$4:$S$48,3)-VLOOKUP($E13,$N$3:$S$47,1)))-(J10+J11+J12))</f>
        <v>0</v>
      </c>
      <c r="L13" s="23">
        <v>270</v>
      </c>
      <c r="M13" s="25">
        <f t="shared" si="0"/>
        <v>91.43553794574824</v>
      </c>
      <c r="N13" s="23">
        <v>300</v>
      </c>
      <c r="O13" s="31">
        <v>0.995</v>
      </c>
      <c r="P13" s="31">
        <v>0.987</v>
      </c>
      <c r="Q13" s="24">
        <v>0.8599110630242677</v>
      </c>
      <c r="R13" s="24">
        <v>0.7593047297230827</v>
      </c>
      <c r="S13" s="26">
        <v>0.5580920631207128</v>
      </c>
      <c r="AE13" s="10"/>
      <c r="AF13" s="23"/>
      <c r="AG13" s="10"/>
      <c r="AH13" s="23"/>
      <c r="AI13" s="24"/>
      <c r="AJ13" s="24"/>
      <c r="AK13" s="24"/>
      <c r="AL13" s="31"/>
      <c r="AM13" s="31"/>
      <c r="AN13" s="4"/>
    </row>
    <row r="14" spans="1:40" ht="12.75">
      <c r="A14" s="1"/>
      <c r="B14" s="11"/>
      <c r="C14" s="4"/>
      <c r="D14" s="4"/>
      <c r="E14" s="15" t="s">
        <v>7</v>
      </c>
      <c r="F14" s="39">
        <f>SUM(F10:F13)</f>
        <v>1</v>
      </c>
      <c r="G14" s="29">
        <f>SUM(G10:G13)</f>
        <v>1</v>
      </c>
      <c r="H14" s="29">
        <f>SUM(H10:H13)</f>
        <v>1</v>
      </c>
      <c r="I14" s="29">
        <f>SUM(I10:I13)</f>
        <v>1</v>
      </c>
      <c r="J14" s="30">
        <f>SUM(J10:J13)</f>
        <v>1</v>
      </c>
      <c r="L14" s="23">
        <v>300</v>
      </c>
      <c r="M14" s="25">
        <f t="shared" si="0"/>
        <v>100.57909174032307</v>
      </c>
      <c r="N14" s="23">
        <v>330</v>
      </c>
      <c r="O14" s="31">
        <v>1</v>
      </c>
      <c r="P14" s="31">
        <v>1</v>
      </c>
      <c r="Q14" s="24">
        <v>0.8829704638034174</v>
      </c>
      <c r="R14" s="24">
        <v>0.7957589864618675</v>
      </c>
      <c r="S14" s="26">
        <v>0.6213360317787675</v>
      </c>
      <c r="AE14" s="10"/>
      <c r="AF14" s="23"/>
      <c r="AG14" s="10"/>
      <c r="AH14" s="23"/>
      <c r="AI14" s="24"/>
      <c r="AJ14" s="24"/>
      <c r="AK14" s="24"/>
      <c r="AL14" s="31"/>
      <c r="AM14" s="31"/>
      <c r="AN14" s="4"/>
    </row>
    <row r="15" spans="1:40" ht="12.75">
      <c r="A15" s="1"/>
      <c r="B15" s="12"/>
      <c r="C15" s="13"/>
      <c r="D15" s="13"/>
      <c r="E15" s="14" t="s">
        <v>8</v>
      </c>
      <c r="F15" s="35">
        <f>$C10*F10+$C11*F11+$C12*F12+$C13*F13</f>
        <v>1.035483</v>
      </c>
      <c r="G15" s="35">
        <f>$C10*G10+$C11*G11+$C12*G12+$C13*G13</f>
        <v>1.0806764999999998</v>
      </c>
      <c r="H15" s="36">
        <f>$C10*H10+$C11*H11+$C12*H12+$C13*H13</f>
        <v>1.5528615507066366</v>
      </c>
      <c r="I15" s="36">
        <f>$C10*I10+$C11*I11+$C12*I12+$C13*I13</f>
        <v>1.802642934857905</v>
      </c>
      <c r="J15" s="35">
        <f>$C10*J10+$C11*J11+$C12*J12+$C13*J13</f>
        <v>2.3022057031604417</v>
      </c>
      <c r="L15" s="23">
        <v>330</v>
      </c>
      <c r="M15" s="25">
        <f t="shared" si="0"/>
        <v>109.7226455348979</v>
      </c>
      <c r="N15" s="23">
        <v>360</v>
      </c>
      <c r="O15" s="31">
        <v>1</v>
      </c>
      <c r="P15" s="31">
        <v>1</v>
      </c>
      <c r="Q15" s="24">
        <v>0.9017738383308108</v>
      </c>
      <c r="R15" s="24">
        <v>0.8259638413270001</v>
      </c>
      <c r="S15" s="26">
        <v>0.6743438473193784</v>
      </c>
      <c r="AE15" s="10"/>
      <c r="AF15" s="23"/>
      <c r="AG15" s="10"/>
      <c r="AH15" s="23"/>
      <c r="AI15" s="24"/>
      <c r="AJ15" s="24"/>
      <c r="AK15" s="24"/>
      <c r="AL15" s="31"/>
      <c r="AM15" s="31"/>
      <c r="AN15" s="4"/>
    </row>
    <row r="16" spans="1:40" ht="12.75">
      <c r="A16" s="1"/>
      <c r="B16" s="4"/>
      <c r="C16" s="4"/>
      <c r="D16" s="4"/>
      <c r="E16" s="4"/>
      <c r="F16" s="4"/>
      <c r="G16" s="4"/>
      <c r="H16" s="4"/>
      <c r="I16" s="4"/>
      <c r="J16" s="4"/>
      <c r="L16" s="23">
        <v>360</v>
      </c>
      <c r="M16" s="25">
        <f t="shared" si="0"/>
        <v>118.86619932947272</v>
      </c>
      <c r="N16" s="23">
        <v>390</v>
      </c>
      <c r="O16" s="31">
        <v>1</v>
      </c>
      <c r="P16" s="31">
        <v>1</v>
      </c>
      <c r="Q16" s="24">
        <v>0.9203672013520163</v>
      </c>
      <c r="R16" s="24">
        <v>0.8532718005710404</v>
      </c>
      <c r="S16" s="26">
        <v>0.719080999009088</v>
      </c>
      <c r="AE16" s="10"/>
      <c r="AF16" s="23"/>
      <c r="AG16" s="10"/>
      <c r="AH16" s="23"/>
      <c r="AI16" s="24"/>
      <c r="AJ16" s="24"/>
      <c r="AK16" s="24"/>
      <c r="AL16" s="31"/>
      <c r="AM16" s="31"/>
      <c r="AN16" s="4"/>
    </row>
    <row r="17" spans="1:40" ht="12.75">
      <c r="A17" s="1">
        <v>3</v>
      </c>
      <c r="B17" s="5"/>
      <c r="C17" s="6">
        <v>1</v>
      </c>
      <c r="D17" s="6">
        <v>0</v>
      </c>
      <c r="E17" s="7">
        <f>3.281*D17</f>
        <v>0</v>
      </c>
      <c r="F17" s="37">
        <f>IF($E17&gt;$N$47,1,VLOOKUP($E17,$N$3:$S$47,2)+((VLOOKUP($E17,$L$4:$S$48,4)-VLOOKUP($E17,$N$3:$S$47,2))*($E17-VLOOKUP($E17,$N$3:$S$47,1))/(VLOOKUP($E17,$L$4:$S$48,3)-VLOOKUP($E17,$N$3:$S$47,1))))</f>
        <v>0</v>
      </c>
      <c r="G17" s="33">
        <f>IF($E17&gt;$N$47,1,VLOOKUP($E17,$N$3:$S$47,3)+((VLOOKUP($E17,$L$4:$S$48,5)-VLOOKUP($E17,$N$3:$S$47,3))*($E17-VLOOKUP($E17,$N$3:$S$47,1))/(VLOOKUP($E17,$L$4:$S$48,3)-VLOOKUP($E17,$N$3:$S$47,1))))</f>
        <v>0</v>
      </c>
      <c r="H17" s="33">
        <f>IF($E17&gt;$N$47,1,VLOOKUP($E17,$N$3:$S$47,4)+((VLOOKUP($E17,$L$4:$S$48,6)-VLOOKUP($E17,$N$3:$S$47,4))*($E17-VLOOKUP($E17,$N$3:$S$47,1))/(VLOOKUP($E17,$L$4:$S$48,3)-VLOOKUP($E17,$N$3:$S$47,1))))</f>
        <v>0</v>
      </c>
      <c r="I17" s="33">
        <f>IF($E17&gt;$N$47,1,VLOOKUP($E17,$N$3:$S$47,5)+((VLOOKUP($E17,$L$4:$S$48,7)-VLOOKUP($E17,$N$3:$S$47,5))*($E17-VLOOKUP($E17,$N$3:$S$47,1))/(VLOOKUP($E17,$L$4:$S$48,3)-VLOOKUP($E17,$N$3:$S$47,1))))</f>
        <v>0</v>
      </c>
      <c r="J17" s="34">
        <f>IF($E17&gt;$N$47,1,VLOOKUP($E17,$N$3:$S$47,6)+((VLOOKUP($E17,$L$4:$S$48,8)-VLOOKUP($E17,$N$3:$S$47,6))*($E17-VLOOKUP($E17,$N$3:$S$47,1))/(VLOOKUP($E17,$L$4:$S$48,3)-VLOOKUP($E17,$N$3:$S$47,1))))</f>
        <v>0</v>
      </c>
      <c r="L17" s="23">
        <v>390</v>
      </c>
      <c r="M17" s="25">
        <f t="shared" si="0"/>
        <v>128.00975312404753</v>
      </c>
      <c r="N17" s="23">
        <v>420</v>
      </c>
      <c r="O17" s="31">
        <v>1</v>
      </c>
      <c r="P17" s="31">
        <v>1</v>
      </c>
      <c r="Q17" s="24">
        <v>0.9355994496571307</v>
      </c>
      <c r="R17" s="24">
        <v>0.8763291102215937</v>
      </c>
      <c r="S17" s="26">
        <v>0.7577884313505191</v>
      </c>
      <c r="AE17" s="10"/>
      <c r="AF17" s="23"/>
      <c r="AG17" s="10"/>
      <c r="AH17" s="23"/>
      <c r="AI17" s="24"/>
      <c r="AJ17" s="24"/>
      <c r="AK17" s="24"/>
      <c r="AL17" s="31"/>
      <c r="AM17" s="31"/>
      <c r="AN17" s="4"/>
    </row>
    <row r="18" spans="1:40" ht="12.75">
      <c r="A18" s="1"/>
      <c r="B18" s="8" t="s">
        <v>14</v>
      </c>
      <c r="C18" s="9">
        <v>1.5</v>
      </c>
      <c r="D18" s="9">
        <v>150</v>
      </c>
      <c r="E18" s="10">
        <f>3.281*D18</f>
        <v>492.15000000000003</v>
      </c>
      <c r="F18" s="38">
        <f>IF($E18&gt;$N$47,1-(F17),VLOOKUP($E18,$N$3:$S$47,2)+((VLOOKUP($E18,$L$4:$S$48,4)-VLOOKUP($E18,$N$3:$S$47,2))*($E18-VLOOKUP($E18,$N$3:$S$47,1))/(VLOOKUP($E18,$L$4:$S$48,3)-VLOOKUP($E18,$N$3:$S$47,1)))-(F17))</f>
        <v>1</v>
      </c>
      <c r="G18" s="24">
        <f>IF($E18&gt;$N$47,1-(G17),VLOOKUP($E18,$N$3:$S$47,3)+((VLOOKUP($E18,$L$4:$S$48,5)-VLOOKUP($E18,$N$3:$S$47,3))*($E18-VLOOKUP($E18,$N$3:$S$47,1))/(VLOOKUP($E18,$L$4:$S$48,3)-VLOOKUP($E18,$N$3:$S$47,1)))-(G17))</f>
        <v>1</v>
      </c>
      <c r="H18" s="24">
        <f>IF($E18&gt;$N$47,1-(H17),VLOOKUP($E18,$N$3:$S$47,4)+((VLOOKUP($E18,$L$4:$S$48,6)-VLOOKUP($E18,$N$3:$S$47,4))*($E18-VLOOKUP($E18,$N$3:$S$47,1))/(VLOOKUP($E18,$L$4:$S$48,3)-VLOOKUP($E18,$N$3:$S$47,1)))-(H17))</f>
        <v>0.9631953514151261</v>
      </c>
      <c r="I18" s="24">
        <f>IF($E18&gt;$N$47,1-(I17),VLOOKUP($E18,$N$3:$S$47,5)+((VLOOKUP($E18,$L$4:$S$48,7)-VLOOKUP($E18,$N$3:$S$47,5))*($E18-VLOOKUP($E18,$N$3:$S$47,1))/(VLOOKUP($E18,$L$4:$S$48,3)-VLOOKUP($E18,$N$3:$S$47,1)))-(I17))</f>
        <v>0.9200180832107359</v>
      </c>
      <c r="J18" s="26">
        <f>IF($E18&gt;$N$47,1-(J17),VLOOKUP($E18,$N$3:$S$47,6)+((VLOOKUP($E18,$L$4:$S$48,8)-VLOOKUP($E18,$N$3:$S$47,6))*($E18-VLOOKUP($E18,$N$3:$S$47,1))/(VLOOKUP($E18,$L$4:$S$48,3)-VLOOKUP($E18,$N$3:$S$47,1)))-(J17))</f>
        <v>0.8336635468019546</v>
      </c>
      <c r="L18" s="23">
        <v>420</v>
      </c>
      <c r="M18" s="25">
        <f t="shared" si="0"/>
        <v>137.15330691862238</v>
      </c>
      <c r="N18" s="23">
        <v>450</v>
      </c>
      <c r="O18" s="31">
        <v>1</v>
      </c>
      <c r="P18" s="31">
        <v>1</v>
      </c>
      <c r="Q18" s="24">
        <v>0.9494358629533418</v>
      </c>
      <c r="R18" s="24">
        <v>0.8969761050457888</v>
      </c>
      <c r="S18" s="26">
        <v>0.7920565892306826</v>
      </c>
      <c r="AE18" s="10"/>
      <c r="AF18" s="23"/>
      <c r="AG18" s="10"/>
      <c r="AH18" s="23"/>
      <c r="AI18" s="24"/>
      <c r="AJ18" s="24"/>
      <c r="AK18" s="24"/>
      <c r="AL18" s="31"/>
      <c r="AM18" s="31"/>
      <c r="AN18" s="4"/>
    </row>
    <row r="19" spans="1:40" ht="12.75">
      <c r="A19" s="1"/>
      <c r="B19" s="8" t="s">
        <v>12</v>
      </c>
      <c r="C19" s="9">
        <v>4</v>
      </c>
      <c r="D19" s="9">
        <v>1000</v>
      </c>
      <c r="E19" s="10">
        <f>3.281*D19</f>
        <v>3281</v>
      </c>
      <c r="F19" s="38">
        <f>IF($E19&gt;$N$47,1-(F17+F18),VLOOKUP($E19,$N$3:$S$47,2)+((VLOOKUP($E19,$L$4:$S$48,4)-VLOOKUP($E19,$N$3:$S$47,2))*($E19-VLOOKUP($E19,$N$3:$S$47,1))/(VLOOKUP($E19,$L$4:$S$48,3)-VLOOKUP($E19,$N$3:$S$47,1)))-(F17+F18))</f>
        <v>0</v>
      </c>
      <c r="G19" s="24">
        <f>IF($E19&gt;$N$47,1-(G17+G18),VLOOKUP($E19,$N$3:$S$47,3)+((VLOOKUP($E19,$L$4:$S$48,5)-VLOOKUP($E19,$N$3:$S$47,3))*($E19-VLOOKUP($E19,$N$3:$S$47,1))/(VLOOKUP($E19,$L$4:$S$48,3)-VLOOKUP($E19,$N$3:$S$47,1)))-(G17+G18))</f>
        <v>0</v>
      </c>
      <c r="H19" s="24">
        <f>IF($E19&gt;$N$47,1-(H17+H18),VLOOKUP($E19,$N$3:$S$47,4)+((VLOOKUP($E19,$L$4:$S$48,6)-VLOOKUP($E19,$N$3:$S$47,4))*($E19-VLOOKUP($E19,$N$3:$S$47,1))/(VLOOKUP($E19,$L$4:$S$48,3)-VLOOKUP($E19,$N$3:$S$47,1)))-(H17+H18))</f>
        <v>0.03680464858487387</v>
      </c>
      <c r="I19" s="24">
        <f>IF($E19&gt;$N$47,1-(I17+I18),VLOOKUP($E19,$N$3:$S$47,5)+((VLOOKUP($E19,$L$4:$S$48,7)-VLOOKUP($E19,$N$3:$S$47,5))*($E19-VLOOKUP($E19,$N$3:$S$47,1))/(VLOOKUP($E19,$L$4:$S$48,3)-VLOOKUP($E19,$N$3:$S$47,1)))-(I17+I18))</f>
        <v>0.07998191678926414</v>
      </c>
      <c r="J19" s="26">
        <f>IF($E19&gt;$N$47,1-(J17+J18),VLOOKUP($E19,$N$3:$S$47,6)+((VLOOKUP($E19,$L$4:$S$48,8)-VLOOKUP($E19,$N$3:$S$47,6))*($E19-VLOOKUP($E19,$N$3:$S$47,1))/(VLOOKUP($E19,$L$4:$S$48,3)-VLOOKUP($E19,$N$3:$S$47,1)))-(J17+J18))</f>
        <v>0.16633645319804535</v>
      </c>
      <c r="L19" s="23">
        <v>450</v>
      </c>
      <c r="M19" s="25">
        <f t="shared" si="0"/>
        <v>146.2968607131972</v>
      </c>
      <c r="N19" s="23">
        <v>480</v>
      </c>
      <c r="O19" s="31">
        <v>1</v>
      </c>
      <c r="P19" s="31">
        <v>1</v>
      </c>
      <c r="Q19" s="24">
        <v>0.9599736292721632</v>
      </c>
      <c r="R19" s="24">
        <v>0.9142004357550436</v>
      </c>
      <c r="S19" s="26">
        <v>0.8226540487208039</v>
      </c>
      <c r="AE19" s="10"/>
      <c r="AF19" s="23"/>
      <c r="AG19" s="10"/>
      <c r="AH19" s="23"/>
      <c r="AI19" s="24"/>
      <c r="AJ19" s="24"/>
      <c r="AK19" s="24"/>
      <c r="AL19" s="31"/>
      <c r="AM19" s="31"/>
      <c r="AN19" s="4"/>
    </row>
    <row r="20" spans="1:40" ht="12.75">
      <c r="A20" s="1"/>
      <c r="B20" s="8" t="s">
        <v>13</v>
      </c>
      <c r="C20" s="9">
        <v>20</v>
      </c>
      <c r="D20" s="9">
        <v>10000</v>
      </c>
      <c r="E20" s="10">
        <f>3.281*D20</f>
        <v>32810</v>
      </c>
      <c r="F20" s="38">
        <f>IF($E20&gt;$N$47,1-(F17+F18+F19),VLOOKUP($E20,$N$3:$S$47,2)+((VLOOKUP($E20,$L$4:$S$48,4)-VLOOKUP($E20,$N$3:$S$47,2))*($E20-VLOOKUP($E20,$N$3:$S$47,1))/(VLOOKUP($E20,$L$4:$S$48,3)-VLOOKUP($E20,$N$3:$S$47,1)))-(F17+F18+F19))</f>
        <v>0</v>
      </c>
      <c r="G20" s="24">
        <f>IF($E20&gt;$N$47,1-(G17+G18+G19),VLOOKUP($E20,$N$3:$S$47,3)+((VLOOKUP($E20,$L$4:$S$48,5)-VLOOKUP($E20,$N$3:$S$47,3))*($E20-VLOOKUP($E20,$N$3:$S$47,1))/(VLOOKUP($E20,$L$4:$S$48,3)-VLOOKUP($E20,$N$3:$S$47,1)))-(G17+G18+G19))</f>
        <v>0</v>
      </c>
      <c r="H20" s="24">
        <f>IF($E20&gt;$N$47,1-(H17+H18+H19),VLOOKUP($E20,$N$3:$S$47,4)+((VLOOKUP($E20,$L$4:$S$48,6)-VLOOKUP($E20,$N$3:$S$47,4))*($E20-VLOOKUP($E20,$N$3:$S$47,1))/(VLOOKUP($E20,$L$4:$S$48,3)-VLOOKUP($E20,$N$3:$S$47,1)))-(H17+H18+H19))</f>
        <v>0</v>
      </c>
      <c r="I20" s="24">
        <f>IF($E20&gt;$N$47,1-(I17+I18+I19),VLOOKUP($E20,$N$3:$S$47,5)+((VLOOKUP($E20,$L$4:$S$48,7)-VLOOKUP($E20,$N$3:$S$47,5))*($E20-VLOOKUP($E20,$N$3:$S$47,1))/(VLOOKUP($E20,$L$4:$S$48,3)-VLOOKUP($E20,$N$3:$S$47,1)))-(I17+I18+I19))</f>
        <v>0</v>
      </c>
      <c r="J20" s="26">
        <f>IF($E20&gt;$N$47,1-(J17+J18+J19),VLOOKUP($E20,$N$3:$S$47,6)+((VLOOKUP($E20,$L$4:$S$48,8)-VLOOKUP($E20,$N$3:$S$47,6))*($E20-VLOOKUP($E20,$N$3:$S$47,1))/(VLOOKUP($E20,$L$4:$S$48,3)-VLOOKUP($E20,$N$3:$S$47,1)))-(J17+J18+J19))</f>
        <v>0</v>
      </c>
      <c r="L20" s="23">
        <v>480</v>
      </c>
      <c r="M20" s="25">
        <f t="shared" si="0"/>
        <v>155.440414507772</v>
      </c>
      <c r="N20" s="23">
        <v>510</v>
      </c>
      <c r="O20" s="31">
        <v>1</v>
      </c>
      <c r="P20" s="31">
        <v>1</v>
      </c>
      <c r="Q20" s="24">
        <v>0.9679284987609604</v>
      </c>
      <c r="R20" s="24">
        <v>0.9285649973740366</v>
      </c>
      <c r="S20" s="26">
        <v>0.8498379946001884</v>
      </c>
      <c r="AE20" s="10"/>
      <c r="AF20" s="23"/>
      <c r="AG20" s="10"/>
      <c r="AH20" s="23"/>
      <c r="AI20" s="24"/>
      <c r="AJ20" s="24"/>
      <c r="AK20" s="24"/>
      <c r="AL20" s="31"/>
      <c r="AM20" s="31"/>
      <c r="AN20" s="4"/>
    </row>
    <row r="21" spans="1:40" ht="12.75">
      <c r="A21" s="1"/>
      <c r="B21" s="11"/>
      <c r="C21" s="4"/>
      <c r="D21" s="4"/>
      <c r="E21" s="15" t="s">
        <v>7</v>
      </c>
      <c r="F21" s="39">
        <f>SUM(F17:F20)</f>
        <v>1</v>
      </c>
      <c r="G21" s="29">
        <f>SUM(G17:G20)</f>
        <v>1</v>
      </c>
      <c r="H21" s="29">
        <f>SUM(H17:H20)</f>
        <v>1</v>
      </c>
      <c r="I21" s="29">
        <f>SUM(I17:I20)</f>
        <v>1</v>
      </c>
      <c r="J21" s="30">
        <f>SUM(J17:J20)</f>
        <v>1</v>
      </c>
      <c r="L21" s="23">
        <v>510</v>
      </c>
      <c r="M21" s="25">
        <f t="shared" si="0"/>
        <v>164.58396830234685</v>
      </c>
      <c r="N21" s="23">
        <v>540</v>
      </c>
      <c r="O21" s="31">
        <v>1</v>
      </c>
      <c r="P21" s="31">
        <v>1</v>
      </c>
      <c r="Q21" s="24">
        <v>0.9741375918226365</v>
      </c>
      <c r="R21" s="24">
        <v>0.9406020255715584</v>
      </c>
      <c r="S21" s="26">
        <v>0.8735308930694013</v>
      </c>
      <c r="AE21" s="10"/>
      <c r="AF21" s="23"/>
      <c r="AG21" s="10"/>
      <c r="AH21" s="23"/>
      <c r="AI21" s="24"/>
      <c r="AJ21" s="24"/>
      <c r="AK21" s="24"/>
      <c r="AL21" s="31"/>
      <c r="AM21" s="31"/>
      <c r="AN21" s="4"/>
    </row>
    <row r="22" spans="1:40" ht="12.75">
      <c r="A22" s="1"/>
      <c r="B22" s="12"/>
      <c r="C22" s="13"/>
      <c r="D22" s="13"/>
      <c r="E22" s="14" t="s">
        <v>8</v>
      </c>
      <c r="F22" s="35">
        <f>$C17*F17+$C18*F18+$C19*F19+$C20*F20</f>
        <v>1.5</v>
      </c>
      <c r="G22" s="35">
        <f>$C17*G17+$C18*G18+$C19*G19+$C20*G20</f>
        <v>1.5</v>
      </c>
      <c r="H22" s="36">
        <f>$C17*H17+$C18*H18+$C19*H19+$C20*H20</f>
        <v>1.5920116214621847</v>
      </c>
      <c r="I22" s="36">
        <f>$C17*I17+$C18*I18+$C19*I19+$C20*I20</f>
        <v>1.6999547919731604</v>
      </c>
      <c r="J22" s="35">
        <f>$C17*J17+$C18*J18+$C19*J19+$C20*J20</f>
        <v>1.9158411329951135</v>
      </c>
      <c r="L22" s="23">
        <v>540</v>
      </c>
      <c r="M22" s="25">
        <f t="shared" si="0"/>
        <v>173.72752209692166</v>
      </c>
      <c r="N22" s="23">
        <v>570</v>
      </c>
      <c r="O22" s="31">
        <v>1</v>
      </c>
      <c r="P22" s="31">
        <v>1</v>
      </c>
      <c r="Q22" s="24">
        <v>0.9802859787913412</v>
      </c>
      <c r="R22" s="24">
        <v>0.9495034753691369</v>
      </c>
      <c r="S22" s="26">
        <v>0.8879384685247279</v>
      </c>
      <c r="AE22" s="10"/>
      <c r="AF22" s="23"/>
      <c r="AG22" s="10"/>
      <c r="AH22" s="23"/>
      <c r="AI22" s="24"/>
      <c r="AJ22" s="24"/>
      <c r="AK22" s="24"/>
      <c r="AL22" s="31"/>
      <c r="AM22" s="31"/>
      <c r="AN22" s="4"/>
    </row>
    <row r="23" spans="1:40" ht="12.75">
      <c r="A23" s="1"/>
      <c r="B23" s="4"/>
      <c r="C23" s="4"/>
      <c r="D23" s="4"/>
      <c r="E23" s="4"/>
      <c r="F23" s="4"/>
      <c r="G23" s="4"/>
      <c r="H23" s="4"/>
      <c r="I23" s="4"/>
      <c r="J23" s="4"/>
      <c r="L23" s="23">
        <v>570</v>
      </c>
      <c r="M23" s="25">
        <f t="shared" si="0"/>
        <v>182.87107589149647</v>
      </c>
      <c r="N23" s="23">
        <v>600</v>
      </c>
      <c r="O23" s="31">
        <v>1</v>
      </c>
      <c r="P23" s="31">
        <v>1</v>
      </c>
      <c r="Q23" s="24">
        <v>0.9827570223113482</v>
      </c>
      <c r="R23" s="24">
        <v>0.9561773514100891</v>
      </c>
      <c r="S23" s="26">
        <v>0.9030180096075704</v>
      </c>
      <c r="AE23" s="10"/>
      <c r="AF23" s="23"/>
      <c r="AG23" s="10"/>
      <c r="AH23" s="23"/>
      <c r="AI23" s="24"/>
      <c r="AJ23" s="24"/>
      <c r="AK23" s="24"/>
      <c r="AL23" s="31"/>
      <c r="AM23" s="31"/>
      <c r="AN23" s="4"/>
    </row>
    <row r="24" spans="1:40" ht="12.75">
      <c r="A24" s="1">
        <v>4</v>
      </c>
      <c r="B24" s="5" t="s">
        <v>10</v>
      </c>
      <c r="C24" s="6">
        <v>1</v>
      </c>
      <c r="D24" s="6">
        <v>20</v>
      </c>
      <c r="E24" s="7">
        <f>3.281*D24</f>
        <v>65.62</v>
      </c>
      <c r="F24" s="37">
        <f>IF($E24&gt;$N$47,1,VLOOKUP($E24,$N$3:$S$47,2)+((VLOOKUP($E24,$L$4:$S$48,4)-VLOOKUP($E24,$N$3:$S$47,2))*($E24-VLOOKUP($E24,$N$3:$S$47,1))/(VLOOKUP($E24,$L$4:$S$48,3)-VLOOKUP($E24,$N$3:$S$47,1))))</f>
        <v>0.8615513333333334</v>
      </c>
      <c r="G24" s="33">
        <f>IF($E24&gt;$N$47,1,VLOOKUP($E24,$N$3:$S$47,3)+((VLOOKUP($E24,$L$4:$S$48,5)-VLOOKUP($E24,$N$3:$S$47,3))*($E24-VLOOKUP($E24,$N$3:$S$47,1))/(VLOOKUP($E24,$L$4:$S$48,3)-VLOOKUP($E24,$N$3:$S$47,1))))</f>
        <v>0.6863506666666668</v>
      </c>
      <c r="H24" s="33">
        <f>IF($E24&gt;$N$47,1,VLOOKUP($E24,$N$3:$S$47,4)+((VLOOKUP($E24,$L$4:$S$48,6)-VLOOKUP($E24,$N$3:$S$47,4))*($E24-VLOOKUP($E24,$N$3:$S$47,1))/(VLOOKUP($E24,$L$4:$S$48,3)-VLOOKUP($E24,$N$3:$S$47,1))))</f>
        <v>0.09194341121200342</v>
      </c>
      <c r="I24" s="33">
        <f>IF($E24&gt;$N$47,1,VLOOKUP($E24,$N$3:$S$47,5)+((VLOOKUP($E24,$L$4:$S$48,7)-VLOOKUP($E24,$N$3:$S$47,5))*($E24-VLOOKUP($E24,$N$3:$S$47,1))/(VLOOKUP($E24,$L$4:$S$48,3)-VLOOKUP($E24,$N$3:$S$47,1))))</f>
        <v>0.06147587501585836</v>
      </c>
      <c r="J24" s="34">
        <f>IF($E24&gt;$N$47,1,VLOOKUP($E24,$N$3:$S$47,6)+((VLOOKUP($E24,$L$4:$S$48,8)-VLOOKUP($E24,$N$3:$S$47,6))*($E24-VLOOKUP($E24,$N$3:$S$47,1))/(VLOOKUP($E24,$L$4:$S$48,3)-VLOOKUP($E24,$N$3:$S$47,1))))</f>
        <v>0.000540802623568271</v>
      </c>
      <c r="L24" s="23">
        <v>600</v>
      </c>
      <c r="M24" s="25">
        <f t="shared" si="0"/>
        <v>192.01462968607132</v>
      </c>
      <c r="N24" s="23">
        <v>630</v>
      </c>
      <c r="O24" s="31">
        <v>1</v>
      </c>
      <c r="P24" s="31">
        <v>1</v>
      </c>
      <c r="Q24" s="24">
        <v>0.9857560472872047</v>
      </c>
      <c r="R24" s="24">
        <v>0.9645289837214898</v>
      </c>
      <c r="S24" s="26">
        <v>0.9220748565900594</v>
      </c>
      <c r="AE24" s="10"/>
      <c r="AF24" s="23"/>
      <c r="AG24" s="10"/>
      <c r="AH24" s="23"/>
      <c r="AI24" s="24"/>
      <c r="AJ24" s="24"/>
      <c r="AK24" s="24"/>
      <c r="AL24" s="31"/>
      <c r="AM24" s="31"/>
      <c r="AN24" s="4"/>
    </row>
    <row r="25" spans="1:40" ht="12.75">
      <c r="A25" s="1"/>
      <c r="B25" s="8" t="s">
        <v>14</v>
      </c>
      <c r="C25" s="9">
        <v>1.5</v>
      </c>
      <c r="D25" s="9">
        <v>150</v>
      </c>
      <c r="E25" s="10">
        <f>3.281*D25</f>
        <v>492.15000000000003</v>
      </c>
      <c r="F25" s="38">
        <f>IF($E25&gt;$N$47,1-(F24),VLOOKUP($E25,$N$3:$S$47,2)+((VLOOKUP($E25,$L$4:$S$48,4)-VLOOKUP($E25,$N$3:$S$47,2))*($E25-VLOOKUP($E25,$N$3:$S$47,1))/(VLOOKUP($E25,$L$4:$S$48,3)-VLOOKUP($E25,$N$3:$S$47,1)))-(F24))</f>
        <v>0.13844866666666655</v>
      </c>
      <c r="G25" s="24">
        <f>IF($E25&gt;$N$47,1-(G24),VLOOKUP($E25,$N$3:$S$47,3)+((VLOOKUP($E25,$L$4:$S$48,5)-VLOOKUP($E25,$N$3:$S$47,3))*($E25-VLOOKUP($E25,$N$3:$S$47,1))/(VLOOKUP($E25,$L$4:$S$48,3)-VLOOKUP($E25,$N$3:$S$47,1)))-(G24))</f>
        <v>0.3136493333333332</v>
      </c>
      <c r="H25" s="24">
        <f>IF($E25&gt;$N$47,1-(H24),VLOOKUP($E25,$N$3:$S$47,4)+((VLOOKUP($E25,$L$4:$S$48,6)-VLOOKUP($E25,$N$3:$S$47,4))*($E25-VLOOKUP($E25,$N$3:$S$47,1))/(VLOOKUP($E25,$L$4:$S$48,3)-VLOOKUP($E25,$N$3:$S$47,1)))-(H24))</f>
        <v>0.8712519402031227</v>
      </c>
      <c r="I25" s="24">
        <f>IF($E25&gt;$N$47,1-(I24),VLOOKUP($E25,$N$3:$S$47,5)+((VLOOKUP($E25,$L$4:$S$48,7)-VLOOKUP($E25,$N$3:$S$47,5))*($E25-VLOOKUP($E25,$N$3:$S$47,1))/(VLOOKUP($E25,$L$4:$S$48,3)-VLOOKUP($E25,$N$3:$S$47,1)))-(I24))</f>
        <v>0.8585422081948775</v>
      </c>
      <c r="J25" s="26">
        <f>IF($E25&gt;$N$47,1-(J24),VLOOKUP($E25,$N$3:$S$47,6)+((VLOOKUP($E25,$L$4:$S$48,8)-VLOOKUP($E25,$N$3:$S$47,6))*($E25-VLOOKUP($E25,$N$3:$S$47,1))/(VLOOKUP($E25,$L$4:$S$48,3)-VLOOKUP($E25,$N$3:$S$47,1)))-(J24))</f>
        <v>0.8331227441783864</v>
      </c>
      <c r="L25" s="23">
        <v>630</v>
      </c>
      <c r="M25" s="25">
        <f t="shared" si="0"/>
        <v>201.15818348064613</v>
      </c>
      <c r="N25" s="23">
        <v>660</v>
      </c>
      <c r="O25" s="31">
        <v>1</v>
      </c>
      <c r="P25" s="31">
        <v>1</v>
      </c>
      <c r="Q25" s="24">
        <v>0.9891358737599741</v>
      </c>
      <c r="R25" s="24">
        <v>0.9702346285361253</v>
      </c>
      <c r="S25" s="26">
        <v>0.9324321380884272</v>
      </c>
      <c r="AE25" s="10"/>
      <c r="AF25" s="23"/>
      <c r="AG25" s="10"/>
      <c r="AH25" s="23"/>
      <c r="AI25" s="24"/>
      <c r="AJ25" s="24"/>
      <c r="AK25" s="24"/>
      <c r="AL25" s="31"/>
      <c r="AM25" s="31"/>
      <c r="AN25" s="4"/>
    </row>
    <row r="26" spans="1:40" ht="12.75">
      <c r="A26" s="1"/>
      <c r="B26" s="8" t="s">
        <v>12</v>
      </c>
      <c r="C26" s="9">
        <v>4</v>
      </c>
      <c r="D26" s="9">
        <v>1000</v>
      </c>
      <c r="E26" s="10">
        <f>3.281*D26</f>
        <v>3281</v>
      </c>
      <c r="F26" s="38">
        <f>IF($E26&gt;$N$47,1-(F24+F25),VLOOKUP($E26,$N$3:$S$47,2)+((VLOOKUP($E26,$L$4:$S$48,4)-VLOOKUP($E26,$N$3:$S$47,2))*($E26-VLOOKUP($E26,$N$3:$S$47,1))/(VLOOKUP($E26,$L$4:$S$48,3)-VLOOKUP($E26,$N$3:$S$47,1)))-(F24+F25))</f>
        <v>0</v>
      </c>
      <c r="G26" s="24">
        <f>IF($E26&gt;$N$47,1-(G24+G25),VLOOKUP($E26,$N$3:$S$47,3)+((VLOOKUP($E26,$L$4:$S$48,5)-VLOOKUP($E26,$N$3:$S$47,3))*($E26-VLOOKUP($E26,$N$3:$S$47,1))/(VLOOKUP($E26,$L$4:$S$48,3)-VLOOKUP($E26,$N$3:$S$47,1)))-(G24+G25))</f>
        <v>0</v>
      </c>
      <c r="H26" s="24">
        <f>IF($E26&gt;$N$47,1-(H24+H25),VLOOKUP($E26,$N$3:$S$47,4)+((VLOOKUP($E26,$L$4:$S$48,6)-VLOOKUP($E26,$N$3:$S$47,4))*($E26-VLOOKUP($E26,$N$3:$S$47,1))/(VLOOKUP($E26,$L$4:$S$48,3)-VLOOKUP($E26,$N$3:$S$47,1)))-(H24+H25))</f>
        <v>0.03680464858487387</v>
      </c>
      <c r="I26" s="24">
        <f>IF($E26&gt;$N$47,1-(I24+I25),VLOOKUP($E26,$N$3:$S$47,5)+((VLOOKUP($E26,$L$4:$S$48,7)-VLOOKUP($E26,$N$3:$S$47,5))*($E26-VLOOKUP($E26,$N$3:$S$47,1))/(VLOOKUP($E26,$L$4:$S$48,3)-VLOOKUP($E26,$N$3:$S$47,1)))-(I24+I25))</f>
        <v>0.07998191678926414</v>
      </c>
      <c r="J26" s="26">
        <f>IF($E26&gt;$N$47,1-(J24+J25),VLOOKUP($E26,$N$3:$S$47,6)+((VLOOKUP($E26,$L$4:$S$48,8)-VLOOKUP($E26,$N$3:$S$47,6))*($E26-VLOOKUP($E26,$N$3:$S$47,1))/(VLOOKUP($E26,$L$4:$S$48,3)-VLOOKUP($E26,$N$3:$S$47,1)))-(J24+J25))</f>
        <v>0.16633645319804535</v>
      </c>
      <c r="L26" s="23">
        <v>660</v>
      </c>
      <c r="M26" s="25">
        <f t="shared" si="0"/>
        <v>210.30173727522097</v>
      </c>
      <c r="N26" s="23">
        <v>690</v>
      </c>
      <c r="O26" s="31">
        <v>1</v>
      </c>
      <c r="P26" s="31">
        <v>1</v>
      </c>
      <c r="Q26" s="24">
        <v>0.9908827060545136</v>
      </c>
      <c r="R26" s="24">
        <v>0.9749429974756338</v>
      </c>
      <c r="S26" s="26">
        <v>0.943063580317874</v>
      </c>
      <c r="AE26" s="10"/>
      <c r="AF26" s="23"/>
      <c r="AG26" s="10"/>
      <c r="AH26" s="23"/>
      <c r="AI26" s="24"/>
      <c r="AJ26" s="24"/>
      <c r="AK26" s="24"/>
      <c r="AL26" s="31"/>
      <c r="AM26" s="31"/>
      <c r="AN26" s="4"/>
    </row>
    <row r="27" spans="1:40" ht="12.75">
      <c r="A27" s="1"/>
      <c r="B27" s="8" t="s">
        <v>13</v>
      </c>
      <c r="C27" s="9">
        <v>20</v>
      </c>
      <c r="D27" s="9">
        <v>10000</v>
      </c>
      <c r="E27" s="10">
        <f>3.281*D27</f>
        <v>32810</v>
      </c>
      <c r="F27" s="38">
        <f>IF($E27&gt;$N$47,1-(F24+F25+F26),VLOOKUP($E27,$N$3:$S$47,2)+((VLOOKUP($E27,$L$4:$S$48,4)-VLOOKUP($E27,$N$3:$S$47,2))*($E27-VLOOKUP($E27,$N$3:$S$47,1))/(VLOOKUP($E27,$L$4:$S$48,3)-VLOOKUP($E27,$N$3:$S$47,1)))-(F24+F25+F26))</f>
        <v>0</v>
      </c>
      <c r="G27" s="24">
        <f>IF($E27&gt;$N$47,1-(G24+G25+G26),VLOOKUP($E27,$N$3:$S$47,3)+((VLOOKUP($E27,$L$4:$S$48,5)-VLOOKUP($E27,$N$3:$S$47,3))*($E27-VLOOKUP($E27,$N$3:$S$47,1))/(VLOOKUP($E27,$L$4:$S$48,3)-VLOOKUP($E27,$N$3:$S$47,1)))-(G24+G25+G26))</f>
        <v>0</v>
      </c>
      <c r="H27" s="24">
        <f>IF($E27&gt;$N$47,1-(H24+H25+H26),VLOOKUP($E27,$N$3:$S$47,4)+((VLOOKUP($E27,$L$4:$S$48,6)-VLOOKUP($E27,$N$3:$S$47,4))*($E27-VLOOKUP($E27,$N$3:$S$47,1))/(VLOOKUP($E27,$L$4:$S$48,3)-VLOOKUP($E27,$N$3:$S$47,1)))-(H24+H25+H26))</f>
        <v>0</v>
      </c>
      <c r="I27" s="24">
        <f>IF($E27&gt;$N$47,1-(I24+I25+I26),VLOOKUP($E27,$N$3:$S$47,5)+((VLOOKUP($E27,$L$4:$S$48,7)-VLOOKUP($E27,$N$3:$S$47,5))*($E27-VLOOKUP($E27,$N$3:$S$47,1))/(VLOOKUP($E27,$L$4:$S$48,3)-VLOOKUP($E27,$N$3:$S$47,1)))-(I24+I25+I26))</f>
        <v>0</v>
      </c>
      <c r="J27" s="26">
        <f>IF($E27&gt;$N$47,1-(J24+J25+J26),VLOOKUP($E27,$N$3:$S$47,6)+((VLOOKUP($E27,$L$4:$S$48,8)-VLOOKUP($E27,$N$3:$S$47,6))*($E27-VLOOKUP($E27,$N$3:$S$47,1))/(VLOOKUP($E27,$L$4:$S$48,3)-VLOOKUP($E27,$N$3:$S$47,1)))-(J24+J25+J26))</f>
        <v>0</v>
      </c>
      <c r="L27" s="23">
        <v>690</v>
      </c>
      <c r="M27" s="25">
        <f t="shared" si="0"/>
        <v>219.4452910697958</v>
      </c>
      <c r="N27" s="23">
        <v>720</v>
      </c>
      <c r="O27" s="31">
        <v>1</v>
      </c>
      <c r="P27" s="31">
        <v>1</v>
      </c>
      <c r="Q27" s="24">
        <v>0.9912695846863919</v>
      </c>
      <c r="R27" s="24">
        <v>0.9783941897890935</v>
      </c>
      <c r="S27" s="26">
        <v>0.9526433999944962</v>
      </c>
      <c r="AE27" s="10"/>
      <c r="AF27" s="23"/>
      <c r="AG27" s="10"/>
      <c r="AH27" s="23"/>
      <c r="AI27" s="24"/>
      <c r="AJ27" s="24"/>
      <c r="AK27" s="24"/>
      <c r="AL27" s="31"/>
      <c r="AM27" s="31"/>
      <c r="AN27" s="4"/>
    </row>
    <row r="28" spans="1:40" ht="12.75">
      <c r="A28" s="1"/>
      <c r="B28" s="11"/>
      <c r="C28" s="4"/>
      <c r="D28" s="4"/>
      <c r="E28" s="15" t="s">
        <v>7</v>
      </c>
      <c r="F28" s="39">
        <f>SUM(F24:F27)</f>
        <v>1</v>
      </c>
      <c r="G28" s="29">
        <f>SUM(G24:G27)</f>
        <v>1</v>
      </c>
      <c r="H28" s="29">
        <f>SUM(H24:H27)</f>
        <v>1</v>
      </c>
      <c r="I28" s="29">
        <f>SUM(I24:I27)</f>
        <v>1</v>
      </c>
      <c r="J28" s="30">
        <f>SUM(J24:J27)</f>
        <v>1</v>
      </c>
      <c r="L28" s="23">
        <v>720</v>
      </c>
      <c r="M28" s="25">
        <f t="shared" si="0"/>
        <v>228.5888448643706</v>
      </c>
      <c r="N28" s="23">
        <v>750</v>
      </c>
      <c r="O28" s="31">
        <v>1</v>
      </c>
      <c r="P28" s="31">
        <v>1</v>
      </c>
      <c r="Q28" s="24">
        <v>0.9913172863556161</v>
      </c>
      <c r="R28" s="24">
        <v>0.9810357449964353</v>
      </c>
      <c r="S28" s="26">
        <v>0.9604726622780734</v>
      </c>
      <c r="AE28" s="10"/>
      <c r="AF28" s="23"/>
      <c r="AG28" s="10"/>
      <c r="AH28" s="23"/>
      <c r="AI28" s="24"/>
      <c r="AJ28" s="24"/>
      <c r="AK28" s="24"/>
      <c r="AL28" s="31"/>
      <c r="AM28" s="31"/>
      <c r="AN28" s="4"/>
    </row>
    <row r="29" spans="1:40" ht="12.75">
      <c r="A29" s="1"/>
      <c r="B29" s="12"/>
      <c r="C29" s="13"/>
      <c r="D29" s="13"/>
      <c r="E29" s="14" t="s">
        <v>8</v>
      </c>
      <c r="F29" s="35">
        <f>$C24*F24+$C25*F25+$C26*F26+$C27*F27</f>
        <v>1.0692243333333333</v>
      </c>
      <c r="G29" s="35">
        <f>$C24*G24+$C25*G25+$C26*G26+$C27*G27</f>
        <v>1.1568246666666666</v>
      </c>
      <c r="H29" s="36">
        <f>$C24*H24+$C25*H25+$C26*H26+$C27*H27</f>
        <v>1.546039915856183</v>
      </c>
      <c r="I29" s="36">
        <f>$C24*I24+$C25*I25+$C26*I26+$C27*I27</f>
        <v>1.6692168544652313</v>
      </c>
      <c r="J29" s="35">
        <f>$C24*J24+$C25*J25+$C26*J26+$C27*J27</f>
        <v>1.9155707316833293</v>
      </c>
      <c r="L29" s="23">
        <v>750</v>
      </c>
      <c r="M29" s="25">
        <f t="shared" si="0"/>
        <v>237.73239865894544</v>
      </c>
      <c r="N29" s="23">
        <v>780</v>
      </c>
      <c r="O29" s="31">
        <v>1</v>
      </c>
      <c r="P29" s="31">
        <v>1</v>
      </c>
      <c r="Q29" s="24">
        <v>0.9913198697679505</v>
      </c>
      <c r="R29" s="24">
        <v>0.982814811863213</v>
      </c>
      <c r="S29" s="26">
        <v>0.9658046960537374</v>
      </c>
      <c r="AE29" s="10"/>
      <c r="AF29" s="23"/>
      <c r="AG29" s="10"/>
      <c r="AH29" s="23"/>
      <c r="AI29" s="24"/>
      <c r="AJ29" s="24"/>
      <c r="AK29" s="24"/>
      <c r="AL29" s="31"/>
      <c r="AM29" s="31"/>
      <c r="AN29" s="4"/>
    </row>
    <row r="30" spans="12:40" ht="12.75">
      <c r="L30" s="23">
        <v>780</v>
      </c>
      <c r="M30" s="25">
        <f t="shared" si="0"/>
        <v>246.87595245352026</v>
      </c>
      <c r="N30" s="23">
        <v>810</v>
      </c>
      <c r="O30" s="31">
        <v>1</v>
      </c>
      <c r="P30" s="31">
        <v>1</v>
      </c>
      <c r="Q30" s="24">
        <v>0.9967215106935633</v>
      </c>
      <c r="R30" s="24">
        <v>0.9878622786604182</v>
      </c>
      <c r="S30" s="26">
        <v>0.9701438145941274</v>
      </c>
      <c r="AE30" s="10"/>
      <c r="AF30" s="23"/>
      <c r="AG30" s="10"/>
      <c r="AH30" s="23"/>
      <c r="AI30" s="24"/>
      <c r="AJ30" s="24"/>
      <c r="AK30" s="24"/>
      <c r="AL30" s="31"/>
      <c r="AM30" s="31"/>
      <c r="AN30" s="4"/>
    </row>
    <row r="31" spans="12:40" ht="12.75">
      <c r="L31" s="23">
        <v>810</v>
      </c>
      <c r="M31" s="25">
        <f t="shared" si="0"/>
        <v>256.01950624809507</v>
      </c>
      <c r="N31" s="23">
        <v>840</v>
      </c>
      <c r="O31" s="31">
        <v>1</v>
      </c>
      <c r="P31" s="31">
        <v>1</v>
      </c>
      <c r="Q31" s="24">
        <v>0.9993836205739643</v>
      </c>
      <c r="R31" s="24">
        <v>0.9909406044687501</v>
      </c>
      <c r="S31" s="26">
        <v>0.9740545722583209</v>
      </c>
      <c r="AE31" s="10"/>
      <c r="AF31" s="23"/>
      <c r="AG31" s="10"/>
      <c r="AH31" s="23"/>
      <c r="AI31" s="24"/>
      <c r="AJ31" s="24"/>
      <c r="AK31" s="24"/>
      <c r="AL31" s="31"/>
      <c r="AM31" s="31"/>
      <c r="AN31" s="4"/>
    </row>
    <row r="32" spans="12:40" ht="12.75">
      <c r="L32" s="23">
        <v>840</v>
      </c>
      <c r="M32" s="25">
        <f t="shared" si="0"/>
        <v>265.1630600426699</v>
      </c>
      <c r="N32" s="23">
        <v>870</v>
      </c>
      <c r="O32" s="31">
        <v>1</v>
      </c>
      <c r="P32" s="31">
        <v>1</v>
      </c>
      <c r="Q32" s="24">
        <v>0.9999069958373357</v>
      </c>
      <c r="R32" s="24">
        <v>0.9929002137751647</v>
      </c>
      <c r="S32" s="26">
        <v>0.9788866496508223</v>
      </c>
      <c r="AE32" s="10"/>
      <c r="AF32" s="23"/>
      <c r="AG32" s="10"/>
      <c r="AH32" s="23"/>
      <c r="AI32" s="24"/>
      <c r="AJ32" s="24"/>
      <c r="AK32" s="24"/>
      <c r="AL32" s="31"/>
      <c r="AM32" s="31"/>
      <c r="AN32" s="4"/>
    </row>
    <row r="33" spans="2:40" ht="12.75">
      <c r="B33" s="3"/>
      <c r="L33" s="23">
        <v>870</v>
      </c>
      <c r="M33" s="25">
        <f t="shared" si="0"/>
        <v>274.30661383724475</v>
      </c>
      <c r="N33" s="23">
        <v>900</v>
      </c>
      <c r="O33" s="31">
        <v>1</v>
      </c>
      <c r="P33" s="31">
        <v>1</v>
      </c>
      <c r="Q33" s="24">
        <v>0.999960751540577</v>
      </c>
      <c r="R33" s="24">
        <v>0.9945430850196546</v>
      </c>
      <c r="S33" s="26">
        <v>0.9837077519778096</v>
      </c>
      <c r="AE33" s="10"/>
      <c r="AF33" s="23"/>
      <c r="AG33" s="10"/>
      <c r="AH33" s="23"/>
      <c r="AI33" s="24"/>
      <c r="AJ33" s="24"/>
      <c r="AK33" s="24"/>
      <c r="AL33" s="31"/>
      <c r="AM33" s="31"/>
      <c r="AN33" s="4"/>
    </row>
    <row r="34" spans="2:40" ht="12.75">
      <c r="B34" s="3"/>
      <c r="L34" s="23">
        <v>900</v>
      </c>
      <c r="M34" s="25">
        <f t="shared" si="0"/>
        <v>283.45016763181957</v>
      </c>
      <c r="N34" s="23">
        <v>930</v>
      </c>
      <c r="O34" s="31">
        <v>1</v>
      </c>
      <c r="P34" s="31">
        <v>1</v>
      </c>
      <c r="Q34" s="24">
        <v>1</v>
      </c>
      <c r="R34" s="24">
        <v>0.9958780207234826</v>
      </c>
      <c r="S34" s="26">
        <v>0.9876340621704477</v>
      </c>
      <c r="AE34" s="10"/>
      <c r="AF34" s="23"/>
      <c r="AG34" s="10"/>
      <c r="AH34" s="23"/>
      <c r="AI34" s="24"/>
      <c r="AJ34" s="24"/>
      <c r="AK34" s="24"/>
      <c r="AL34" s="31"/>
      <c r="AM34" s="31"/>
      <c r="AN34" s="4"/>
    </row>
    <row r="35" spans="2:40" ht="12.75">
      <c r="B35" s="3"/>
      <c r="L35" s="23">
        <v>930</v>
      </c>
      <c r="M35" s="25">
        <f t="shared" si="0"/>
        <v>292.5937214263944</v>
      </c>
      <c r="N35" s="23">
        <v>960</v>
      </c>
      <c r="O35" s="31">
        <v>1</v>
      </c>
      <c r="P35" s="31">
        <v>1</v>
      </c>
      <c r="Q35" s="24">
        <v>1</v>
      </c>
      <c r="R35" s="24">
        <v>0.9963788086476063</v>
      </c>
      <c r="S35" s="26">
        <v>0.9891364259428189</v>
      </c>
      <c r="AE35" s="10"/>
      <c r="AF35" s="23"/>
      <c r="AG35" s="10"/>
      <c r="AH35" s="23"/>
      <c r="AI35" s="24"/>
      <c r="AJ35" s="24"/>
      <c r="AK35" s="24"/>
      <c r="AL35" s="31"/>
      <c r="AM35" s="31"/>
      <c r="AN35" s="4"/>
    </row>
    <row r="36" spans="2:40" ht="12.75">
      <c r="B36" s="3"/>
      <c r="L36" s="23">
        <v>960</v>
      </c>
      <c r="M36" s="25">
        <f t="shared" si="0"/>
        <v>301.7372752209692</v>
      </c>
      <c r="N36" s="23">
        <v>990</v>
      </c>
      <c r="O36" s="31">
        <v>1</v>
      </c>
      <c r="P36" s="31">
        <v>1</v>
      </c>
      <c r="Q36" s="24">
        <v>1</v>
      </c>
      <c r="R36" s="24">
        <v>0.9965100592243976</v>
      </c>
      <c r="S36" s="26">
        <v>0.989530177673193</v>
      </c>
      <c r="AE36" s="10"/>
      <c r="AF36" s="23"/>
      <c r="AG36" s="10"/>
      <c r="AH36" s="23"/>
      <c r="AI36" s="24"/>
      <c r="AJ36" s="24"/>
      <c r="AK36" s="24"/>
      <c r="AL36" s="31"/>
      <c r="AM36" s="31"/>
      <c r="AN36" s="4"/>
    </row>
    <row r="37" spans="2:40" ht="12.75">
      <c r="B37" s="3"/>
      <c r="L37" s="23">
        <v>990</v>
      </c>
      <c r="M37" s="25">
        <f t="shared" si="0"/>
        <v>310.880829015544</v>
      </c>
      <c r="N37" s="23">
        <v>1020</v>
      </c>
      <c r="O37" s="31">
        <v>1</v>
      </c>
      <c r="P37" s="31">
        <v>1</v>
      </c>
      <c r="Q37" s="24">
        <v>1</v>
      </c>
      <c r="R37" s="24">
        <v>0.9965318546663124</v>
      </c>
      <c r="S37" s="26">
        <v>0.9895955639989374</v>
      </c>
      <c r="AE37" s="10"/>
      <c r="AF37" s="23"/>
      <c r="AG37" s="10"/>
      <c r="AH37" s="23"/>
      <c r="AI37" s="24"/>
      <c r="AJ37" s="24"/>
      <c r="AK37" s="24"/>
      <c r="AL37" s="31"/>
      <c r="AM37" s="31"/>
      <c r="AN37" s="4"/>
    </row>
    <row r="38" spans="2:40" ht="12.75">
      <c r="B38" s="3"/>
      <c r="L38" s="23">
        <v>1020</v>
      </c>
      <c r="M38" s="25">
        <f t="shared" si="0"/>
        <v>320.0243828101189</v>
      </c>
      <c r="N38" s="23">
        <v>1050</v>
      </c>
      <c r="O38" s="31">
        <v>1</v>
      </c>
      <c r="P38" s="31">
        <v>1</v>
      </c>
      <c r="Q38" s="24">
        <v>1</v>
      </c>
      <c r="R38" s="24">
        <v>0.9965341698223688</v>
      </c>
      <c r="S38" s="26">
        <v>0.9896025094671065</v>
      </c>
      <c r="AE38" s="10"/>
      <c r="AF38" s="23"/>
      <c r="AG38" s="10"/>
      <c r="AH38" s="23"/>
      <c r="AI38" s="24"/>
      <c r="AJ38" s="24"/>
      <c r="AK38" s="24"/>
      <c r="AL38" s="31"/>
      <c r="AM38" s="31"/>
      <c r="AN38" s="4"/>
    </row>
    <row r="39" spans="2:40" ht="12.75">
      <c r="B39" s="3"/>
      <c r="L39" s="23">
        <v>1050</v>
      </c>
      <c r="M39" s="25">
        <f t="shared" si="0"/>
        <v>329.1679366046937</v>
      </c>
      <c r="N39" s="23">
        <v>1080</v>
      </c>
      <c r="O39" s="31">
        <v>1</v>
      </c>
      <c r="P39" s="31">
        <v>1</v>
      </c>
      <c r="Q39" s="24">
        <v>1</v>
      </c>
      <c r="R39" s="24">
        <v>0.996534313839085</v>
      </c>
      <c r="S39" s="26">
        <v>0.9896029415172549</v>
      </c>
      <c r="AE39" s="10"/>
      <c r="AF39" s="23"/>
      <c r="AG39" s="10"/>
      <c r="AH39" s="23"/>
      <c r="AI39" s="24"/>
      <c r="AJ39" s="24"/>
      <c r="AK39" s="24"/>
      <c r="AL39" s="31"/>
      <c r="AM39" s="31"/>
      <c r="AN39" s="4"/>
    </row>
    <row r="40" spans="2:40" ht="12.75">
      <c r="B40" s="3"/>
      <c r="L40" s="23">
        <v>1080</v>
      </c>
      <c r="M40" s="25">
        <f t="shared" si="0"/>
        <v>341.35934166412676</v>
      </c>
      <c r="N40" s="23">
        <v>1120</v>
      </c>
      <c r="O40" s="31">
        <v>1</v>
      </c>
      <c r="P40" s="31">
        <v>1</v>
      </c>
      <c r="Q40" s="24">
        <v>1</v>
      </c>
      <c r="R40" s="24">
        <v>0.9977791409177316</v>
      </c>
      <c r="S40" s="26">
        <v>0.9933374227531947</v>
      </c>
      <c r="AE40" s="10"/>
      <c r="AF40" s="23"/>
      <c r="AG40" s="10"/>
      <c r="AH40" s="23"/>
      <c r="AI40" s="24"/>
      <c r="AJ40" s="24"/>
      <c r="AK40" s="24"/>
      <c r="AL40" s="31"/>
      <c r="AM40" s="31"/>
      <c r="AN40" s="4"/>
    </row>
    <row r="41" spans="2:40" ht="12.75">
      <c r="B41" s="3"/>
      <c r="L41" s="23">
        <v>1120</v>
      </c>
      <c r="M41" s="25">
        <f t="shared" si="0"/>
        <v>350.5028954587016</v>
      </c>
      <c r="N41" s="23">
        <v>1150</v>
      </c>
      <c r="O41" s="31">
        <v>1</v>
      </c>
      <c r="P41" s="31">
        <v>1</v>
      </c>
      <c r="Q41" s="24">
        <v>1</v>
      </c>
      <c r="R41" s="24">
        <v>0.9992752472314373</v>
      </c>
      <c r="S41" s="26">
        <v>0.9978257416943118</v>
      </c>
      <c r="AE41" s="10"/>
      <c r="AF41" s="23"/>
      <c r="AG41" s="10"/>
      <c r="AH41" s="23"/>
      <c r="AI41" s="24"/>
      <c r="AJ41" s="24"/>
      <c r="AK41" s="24"/>
      <c r="AL41" s="31"/>
      <c r="AM41" s="31"/>
      <c r="AN41" s="4"/>
    </row>
    <row r="42" spans="2:40" ht="12.75">
      <c r="B42" s="3"/>
      <c r="L42" s="23">
        <v>1150</v>
      </c>
      <c r="M42" s="25">
        <f t="shared" si="0"/>
        <v>356.59859798841813</v>
      </c>
      <c r="N42" s="23">
        <v>1170</v>
      </c>
      <c r="O42" s="31">
        <v>1</v>
      </c>
      <c r="P42" s="31">
        <v>1</v>
      </c>
      <c r="Q42" s="24">
        <v>1</v>
      </c>
      <c r="R42" s="24">
        <v>0.9998486018213155</v>
      </c>
      <c r="S42" s="26">
        <v>0.9995458054639463</v>
      </c>
      <c r="AE42" s="10"/>
      <c r="AF42" s="23"/>
      <c r="AG42" s="10"/>
      <c r="AH42" s="23"/>
      <c r="AI42" s="24"/>
      <c r="AJ42" s="24"/>
      <c r="AK42" s="24"/>
      <c r="AL42" s="31"/>
      <c r="AM42" s="31"/>
      <c r="AN42" s="4"/>
    </row>
    <row r="43" spans="2:40" ht="12.75">
      <c r="B43" s="3"/>
      <c r="L43" s="23">
        <v>1170</v>
      </c>
      <c r="M43" s="25">
        <f t="shared" si="0"/>
        <v>365.74215178299295</v>
      </c>
      <c r="N43" s="23">
        <v>1200</v>
      </c>
      <c r="O43" s="31">
        <v>1</v>
      </c>
      <c r="P43" s="31">
        <v>1</v>
      </c>
      <c r="Q43" s="24">
        <v>1</v>
      </c>
      <c r="R43" s="24">
        <v>0.9999794452096316</v>
      </c>
      <c r="S43" s="26">
        <v>0.9999383356288946</v>
      </c>
      <c r="AE43" s="10"/>
      <c r="AF43" s="23"/>
      <c r="AG43" s="10"/>
      <c r="AH43" s="23"/>
      <c r="AI43" s="24"/>
      <c r="AJ43" s="24"/>
      <c r="AK43" s="24"/>
      <c r="AL43" s="31"/>
      <c r="AM43" s="31"/>
      <c r="AN43" s="4"/>
    </row>
    <row r="44" spans="2:40" ht="12.75">
      <c r="B44" s="3"/>
      <c r="L44" s="23">
        <v>1200</v>
      </c>
      <c r="M44" s="25">
        <f t="shared" si="0"/>
        <v>374.8857055775678</v>
      </c>
      <c r="N44" s="23">
        <v>1230</v>
      </c>
      <c r="O44" s="31">
        <v>1</v>
      </c>
      <c r="P44" s="31">
        <v>1</v>
      </c>
      <c r="Q44" s="24">
        <v>1</v>
      </c>
      <c r="R44" s="24">
        <v>0.9999983589543769</v>
      </c>
      <c r="S44" s="26">
        <v>0.9999950768631307</v>
      </c>
      <c r="AE44" s="10"/>
      <c r="AF44" s="23"/>
      <c r="AG44" s="10"/>
      <c r="AH44" s="23"/>
      <c r="AI44" s="24"/>
      <c r="AJ44" s="24"/>
      <c r="AK44" s="24"/>
      <c r="AL44" s="31"/>
      <c r="AM44" s="31"/>
      <c r="AN44" s="4"/>
    </row>
    <row r="45" spans="2:40" ht="12.75">
      <c r="B45" s="3"/>
      <c r="L45" s="23">
        <v>1230</v>
      </c>
      <c r="M45" s="25">
        <f t="shared" si="0"/>
        <v>384.02925937214263</v>
      </c>
      <c r="N45" s="23">
        <v>1260</v>
      </c>
      <c r="O45" s="31">
        <v>1</v>
      </c>
      <c r="P45" s="31">
        <v>1</v>
      </c>
      <c r="Q45" s="24">
        <v>1</v>
      </c>
      <c r="R45" s="24">
        <v>0.9999999282910306</v>
      </c>
      <c r="S45" s="26">
        <v>0.9999997848730917</v>
      </c>
      <c r="AE45" s="10"/>
      <c r="AF45" s="23"/>
      <c r="AG45" s="10"/>
      <c r="AH45" s="23"/>
      <c r="AI45" s="24"/>
      <c r="AJ45" s="24"/>
      <c r="AK45" s="24"/>
      <c r="AL45" s="31"/>
      <c r="AM45" s="31"/>
      <c r="AN45" s="4"/>
    </row>
    <row r="46" spans="2:40" ht="12.75">
      <c r="B46" s="3"/>
      <c r="L46" s="23">
        <v>1260</v>
      </c>
      <c r="M46" s="25">
        <f t="shared" si="0"/>
        <v>393.17281316671745</v>
      </c>
      <c r="N46" s="23">
        <v>1290</v>
      </c>
      <c r="O46" s="31">
        <v>1</v>
      </c>
      <c r="P46" s="31">
        <v>1</v>
      </c>
      <c r="Q46" s="24">
        <v>1</v>
      </c>
      <c r="R46" s="24">
        <v>0.9999999980240899</v>
      </c>
      <c r="S46" s="26">
        <v>0.9999999940722697</v>
      </c>
      <c r="AE46" s="10"/>
      <c r="AF46" s="23"/>
      <c r="AG46" s="10"/>
      <c r="AH46" s="23"/>
      <c r="AI46" s="24"/>
      <c r="AJ46" s="24"/>
      <c r="AK46" s="24"/>
      <c r="AL46" s="31"/>
      <c r="AM46" s="31"/>
      <c r="AN46" s="4"/>
    </row>
    <row r="47" spans="2:40" ht="12.75">
      <c r="B47" s="3"/>
      <c r="L47" s="23">
        <v>1290</v>
      </c>
      <c r="M47" s="27">
        <f t="shared" si="0"/>
        <v>402.31636696129226</v>
      </c>
      <c r="N47" s="28">
        <v>1320</v>
      </c>
      <c r="O47" s="32">
        <v>1</v>
      </c>
      <c r="P47" s="32">
        <v>1</v>
      </c>
      <c r="Q47" s="29">
        <v>1</v>
      </c>
      <c r="R47" s="29">
        <v>1</v>
      </c>
      <c r="S47" s="30">
        <v>1</v>
      </c>
      <c r="AE47" s="10"/>
      <c r="AF47" s="23"/>
      <c r="AG47" s="10"/>
      <c r="AH47" s="23"/>
      <c r="AI47" s="24"/>
      <c r="AJ47" s="24"/>
      <c r="AK47" s="24"/>
      <c r="AL47" s="31"/>
      <c r="AM47" s="31"/>
      <c r="AN47" s="4"/>
    </row>
    <row r="48" spans="12:40" ht="12.75">
      <c r="L48" s="23">
        <v>1320</v>
      </c>
      <c r="AE48" s="10"/>
      <c r="AF48" s="23"/>
      <c r="AG48" s="4"/>
      <c r="AH48" s="4"/>
      <c r="AI48" s="4"/>
      <c r="AJ48" s="4"/>
      <c r="AK48" s="4"/>
      <c r="AL48" s="4"/>
      <c r="AM48" s="4"/>
      <c r="AN48" s="4"/>
    </row>
    <row r="49" spans="31:40" ht="12.75"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31:40" ht="12.75">
      <c r="AE50" s="4"/>
      <c r="AF50" s="4"/>
      <c r="AG50" s="4"/>
      <c r="AH50" s="4"/>
      <c r="AI50" s="4"/>
      <c r="AJ50" s="4"/>
      <c r="AK50" s="4"/>
      <c r="AL50" s="4"/>
      <c r="AM50" s="4"/>
      <c r="AN50" s="4"/>
    </row>
  </sheetData>
  <mergeCells count="6">
    <mergeCell ref="D1:E1"/>
    <mergeCell ref="Q1:S1"/>
    <mergeCell ref="M1:N1"/>
    <mergeCell ref="O1:P1"/>
    <mergeCell ref="H1:J1"/>
    <mergeCell ref="F1:G1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PMD Solution Analyzer version 2011_11_14</dc:title>
  <dc:subject>IEEE 802.3 Next Gen Optics Study Group, Nov 2011</dc:subject>
  <dc:creator>Paul Kolesar</dc:creator>
  <cp:keywords/>
  <dc:description/>
  <cp:lastModifiedBy>pkolesar</cp:lastModifiedBy>
  <dcterms:created xsi:type="dcterms:W3CDTF">2011-01-26T21:58:43Z</dcterms:created>
  <dcterms:modified xsi:type="dcterms:W3CDTF">2011-11-14T17:53:48Z</dcterms:modified>
  <cp:category/>
  <cp:version/>
  <cp:contentType/>
  <cp:contentStatus/>
</cp:coreProperties>
</file>