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15" yWindow="65521" windowWidth="14700" windowHeight="9240" activeTab="0"/>
  </bookViews>
  <sheets>
    <sheet name="Read Me" sheetId="1" r:id="rId1"/>
    <sheet name="PMD Sol'n Set" sheetId="2" r:id="rId2"/>
    <sheet name="Cabling Sol'n Cost" sheetId="3" r:id="rId3"/>
    <sheet name="Total Sol'n Cost" sheetId="4" r:id="rId4"/>
  </sheets>
  <definedNames/>
  <calcPr fullCalcOnLoad="1"/>
</workbook>
</file>

<file path=xl/comments2.xml><?xml version="1.0" encoding="utf-8"?>
<comments xmlns="http://schemas.openxmlformats.org/spreadsheetml/2006/main">
  <authors>
    <author>pkolesar</author>
  </authors>
  <commentList>
    <comment ref="Q1" authorId="0">
      <text>
        <r>
          <rPr>
            <b/>
            <sz val="8"/>
            <rFont val="Tahoma"/>
            <family val="0"/>
          </rPr>
          <t>pkolesar:</t>
        </r>
        <r>
          <rPr>
            <sz val="8"/>
            <rFont val="Tahoma"/>
            <family val="0"/>
          </rPr>
          <t xml:space="preserve">
from kolesar_02_0911.pdf</t>
        </r>
      </text>
    </comment>
    <comment ref="E7" authorId="0">
      <text>
        <r>
          <rPr>
            <b/>
            <sz val="8"/>
            <rFont val="Tahoma"/>
            <family val="0"/>
          </rPr>
          <t>pkolesar:</t>
        </r>
        <r>
          <rPr>
            <sz val="8"/>
            <rFont val="Tahoma"/>
            <family val="0"/>
          </rPr>
          <t xml:space="preserve">
Will sum to 100% for solution sets that provide complete coverage.</t>
        </r>
      </text>
    </comment>
    <comment ref="P2" authorId="0">
      <text>
        <r>
          <rPr>
            <b/>
            <sz val="8"/>
            <rFont val="Tahoma"/>
            <family val="0"/>
          </rPr>
          <t>pkolesar:</t>
        </r>
        <r>
          <rPr>
            <sz val="8"/>
            <rFont val="Tahoma"/>
            <family val="0"/>
          </rPr>
          <t xml:space="preserve">
pre 2008 per
flatman_01_0108</t>
        </r>
      </text>
    </comment>
    <comment ref="O2" authorId="0">
      <text>
        <r>
          <rPr>
            <b/>
            <sz val="8"/>
            <rFont val="Tahoma"/>
            <family val="0"/>
          </rPr>
          <t>pkolesar:</t>
        </r>
        <r>
          <rPr>
            <sz val="8"/>
            <rFont val="Tahoma"/>
            <family val="0"/>
          </rPr>
          <t xml:space="preserve">
post-2012 projection per
flatman_01_0311</t>
        </r>
      </text>
    </comment>
    <comment ref="E14" authorId="0">
      <text>
        <r>
          <rPr>
            <b/>
            <sz val="8"/>
            <rFont val="Tahoma"/>
            <family val="0"/>
          </rPr>
          <t>pkolesar:</t>
        </r>
        <r>
          <rPr>
            <sz val="8"/>
            <rFont val="Tahoma"/>
            <family val="0"/>
          </rPr>
          <t xml:space="preserve">
Will sum to 100% for solution sets that provide complete coverage.</t>
        </r>
      </text>
    </comment>
    <comment ref="E21" authorId="0">
      <text>
        <r>
          <rPr>
            <b/>
            <sz val="8"/>
            <rFont val="Tahoma"/>
            <family val="0"/>
          </rPr>
          <t>pkolesar:</t>
        </r>
        <r>
          <rPr>
            <sz val="8"/>
            <rFont val="Tahoma"/>
            <family val="0"/>
          </rPr>
          <t xml:space="preserve">
Will sum to 100% for solution sets that provide complete coverage.</t>
        </r>
      </text>
    </comment>
    <comment ref="E28" authorId="0">
      <text>
        <r>
          <rPr>
            <b/>
            <sz val="8"/>
            <rFont val="Tahoma"/>
            <family val="0"/>
          </rPr>
          <t>pkolesar:</t>
        </r>
        <r>
          <rPr>
            <sz val="8"/>
            <rFont val="Tahoma"/>
            <family val="0"/>
          </rPr>
          <t xml:space="preserve">
Will sum to 100% for solution sets that provide complete coverage.</t>
        </r>
      </text>
    </comment>
  </commentList>
</comments>
</file>

<file path=xl/comments3.xml><?xml version="1.0" encoding="utf-8"?>
<comments xmlns="http://schemas.openxmlformats.org/spreadsheetml/2006/main">
  <authors>
    <author>pkolesar</author>
  </authors>
  <commentList>
    <comment ref="AS1" authorId="0">
      <text>
        <r>
          <rPr>
            <b/>
            <sz val="8"/>
            <rFont val="Tahoma"/>
            <family val="0"/>
          </rPr>
          <t>pkolesar:</t>
        </r>
        <r>
          <rPr>
            <sz val="8"/>
            <rFont val="Tahoma"/>
            <family val="0"/>
          </rPr>
          <t xml:space="preserve">
from kolesar_02_0911.pdf</t>
        </r>
      </text>
    </comment>
    <comment ref="AQ2" authorId="0">
      <text>
        <r>
          <rPr>
            <b/>
            <sz val="8"/>
            <rFont val="Tahoma"/>
            <family val="0"/>
          </rPr>
          <t>pkolesar:</t>
        </r>
        <r>
          <rPr>
            <sz val="8"/>
            <rFont val="Tahoma"/>
            <family val="0"/>
          </rPr>
          <t xml:space="preserve">
post-2012 projection per
flatman_01_0311</t>
        </r>
      </text>
    </comment>
    <comment ref="AR2" authorId="0">
      <text>
        <r>
          <rPr>
            <b/>
            <sz val="8"/>
            <rFont val="Tahoma"/>
            <family val="0"/>
          </rPr>
          <t>pkolesar:</t>
        </r>
        <r>
          <rPr>
            <sz val="8"/>
            <rFont val="Tahoma"/>
            <family val="0"/>
          </rPr>
          <t xml:space="preserve">
pre 2008 per
flatman_01_0108</t>
        </r>
      </text>
    </comment>
    <comment ref="C2" authorId="0">
      <text>
        <r>
          <rPr>
            <b/>
            <sz val="8"/>
            <rFont val="Tahoma"/>
            <family val="0"/>
          </rPr>
          <t>pkolesar:</t>
        </r>
        <r>
          <rPr>
            <sz val="8"/>
            <rFont val="Tahoma"/>
            <family val="0"/>
          </rPr>
          <t xml:space="preserve">
Place reach of AOCs and DACs in this column.</t>
        </r>
      </text>
    </comment>
    <comment ref="A8"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The analysis assumes that 2-lane OS2 PMDs will be deployed only for reaches not satisfied by others.</t>
        </r>
      </text>
    </comment>
    <comment ref="A19"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Here 2-lane OS2 PMDs are deployed only for reaches not satisfied by others.</t>
        </r>
      </text>
    </comment>
    <comment ref="A30"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Here 2-lane OS2 PMDs are deployed only for reaches not satisfied by others.</t>
        </r>
      </text>
    </comment>
    <comment ref="A41"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Here 2-lane OS2 PMDs are deployed only for reaches not satisfied by others.</t>
        </r>
      </text>
    </comment>
    <comment ref="BA1" authorId="0">
      <text>
        <r>
          <rPr>
            <b/>
            <sz val="8"/>
            <rFont val="Tahoma"/>
            <family val="0"/>
          </rPr>
          <t>pkolesar:</t>
        </r>
        <r>
          <rPr>
            <sz val="8"/>
            <rFont val="Tahoma"/>
            <family val="0"/>
          </rPr>
          <t xml:space="preserve">
Source of cabling cost: 
kolesar_01_0112.pdf</t>
        </r>
      </text>
    </comment>
  </commentList>
</comments>
</file>

<file path=xl/sharedStrings.xml><?xml version="1.0" encoding="utf-8"?>
<sst xmlns="http://schemas.openxmlformats.org/spreadsheetml/2006/main" count="222" uniqueCount="136">
  <si>
    <t>(m)</t>
  </si>
  <si>
    <t>comparison metric</t>
  </si>
  <si>
    <t>channel length</t>
  </si>
  <si>
    <t>PMD description</t>
  </si>
  <si>
    <t>(relative values)</t>
  </si>
  <si>
    <t>(ordered by increasing reach)</t>
  </si>
  <si>
    <t>PMD reach capability</t>
  </si>
  <si>
    <t>coverage check:</t>
  </si>
  <si>
    <t>Figures of Merit:</t>
  </si>
  <si>
    <t>PMD set number</t>
  </si>
  <si>
    <t>single link: concat ratio = 0</t>
  </si>
  <si>
    <t>2:1 mix: concat ratio = 0.33</t>
  </si>
  <si>
    <t>double link: concat ratio = 1</t>
  </si>
  <si>
    <t>(ft)</t>
  </si>
  <si>
    <t>pre-2008</t>
  </si>
  <si>
    <t>post-2012</t>
  </si>
  <si>
    <t xml:space="preserve"> server-to-switch channel 
cumulative density functions </t>
  </si>
  <si>
    <t>data center switch-to-switch channel 
cumulative density functions in 2010</t>
  </si>
  <si>
    <t>PMD coverage for 
server-to-switch channels</t>
  </si>
  <si>
    <t>PMD coverage for 
switch-to-switch channels</t>
  </si>
  <si>
    <t>for interpolation</t>
  </si>
  <si>
    <t>Paul Kolesar</t>
  </si>
  <si>
    <t>Description</t>
  </si>
  <si>
    <t>The originating source of the CDFs is referenced within the comments imbedded in the title cells above the CDF columns.</t>
  </si>
  <si>
    <t>The calculation proceeds as follows:</t>
  </si>
  <si>
    <t xml:space="preserve">The channel coverage of the next PMD in the set is determined from where the previous PMD stopped, and so on, thus necessitating ascending reach order. </t>
  </si>
  <si>
    <r>
      <t xml:space="preserve">The cells in columns B, C and D in </t>
    </r>
    <r>
      <rPr>
        <b/>
        <sz val="10"/>
        <rFont val="Arial"/>
        <family val="2"/>
      </rPr>
      <t>bold font</t>
    </r>
    <r>
      <rPr>
        <sz val="10"/>
        <rFont val="Arial"/>
        <family val="0"/>
      </rPr>
      <t xml:space="preserve"> are inputs to the analysis.  </t>
    </r>
  </si>
  <si>
    <t>Columns O and P are the CDFs for access channels between servers and switches in two different time periods that illustrate migration of switch placement closer to servers.</t>
  </si>
  <si>
    <t>Columns Q, R and S are the CDFs for aggregation channels between switches for three different topology mixes detailed in the referenced source material.</t>
  </si>
  <si>
    <r>
      <t xml:space="preserve">In </t>
    </r>
    <r>
      <rPr>
        <sz val="10"/>
        <color indexed="17"/>
        <rFont val="Arial"/>
        <family val="2"/>
      </rPr>
      <t>column C</t>
    </r>
    <r>
      <rPr>
        <sz val="10"/>
        <rFont val="Arial"/>
        <family val="0"/>
      </rPr>
      <t xml:space="preserve"> input relative values of the metric to be compared such as cost, power consumption, size, etc.</t>
    </r>
  </si>
  <si>
    <r>
      <t xml:space="preserve">In </t>
    </r>
    <r>
      <rPr>
        <sz val="10"/>
        <color indexed="12"/>
        <rFont val="Arial"/>
        <family val="2"/>
      </rPr>
      <t>column D</t>
    </r>
    <r>
      <rPr>
        <sz val="10"/>
        <rFont val="Arial"/>
        <family val="0"/>
      </rPr>
      <t xml:space="preserve"> input the reach capability in meters.  The column E reach values in US customary units of feet are calculated, not input.</t>
    </r>
  </si>
  <si>
    <t xml:space="preserve">The worksheet "PMD Sol'n Set" allows comparison of up to four sets, each with up to four PMDs, on a variety of metrics. </t>
  </si>
  <si>
    <r>
      <t xml:space="preserve">In </t>
    </r>
    <r>
      <rPr>
        <sz val="10"/>
        <color indexed="10"/>
        <rFont val="Arial"/>
        <family val="2"/>
      </rPr>
      <t>column B</t>
    </r>
    <r>
      <rPr>
        <sz val="10"/>
        <rFont val="Arial"/>
        <family val="0"/>
      </rPr>
      <t xml:space="preserve"> input the description of the PMDs within the sets, </t>
    </r>
    <r>
      <rPr>
        <u val="single"/>
        <sz val="10"/>
        <rFont val="Arial"/>
        <family val="2"/>
      </rPr>
      <t>in order of ascending reach</t>
    </r>
    <r>
      <rPr>
        <sz val="10"/>
        <rFont val="Arial"/>
        <family val="0"/>
      </rPr>
      <t xml:space="preserve"> (i.e. ascending supportable distance) capability.</t>
    </r>
  </si>
  <si>
    <t xml:space="preserve">Two categories of channel CDFs are provided. </t>
  </si>
  <si>
    <t>Note: Setting reach to 0 effectively eliminates a PMD from the calculation provided that PMD is listed before others in compliance with the ascending reach ordering requirement.</t>
  </si>
  <si>
    <t>The Figures of Merit are determined by summing coverage-weighted comparison metrics.  These are plotted below the PMD tables in the order of channels with increasing CDF.</t>
  </si>
  <si>
    <t>The calculation produces Figures of Merit for each of the five data center channel length cumulative density functions (CDFs) provided in columns M thru S and plotted to the right in both metric (meters) and US customary (feet) units.</t>
  </si>
  <si>
    <t>The channel coverage of each PMD is determined by comparison to the CDFs using linear interpolation starting with the first PMD listed in the set.</t>
  </si>
  <si>
    <t>A coverage check is determined by summing the coverage of all the PMDs in the set for each CDF, wherein a value less than 100% indicates that a portion of that CDF is not covered.</t>
  </si>
  <si>
    <t>Note: The default input values are placeholders.</t>
  </si>
  <si>
    <t>OM3</t>
  </si>
  <si>
    <t>OM4</t>
  </si>
  <si>
    <t>OS2</t>
  </si>
  <si>
    <t>8-lane OM3</t>
  </si>
  <si>
    <t>8-lane OM4</t>
  </si>
  <si>
    <t>8-lane OS2</t>
  </si>
  <si>
    <t>2-lane OS2</t>
  </si>
  <si>
    <t>2-lane 
OS2</t>
  </si>
  <si>
    <t>8-lane 
OM3</t>
  </si>
  <si>
    <t>8-lane
OM4</t>
  </si>
  <si>
    <t>8-lane
OS2</t>
  </si>
  <si>
    <t xml:space="preserve">post-2012 </t>
  </si>
  <si>
    <t xml:space="preserve">pre-2008 </t>
  </si>
  <si>
    <t xml:space="preserve">single-link </t>
  </si>
  <si>
    <t xml:space="preserve">2:1 mix </t>
  </si>
  <si>
    <t xml:space="preserve">double-link </t>
  </si>
  <si>
    <t>(ordered by increasing cost)</t>
  </si>
  <si>
    <t>PMD reach capability for structured cabling type
(m)</t>
  </si>
  <si>
    <t>Structured cabling cost for 
server-to-switch channels</t>
  </si>
  <si>
    <t>Structured cabling cost for 
switch-to-switch channels</t>
  </si>
  <si>
    <t>cumulative cabling costs
single-link switch-to-switch channels</t>
  </si>
  <si>
    <t>cumulative cabling costs
2:1-mix switch-to-switch channels</t>
  </si>
  <si>
    <t>cumulative cabling costs
double-link switch-to-switch channels</t>
  </si>
  <si>
    <t xml:space="preserve"> cumulative cabling costs 
post-2012 server-to-switch channles</t>
  </si>
  <si>
    <t>2-OS2</t>
  </si>
  <si>
    <t>8-OM3</t>
  </si>
  <si>
    <t>8-OM4</t>
  </si>
  <si>
    <t>8-OS2</t>
  </si>
  <si>
    <t xml:space="preserve">server-to-switch 
post-2012 </t>
  </si>
  <si>
    <t xml:space="preserve">server-to-switch 
pre-2008 </t>
  </si>
  <si>
    <t xml:space="preserve">switch-to-switch 
single-link </t>
  </si>
  <si>
    <t xml:space="preserve">switch-to-switch 
2:1 mix </t>
  </si>
  <si>
    <t xml:space="preserve">switch-to-switch 
double-link </t>
  </si>
  <si>
    <t xml:space="preserve">switch-to-switch
single-link </t>
  </si>
  <si>
    <t xml:space="preserve"> switch-to-switch
double-link </t>
  </si>
  <si>
    <t xml:space="preserve"> switch-to-switch
2:1 mix </t>
  </si>
  <si>
    <t>Calculations presume the above PMDs are deployed when channel length exceeds:</t>
  </si>
  <si>
    <t>n.s.c.</t>
  </si>
  <si>
    <t>no structured cabling (n.s.c.)</t>
  </si>
  <si>
    <t>Cabling cost for server-to-switch channels 
for PMD and structured cabling type</t>
  </si>
  <si>
    <t>Cabling cost for switch-to-switch channels
for PMD and structured cabling type</t>
  </si>
  <si>
    <t>n.a.</t>
  </si>
  <si>
    <t>cost ratios (vs 2-lane OS2)</t>
  </si>
  <si>
    <t>Cabling cost analysis for all PMDs in set</t>
  </si>
  <si>
    <t xml:space="preserve"> cumulative cabling costs 
pre-2008 server-to-switch channels</t>
  </si>
  <si>
    <t xml:space="preserve">This workbook permits comparison of PMD solution sets and associated cabling targeted to support data center environments. </t>
  </si>
  <si>
    <t>Overall Description</t>
  </si>
  <si>
    <t>"PMD Sol'n Set" Tab</t>
  </si>
  <si>
    <t>ISO</t>
  </si>
  <si>
    <t>IEC</t>
  </si>
  <si>
    <t>ITU</t>
  </si>
  <si>
    <t>B1.3</t>
  </si>
  <si>
    <t>G.652D</t>
  </si>
  <si>
    <t>A1a.2</t>
  </si>
  <si>
    <t>A1a.3</t>
  </si>
  <si>
    <t>Low-water-peak single-mode</t>
  </si>
  <si>
    <t xml:space="preserve">2000 MHz*km laser-optimized 50 µm </t>
  </si>
  <si>
    <t>4700 MHz*km laser-optimized 50 µm</t>
  </si>
  <si>
    <t>G.651.1</t>
  </si>
  <si>
    <t xml:space="preserve">Five cabling connectivity types can be examined that include 2-lane OS2, 8-lane OM3, 8-lane OM4, 8-lane OS2, and no structured cabling. </t>
  </si>
  <si>
    <t>Cabling / Fiber Designation Cross Reference</t>
  </si>
  <si>
    <t>The last type, "no structured cabling", is associated with of the use of Active Optical Cables (AOCs) or Direct Attach Copper (DAC) cables.</t>
  </si>
  <si>
    <r>
      <t xml:space="preserve">The cells in columns B thru G in </t>
    </r>
    <r>
      <rPr>
        <b/>
        <sz val="10"/>
        <rFont val="Arial"/>
        <family val="2"/>
      </rPr>
      <t>bold font</t>
    </r>
    <r>
      <rPr>
        <sz val="10"/>
        <rFont val="Arial"/>
        <family val="0"/>
      </rPr>
      <t xml:space="preserve"> are inputs to the analysis.  </t>
    </r>
  </si>
  <si>
    <r>
      <t xml:space="preserve">In </t>
    </r>
    <r>
      <rPr>
        <sz val="10"/>
        <color indexed="10"/>
        <rFont val="Arial"/>
        <family val="2"/>
      </rPr>
      <t>column B</t>
    </r>
    <r>
      <rPr>
        <sz val="10"/>
        <rFont val="Arial"/>
        <family val="0"/>
      </rPr>
      <t xml:space="preserve"> input the description of the PMDs within the sets, </t>
    </r>
    <r>
      <rPr>
        <u val="single"/>
        <sz val="10"/>
        <rFont val="Arial"/>
        <family val="2"/>
      </rPr>
      <t>in order of increasing cost</t>
    </r>
    <r>
      <rPr>
        <sz val="10"/>
        <rFont val="Arial"/>
        <family val="0"/>
      </rPr>
      <t>.</t>
    </r>
  </si>
  <si>
    <r>
      <t xml:space="preserve">In </t>
    </r>
    <r>
      <rPr>
        <sz val="10"/>
        <color indexed="12"/>
        <rFont val="Arial"/>
        <family val="2"/>
      </rPr>
      <t>columns C thru G</t>
    </r>
    <r>
      <rPr>
        <sz val="10"/>
        <rFont val="Arial"/>
        <family val="0"/>
      </rPr>
      <t xml:space="preserve"> input the PMD's reach capability in meters for each cabling type over which it is intended to operate.  </t>
    </r>
  </si>
  <si>
    <t>The cabling cost for each PMD is determined by comparison to the cabling cost CDFs in colmns BA thru BT using linear interpolation starting with the first PMD listed in the set and moving to the right thru the five cabling types.</t>
  </si>
  <si>
    <t>The cost for each of the five channel CDFs is the sum of all cost values for each PMD / cable-type combination within the set that is required to reach complete coverage.</t>
  </si>
  <si>
    <t xml:space="preserve">A zero cost value is assigned to any input cell left blank and any entry in the "no structured cabling" column.  </t>
  </si>
  <si>
    <t xml:space="preserve">A cost contribution is calculated for any PMD / cable-type combination that is required to complete coverage of the five data center channel length CDFs.  </t>
  </si>
  <si>
    <t>The 2-lane and 8-lane types represent structured cabling associated with PMDs that use one fiber and four fibers in each direction, respectively.</t>
  </si>
  <si>
    <t>Because the cabling types are placed in ascending cost order from left to right, the cost calculation can find the lowest cost scenario by applying priority to the lowest cost PMD / cabling-type combination defined in the set.</t>
  </si>
  <si>
    <t>The values in the grey cells below each PMD set, determined from the maximum reach of lower-cost combinations, provide the shortest channel length to which the corresponding PMD / cable-type combination is applied.</t>
  </si>
  <si>
    <t xml:space="preserve">However, complete cost values can only be determined for channels where the reach of the PMD set provides complete channel coverage, as determined by the "coverage check" on the "PMD Sol'n Set" worksheet.  </t>
  </si>
  <si>
    <t>SolutionAnalyzer_2012_01_17</t>
  </si>
  <si>
    <t>The calculation produces relative cabling cost values for each of the five data center channel length cumulative density functions (CDFs) provided in columns AQ thru AU.</t>
  </si>
  <si>
    <t>These are the same CDFs used in the "PMD Sol'n Set" worksheet and described previously.</t>
  </si>
  <si>
    <t>The originating source of the cabling cost CDFs is referenced within the comment imbedded in the title cell above first set of cabling CDF columns.</t>
  </si>
  <si>
    <t xml:space="preserve">The calculation then applies increasingly higher cost combinations in succession to channel lengths that may exceed the reach of the prior combinations until all PMD / cabling-type combinations are analyzed. </t>
  </si>
  <si>
    <t xml:space="preserve">The summed cost values are tabulateed in columns H thru L and plotted below the PMD sets to allow a graphical comparison of all PMD sets for each channel CDF. </t>
  </si>
  <si>
    <t>For this reason, it is recommended to fill in the PMDs starting at the bottom row of each set.</t>
  </si>
  <si>
    <t>SR4</t>
  </si>
  <si>
    <t>LR4</t>
  </si>
  <si>
    <t>Total cost for
server-to-switch channels</t>
  </si>
  <si>
    <t>Total cost for
switch-to-switch channels</t>
  </si>
  <si>
    <t>(copied from PMD Sol'n Set worksheet)</t>
  </si>
  <si>
    <t>"Cabling Sol'n Cost" Tab</t>
  </si>
  <si>
    <t xml:space="preserve">The worksheet "Cabling Sol'n Cost" allows comparison of cabling costs for up to four PMD sets, each with up to four PMDs. </t>
  </si>
  <si>
    <t>Cost values for individual PMD / cabling-type combinations are collected in columns N thru AL in arrays aligned with the PMD sets.</t>
  </si>
  <si>
    <t>"Total Sol'n Cost" Tab</t>
  </si>
  <si>
    <t>The calculation requires no user input on this worksheet, as the cost values come from the other worksheets and the PMD descriptions in column B are imported from the "PMD Sol'n Set" worksheet.</t>
  </si>
  <si>
    <t>The total cost values are graphically displayed for each PMD solution set for the five channel topologies.</t>
  </si>
  <si>
    <t xml:space="preserve">The worksheet "Total Sol'n Cost" produces the total cost (i.e. 2 PMDs + cabling) for each PMD set defined by cost comparison metrics on worksheet "PMD Sol'n Set". </t>
  </si>
  <si>
    <r>
      <t>Important</t>
    </r>
    <r>
      <rPr>
        <sz val="10"/>
        <rFont val="Arial"/>
        <family val="0"/>
      </rPr>
      <t>: Because the cabling cost values are relative to the cost of a 100GBASE-SR10 CXP module, the PMDs in each solution set must also use this same basis in order to produce meaningful combined cost values.</t>
    </r>
  </si>
  <si>
    <t>The calculation of total cost is determined by multiplying the PMD cost figure-of-merit by two (because two PMDs are required in each channel) and adding the cost of the associated cabling for each of the five channel topologies.</t>
  </si>
  <si>
    <t>zz</t>
  </si>
  <si>
    <t xml:space="preserve">The cost calculations are based on cabling cost CDFs in columns BA thru BT which are normalized to the cost of a 100GBASE-SR10 CXP module.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</si>
</sst>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0%"/>
    <numFmt numFmtId="167" formatCode="0.00000"/>
    <numFmt numFmtId="168" formatCode="0.0000"/>
    <numFmt numFmtId="169" formatCode="0.000"/>
    <numFmt numFmtId="170" formatCode="0.0000%"/>
    <numFmt numFmtId="171" formatCode="0.000%"/>
    <numFmt numFmtId="172" formatCode="0.00000000000000000%"/>
    <numFmt numFmtId="173" formatCode="_(* #,##0.000_);_(* \(#,##0.000\);_(* &quot;-&quot;???_);_(@_)"/>
  </numFmts>
  <fonts count="31">
    <font>
      <sz val="10"/>
      <name val="Arial"/>
      <family val="0"/>
    </font>
    <font>
      <b/>
      <i/>
      <sz val="10"/>
      <name val="Arial"/>
      <family val="0"/>
    </font>
    <font>
      <b/>
      <sz val="10"/>
      <name val="Arial"/>
      <family val="2"/>
    </font>
    <font>
      <b/>
      <sz val="8"/>
      <name val="Tahoma"/>
      <family val="0"/>
    </font>
    <font>
      <sz val="8"/>
      <name val="Tahoma"/>
      <family val="0"/>
    </font>
    <font>
      <sz val="8"/>
      <name val="Arial"/>
      <family val="0"/>
    </font>
    <font>
      <sz val="8.25"/>
      <name val="Arial"/>
      <family val="0"/>
    </font>
    <font>
      <b/>
      <sz val="11.75"/>
      <name val="Arial"/>
      <family val="0"/>
    </font>
    <font>
      <sz val="9.75"/>
      <name val="Arial"/>
      <family val="0"/>
    </font>
    <font>
      <b/>
      <sz val="9.75"/>
      <name val="Arial"/>
      <family val="0"/>
    </font>
    <font>
      <sz val="11"/>
      <name val="Arial"/>
      <family val="2"/>
    </font>
    <font>
      <b/>
      <sz val="12"/>
      <name val="Arial"/>
      <family val="2"/>
    </font>
    <font>
      <sz val="9"/>
      <name val="Arial"/>
      <family val="2"/>
    </font>
    <font>
      <u val="single"/>
      <sz val="10"/>
      <name val="Arial"/>
      <family val="2"/>
    </font>
    <font>
      <sz val="10"/>
      <color indexed="10"/>
      <name val="Arial"/>
      <family val="2"/>
    </font>
    <font>
      <sz val="10"/>
      <color indexed="12"/>
      <name val="Arial"/>
      <family val="2"/>
    </font>
    <font>
      <sz val="10"/>
      <color indexed="17"/>
      <name val="Arial"/>
      <family val="2"/>
    </font>
    <font>
      <u val="single"/>
      <sz val="10"/>
      <color indexed="12"/>
      <name val="Arial"/>
      <family val="0"/>
    </font>
    <font>
      <u val="single"/>
      <sz val="10"/>
      <color indexed="20"/>
      <name val="Arial"/>
      <family val="0"/>
    </font>
    <font>
      <sz val="8.5"/>
      <name val="Arial"/>
      <family val="2"/>
    </font>
    <font>
      <sz val="10"/>
      <color indexed="22"/>
      <name val="Arial"/>
      <family val="0"/>
    </font>
    <font>
      <sz val="10"/>
      <color indexed="9"/>
      <name val="Arial"/>
      <family val="0"/>
    </font>
    <font>
      <b/>
      <sz val="10.5"/>
      <name val="Arial"/>
      <family val="2"/>
    </font>
    <font>
      <sz val="5"/>
      <name val="Arial"/>
      <family val="0"/>
    </font>
    <font>
      <sz val="10.5"/>
      <name val="Arial"/>
      <family val="2"/>
    </font>
    <font>
      <b/>
      <sz val="10.25"/>
      <name val="Arial"/>
      <family val="2"/>
    </font>
    <font>
      <sz val="4.75"/>
      <name val="Arial"/>
      <family val="0"/>
    </font>
    <font>
      <sz val="10.25"/>
      <name val="Arial"/>
      <family val="2"/>
    </font>
    <font>
      <b/>
      <sz val="11.25"/>
      <name val="Arial"/>
      <family val="2"/>
    </font>
    <font>
      <sz val="8.75"/>
      <name val="Arial"/>
      <family val="0"/>
    </font>
    <font>
      <b/>
      <sz val="8"/>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131">
    <xf numFmtId="0" fontId="0" fillId="0" borderId="0" xfId="0" applyAlignment="1">
      <alignment/>
    </xf>
    <xf numFmtId="0" fontId="0" fillId="0" borderId="0" xfId="0" applyAlignment="1">
      <alignment horizontal="center"/>
    </xf>
    <xf numFmtId="0" fontId="0" fillId="0" borderId="0" xfId="0" applyAlignment="1">
      <alignment horizontal="center" wrapText="1"/>
    </xf>
    <xf numFmtId="167" fontId="0" fillId="0" borderId="0" xfId="0" applyNumberFormat="1" applyAlignment="1">
      <alignment/>
    </xf>
    <xf numFmtId="0" fontId="0" fillId="0" borderId="0" xfId="0" applyBorder="1" applyAlignment="1">
      <alignment/>
    </xf>
    <xf numFmtId="0" fontId="2" fillId="0" borderId="1" xfId="0" applyFont="1" applyBorder="1" applyAlignment="1">
      <alignment horizontal="center"/>
    </xf>
    <xf numFmtId="0" fontId="2" fillId="0" borderId="2" xfId="0" applyFont="1" applyBorder="1" applyAlignment="1">
      <alignment/>
    </xf>
    <xf numFmtId="165" fontId="0" fillId="0" borderId="2" xfId="0" applyNumberFormat="1" applyBorder="1" applyAlignment="1">
      <alignment/>
    </xf>
    <xf numFmtId="0" fontId="2" fillId="0" borderId="3" xfId="0" applyFont="1" applyBorder="1" applyAlignment="1">
      <alignment horizontal="center"/>
    </xf>
    <xf numFmtId="0" fontId="2" fillId="0" borderId="0" xfId="0" applyFont="1" applyBorder="1" applyAlignment="1">
      <alignment/>
    </xf>
    <xf numFmtId="165" fontId="0" fillId="0" borderId="0"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right"/>
    </xf>
    <xf numFmtId="0" fontId="0" fillId="0" borderId="0" xfId="0" applyBorder="1" applyAlignment="1">
      <alignment horizontal="right"/>
    </xf>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xf>
    <xf numFmtId="1" fontId="0" fillId="0" borderId="0" xfId="0" applyNumberFormat="1" applyBorder="1" applyAlignment="1">
      <alignment/>
    </xf>
    <xf numFmtId="164" fontId="0" fillId="0" borderId="0" xfId="0" applyNumberFormat="1" applyBorder="1" applyAlignment="1">
      <alignment/>
    </xf>
    <xf numFmtId="165" fontId="0" fillId="0" borderId="3" xfId="0" applyNumberFormat="1" applyBorder="1" applyAlignment="1">
      <alignment/>
    </xf>
    <xf numFmtId="164" fontId="0" fillId="0" borderId="6" xfId="0" applyNumberFormat="1" applyBorder="1" applyAlignment="1">
      <alignment/>
    </xf>
    <xf numFmtId="165" fontId="0" fillId="0" borderId="4" xfId="0" applyNumberFormat="1" applyBorder="1" applyAlignment="1">
      <alignment/>
    </xf>
    <xf numFmtId="1" fontId="0" fillId="0" borderId="5" xfId="0" applyNumberFormat="1" applyBorder="1" applyAlignment="1">
      <alignment/>
    </xf>
    <xf numFmtId="164" fontId="0" fillId="0" borderId="5" xfId="0" applyNumberFormat="1" applyBorder="1" applyAlignment="1">
      <alignment/>
    </xf>
    <xf numFmtId="164" fontId="0" fillId="0" borderId="7" xfId="0" applyNumberFormat="1" applyBorder="1" applyAlignment="1">
      <alignment/>
    </xf>
    <xf numFmtId="164" fontId="0" fillId="0" borderId="0" xfId="0" applyNumberFormat="1" applyFill="1" applyBorder="1" applyAlignment="1">
      <alignment/>
    </xf>
    <xf numFmtId="164" fontId="0" fillId="0" borderId="5" xfId="0" applyNumberFormat="1" applyFill="1" applyBorder="1" applyAlignment="1">
      <alignment/>
    </xf>
    <xf numFmtId="164" fontId="0" fillId="0" borderId="2" xfId="0" applyNumberFormat="1" applyBorder="1" applyAlignment="1">
      <alignment/>
    </xf>
    <xf numFmtId="164" fontId="0" fillId="0" borderId="8" xfId="0" applyNumberFormat="1" applyBorder="1" applyAlignment="1">
      <alignment/>
    </xf>
    <xf numFmtId="2" fontId="0" fillId="0" borderId="9" xfId="0" applyNumberFormat="1" applyBorder="1" applyAlignment="1">
      <alignment horizontal="center"/>
    </xf>
    <xf numFmtId="2" fontId="0" fillId="0" borderId="4" xfId="0" applyNumberFormat="1" applyBorder="1" applyAlignment="1">
      <alignment horizontal="center"/>
    </xf>
    <xf numFmtId="164" fontId="0" fillId="0" borderId="1" xfId="0" applyNumberFormat="1" applyBorder="1" applyAlignment="1">
      <alignment/>
    </xf>
    <xf numFmtId="164" fontId="0" fillId="0" borderId="3" xfId="0" applyNumberFormat="1" applyBorder="1" applyAlignment="1">
      <alignment/>
    </xf>
    <xf numFmtId="164" fontId="0" fillId="0" borderId="4" xfId="0" applyNumberFormat="1" applyBorder="1" applyAlignment="1">
      <alignment/>
    </xf>
    <xf numFmtId="0" fontId="14"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xf>
    <xf numFmtId="0" fontId="0" fillId="0" borderId="7" xfId="0" applyBorder="1" applyAlignment="1">
      <alignment/>
    </xf>
    <xf numFmtId="0" fontId="0" fillId="2" borderId="0" xfId="0" applyFill="1" applyBorder="1" applyAlignment="1">
      <alignment/>
    </xf>
    <xf numFmtId="0" fontId="0" fillId="2" borderId="5" xfId="0" applyFill="1" applyBorder="1" applyAlignment="1">
      <alignment/>
    </xf>
    <xf numFmtId="2" fontId="0" fillId="0" borderId="0" xfId="0" applyNumberFormat="1" applyBorder="1" applyAlignment="1">
      <alignment/>
    </xf>
    <xf numFmtId="2" fontId="0" fillId="0" borderId="6" xfId="0" applyNumberFormat="1" applyBorder="1" applyAlignment="1">
      <alignment/>
    </xf>
    <xf numFmtId="2" fontId="0" fillId="0" borderId="3" xfId="0" applyNumberFormat="1" applyFill="1" applyBorder="1" applyAlignment="1">
      <alignment/>
    </xf>
    <xf numFmtId="2" fontId="0" fillId="0" borderId="0" xfId="0" applyNumberFormat="1" applyFill="1" applyBorder="1" applyAlignment="1">
      <alignment/>
    </xf>
    <xf numFmtId="2" fontId="0" fillId="0" borderId="6" xfId="0" applyNumberFormat="1" applyFill="1" applyBorder="1" applyAlignment="1">
      <alignment/>
    </xf>
    <xf numFmtId="0" fontId="21" fillId="0" borderId="0" xfId="0" applyFont="1" applyAlignment="1">
      <alignment/>
    </xf>
    <xf numFmtId="0" fontId="2" fillId="0" borderId="2" xfId="0" applyFont="1" applyBorder="1" applyAlignment="1">
      <alignment horizontal="center"/>
    </xf>
    <xf numFmtId="0" fontId="2" fillId="0" borderId="0" xfId="0" applyFont="1" applyBorder="1" applyAlignment="1">
      <alignment horizontal="center"/>
    </xf>
    <xf numFmtId="0" fontId="15" fillId="0" borderId="0" xfId="0" applyFont="1" applyAlignment="1">
      <alignment horizontal="center" vertical="center" wrapText="1"/>
    </xf>
    <xf numFmtId="2" fontId="0" fillId="0" borderId="0" xfId="0" applyNumberFormat="1" applyFont="1" applyBorder="1" applyAlignment="1">
      <alignment horizontal="right"/>
    </xf>
    <xf numFmtId="0" fontId="0" fillId="0" borderId="0" xfId="0" applyBorder="1" applyAlignment="1">
      <alignment horizontal="center"/>
    </xf>
    <xf numFmtId="2" fontId="0" fillId="0" borderId="0" xfId="0" applyNumberFormat="1" applyBorder="1" applyAlignment="1">
      <alignment horizontal="center"/>
    </xf>
    <xf numFmtId="0" fontId="2" fillId="0" borderId="0" xfId="0" applyFont="1" applyBorder="1" applyAlignment="1">
      <alignment horizontal="right"/>
    </xf>
    <xf numFmtId="0" fontId="0" fillId="0" borderId="2" xfId="0" applyBorder="1" applyAlignment="1">
      <alignment/>
    </xf>
    <xf numFmtId="0" fontId="0" fillId="0" borderId="8" xfId="0" applyBorder="1" applyAlignment="1">
      <alignment/>
    </xf>
    <xf numFmtId="0" fontId="0" fillId="0" borderId="3" xfId="0" applyBorder="1" applyAlignment="1">
      <alignment horizontal="center"/>
    </xf>
    <xf numFmtId="0" fontId="0" fillId="0" borderId="1" xfId="0" applyBorder="1" applyAlignment="1">
      <alignment/>
    </xf>
    <xf numFmtId="0" fontId="2" fillId="0" borderId="6" xfId="0" applyFont="1" applyBorder="1" applyAlignment="1">
      <alignment horizontal="right"/>
    </xf>
    <xf numFmtId="0" fontId="0" fillId="0" borderId="4" xfId="0"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right"/>
    </xf>
    <xf numFmtId="0" fontId="2" fillId="0" borderId="7" xfId="0" applyFont="1" applyBorder="1" applyAlignment="1">
      <alignment horizontal="right"/>
    </xf>
    <xf numFmtId="0" fontId="0" fillId="0" borderId="3" xfId="0" applyBorder="1" applyAlignment="1">
      <alignment horizontal="left"/>
    </xf>
    <xf numFmtId="0" fontId="0" fillId="0" borderId="1" xfId="0" applyBorder="1" applyAlignment="1">
      <alignment horizontal="center"/>
    </xf>
    <xf numFmtId="0" fontId="2" fillId="0" borderId="2" xfId="0" applyFont="1" applyBorder="1" applyAlignment="1">
      <alignment horizontal="right"/>
    </xf>
    <xf numFmtId="0" fontId="0" fillId="2" borderId="3" xfId="0" applyFont="1" applyFill="1" applyBorder="1" applyAlignment="1">
      <alignment horizontal="left"/>
    </xf>
    <xf numFmtId="0" fontId="2" fillId="0" borderId="8" xfId="0" applyFont="1" applyBorder="1" applyAlignment="1">
      <alignment horizontal="right"/>
    </xf>
    <xf numFmtId="0" fontId="0" fillId="0" borderId="6" xfId="0" applyBorder="1" applyAlignment="1">
      <alignment horizontal="center"/>
    </xf>
    <xf numFmtId="0" fontId="0" fillId="0" borderId="0" xfId="0" applyFill="1" applyBorder="1" applyAlignment="1">
      <alignment/>
    </xf>
    <xf numFmtId="165" fontId="0" fillId="0" borderId="5" xfId="0" applyNumberFormat="1" applyBorder="1" applyAlignment="1">
      <alignment/>
    </xf>
    <xf numFmtId="2" fontId="0" fillId="0" borderId="3" xfId="0" applyNumberFormat="1" applyFont="1" applyBorder="1" applyAlignment="1">
      <alignment horizontal="right"/>
    </xf>
    <xf numFmtId="0" fontId="0" fillId="0" borderId="6" xfId="0" applyBorder="1" applyAlignment="1">
      <alignment/>
    </xf>
    <xf numFmtId="0" fontId="0" fillId="0" borderId="8" xfId="0" applyBorder="1" applyAlignment="1">
      <alignment/>
    </xf>
    <xf numFmtId="0" fontId="0" fillId="0" borderId="0" xfId="0" applyFont="1" applyBorder="1" applyAlignment="1">
      <alignment horizontal="center"/>
    </xf>
    <xf numFmtId="0" fontId="0" fillId="0" borderId="0" xfId="0" applyFont="1" applyAlignment="1">
      <alignment horizontal="center" vertical="center" wrapText="1"/>
    </xf>
    <xf numFmtId="0" fontId="0" fillId="0" borderId="2" xfId="0" applyFont="1" applyBorder="1" applyAlignment="1">
      <alignment horizontal="center"/>
    </xf>
    <xf numFmtId="165" fontId="0" fillId="0" borderId="8" xfId="0" applyNumberFormat="1" applyBorder="1" applyAlignment="1">
      <alignment/>
    </xf>
    <xf numFmtId="165" fontId="0" fillId="0" borderId="6" xfId="0" applyNumberFormat="1" applyBorder="1" applyAlignment="1">
      <alignment/>
    </xf>
    <xf numFmtId="0" fontId="0" fillId="0" borderId="5" xfId="0" applyFont="1" applyBorder="1" applyAlignment="1">
      <alignment horizontal="center"/>
    </xf>
    <xf numFmtId="165" fontId="0" fillId="0" borderId="7" xfId="0" applyNumberFormat="1" applyBorder="1" applyAlignment="1">
      <alignment/>
    </xf>
    <xf numFmtId="0" fontId="0" fillId="0" borderId="5" xfId="0" applyFont="1" applyBorder="1" applyAlignment="1">
      <alignment/>
    </xf>
    <xf numFmtId="49" fontId="0" fillId="0" borderId="0" xfId="0" applyNumberFormat="1" applyFill="1" applyBorder="1" applyAlignment="1">
      <alignment horizontal="center" vertical="center" wrapText="1"/>
    </xf>
    <xf numFmtId="164" fontId="0" fillId="0" borderId="3" xfId="0" applyNumberFormat="1" applyFill="1" applyBorder="1" applyAlignment="1">
      <alignment/>
    </xf>
    <xf numFmtId="164" fontId="0" fillId="0" borderId="6" xfId="0" applyNumberFormat="1" applyFill="1" applyBorder="1" applyAlignment="1">
      <alignment/>
    </xf>
    <xf numFmtId="164" fontId="0" fillId="0" borderId="4" xfId="0" applyNumberFormat="1" applyFill="1" applyBorder="1" applyAlignment="1">
      <alignment/>
    </xf>
    <xf numFmtId="164" fontId="0" fillId="0" borderId="7" xfId="0" applyNumberFormat="1" applyFill="1" applyBorder="1" applyAlignment="1">
      <alignment/>
    </xf>
    <xf numFmtId="164" fontId="0" fillId="0" borderId="0" xfId="0" applyNumberFormat="1" applyFill="1" applyAlignment="1">
      <alignment/>
    </xf>
    <xf numFmtId="164" fontId="0" fillId="0" borderId="8" xfId="0" applyNumberFormat="1" applyFill="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xf>
    <xf numFmtId="0" fontId="13" fillId="0" borderId="0" xfId="0" applyFont="1" applyAlignment="1">
      <alignment/>
    </xf>
    <xf numFmtId="2" fontId="20" fillId="0" borderId="3" xfId="0" applyNumberFormat="1" applyFont="1" applyFill="1" applyBorder="1" applyAlignment="1">
      <alignment/>
    </xf>
    <xf numFmtId="2" fontId="20" fillId="0" borderId="0" xfId="0" applyNumberFormat="1" applyFont="1" applyFill="1" applyBorder="1" applyAlignment="1">
      <alignment/>
    </xf>
    <xf numFmtId="2" fontId="20" fillId="0" borderId="6" xfId="0" applyNumberFormat="1" applyFont="1" applyFill="1" applyBorder="1" applyAlignment="1">
      <alignment/>
    </xf>
    <xf numFmtId="2" fontId="20" fillId="0" borderId="4" xfId="0" applyNumberFormat="1" applyFont="1" applyFill="1" applyBorder="1" applyAlignment="1">
      <alignment/>
    </xf>
    <xf numFmtId="2" fontId="20" fillId="0" borderId="5" xfId="0" applyNumberFormat="1" applyFont="1" applyFill="1" applyBorder="1" applyAlignment="1">
      <alignment/>
    </xf>
    <xf numFmtId="2" fontId="20" fillId="0" borderId="7" xfId="0" applyNumberFormat="1" applyFont="1" applyFill="1" applyBorder="1" applyAlignment="1">
      <alignment/>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5" fillId="0" borderId="0" xfId="0" applyFont="1" applyAlignment="1">
      <alignment horizontal="center" vertical="center"/>
    </xf>
    <xf numFmtId="0" fontId="0" fillId="0" borderId="0" xfId="0" applyAlignment="1">
      <alignment horizontal="center" vertical="center"/>
    </xf>
    <xf numFmtId="49" fontId="0" fillId="0" borderId="2" xfId="0" applyNumberFormat="1" applyBorder="1" applyAlignment="1">
      <alignment horizontal="center" vertical="center" wrapText="1"/>
    </xf>
    <xf numFmtId="49" fontId="0" fillId="0" borderId="8"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15" fillId="0" borderId="0" xfId="0" applyFont="1" applyAlignment="1">
      <alignment horizontal="center" vertical="center" wrapText="1"/>
    </xf>
    <xf numFmtId="0" fontId="0" fillId="0" borderId="0" xfId="0" applyFill="1" applyBorder="1" applyAlignment="1">
      <alignment horizontal="center" vertical="center"/>
    </xf>
    <xf numFmtId="49" fontId="0" fillId="0" borderId="2" xfId="0" applyNumberFormat="1" applyFill="1" applyBorder="1" applyAlignment="1">
      <alignment horizontal="center" vertical="center" wrapText="1"/>
    </xf>
    <xf numFmtId="49" fontId="0" fillId="0" borderId="8" xfId="0" applyNumberFormat="1" applyFill="1" applyBorder="1" applyAlignment="1">
      <alignment horizontal="center" vertical="center" wrapText="1"/>
    </xf>
    <xf numFmtId="0" fontId="21" fillId="0" borderId="0" xfId="0" applyFont="1" applyFill="1" applyBorder="1" applyAlignment="1">
      <alignment horizontal="center" vertical="center" wrapText="1"/>
    </xf>
    <xf numFmtId="49" fontId="0" fillId="0" borderId="0" xfId="0" applyNumberForma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Metric Comparison for PMD Sets</a:t>
            </a:r>
          </a:p>
        </c:rich>
      </c:tx>
      <c:layout/>
      <c:spPr>
        <a:noFill/>
        <a:ln>
          <a:noFill/>
        </a:ln>
      </c:spPr>
    </c:title>
    <c:plotArea>
      <c:layout>
        <c:manualLayout>
          <c:xMode val="edge"/>
          <c:yMode val="edge"/>
          <c:x val="0.05025"/>
          <c:y val="0.09875"/>
          <c:w val="0.864"/>
          <c:h val="0.8035"/>
        </c:manualLayout>
      </c:layout>
      <c:lineChart>
        <c:grouping val="standard"/>
        <c:varyColors val="0"/>
        <c:ser>
          <c:idx val="0"/>
          <c:order val="0"/>
          <c:tx>
            <c:strRef>
              <c:f>'PMD Sol''n Set'!$A$3</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strRef>
          </c:cat>
          <c:val>
            <c:numRef>
              <c:f>'PMD Sol''n Set'!$F$8:$J$8</c:f>
              <c:numCache/>
            </c:numRef>
          </c:val>
          <c:smooth val="0"/>
        </c:ser>
        <c:ser>
          <c:idx val="1"/>
          <c:order val="1"/>
          <c:tx>
            <c:strRef>
              <c:f>'PMD Sol''n Set'!$A$10</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strRef>
          </c:cat>
          <c:val>
            <c:numRef>
              <c:f>'PMD Sol''n Set'!$F$15:$J$15</c:f>
              <c:numCache/>
            </c:numRef>
          </c:val>
          <c:smooth val="0"/>
        </c:ser>
        <c:ser>
          <c:idx val="2"/>
          <c:order val="2"/>
          <c:tx>
            <c:strRef>
              <c:f>'PMD Sol''n Set'!$A$17</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strRef>
          </c:cat>
          <c:val>
            <c:numRef>
              <c:f>'PMD Sol''n Set'!$F$22:$J$22</c:f>
              <c:numCache/>
            </c:numRef>
          </c:val>
          <c:smooth val="0"/>
        </c:ser>
        <c:ser>
          <c:idx val="3"/>
          <c:order val="3"/>
          <c:tx>
            <c:strRef>
              <c:f>'PMD Sol''n Set'!$A$24</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strRef>
          </c:cat>
          <c:val>
            <c:numRef>
              <c:f>'PMD Sol''n Set'!$F$29:$J$29</c:f>
              <c:numCache/>
            </c:numRef>
          </c:val>
          <c:smooth val="0"/>
        </c:ser>
        <c:marker val="1"/>
        <c:axId val="57782301"/>
        <c:axId val="50278662"/>
      </c:lineChart>
      <c:catAx>
        <c:axId val="57782301"/>
        <c:scaling>
          <c:orientation val="minMax"/>
        </c:scaling>
        <c:axPos val="b"/>
        <c:title>
          <c:tx>
            <c:rich>
              <a:bodyPr vert="horz" rot="0" anchor="ctr"/>
              <a:lstStyle/>
              <a:p>
                <a:pPr algn="ctr">
                  <a:defRPr/>
                </a:pPr>
                <a:r>
                  <a:rPr lang="en-US" cap="none" sz="100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0278662"/>
        <c:crosses val="autoZero"/>
        <c:auto val="1"/>
        <c:lblOffset val="100"/>
        <c:noMultiLvlLbl val="0"/>
      </c:catAx>
      <c:valAx>
        <c:axId val="50278662"/>
        <c:scaling>
          <c:orientation val="minMax"/>
          <c:min val="0"/>
        </c:scaling>
        <c:axPos val="l"/>
        <c:title>
          <c:tx>
            <c:rich>
              <a:bodyPr vert="horz" rot="-5400000" anchor="ctr"/>
              <a:lstStyle/>
              <a:p>
                <a:pPr algn="ctr">
                  <a:defRPr/>
                </a:pPr>
                <a:r>
                  <a:rPr lang="en-US" cap="none" sz="1000" b="1" i="0" u="none" baseline="0">
                    <a:latin typeface="Arial"/>
                    <a:ea typeface="Arial"/>
                    <a:cs typeface="Arial"/>
                  </a:rPr>
                  <a:t>Figure of Merit</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7782301"/>
        <c:crossesAt val="1"/>
        <c:crossBetween val="between"/>
        <c:dispUnits/>
      </c:valAx>
      <c:spPr>
        <a:solidFill>
          <a:srgbClr val="C0C0C0"/>
        </a:solidFill>
        <a:ln w="12700">
          <a:solidFill>
            <a:srgbClr val="808080"/>
          </a:solidFill>
        </a:ln>
      </c:spPr>
    </c:plotArea>
    <c:legend>
      <c:legendPos val="r"/>
      <c:layout>
        <c:manualLayout>
          <c:xMode val="edge"/>
          <c:yMode val="edge"/>
          <c:x val="0.93325"/>
          <c:y val="0.333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Total Cost Comparison for PMD Sets</a:t>
            </a:r>
          </a:p>
        </c:rich>
      </c:tx>
      <c:layout/>
      <c:spPr>
        <a:noFill/>
        <a:ln>
          <a:noFill/>
        </a:ln>
      </c:spPr>
    </c:title>
    <c:plotArea>
      <c:layout>
        <c:manualLayout>
          <c:xMode val="edge"/>
          <c:yMode val="edge"/>
          <c:x val="0.05475"/>
          <c:y val="0.1435"/>
          <c:w val="0.91325"/>
          <c:h val="0.7555"/>
        </c:manualLayout>
      </c:layout>
      <c:lineChart>
        <c:grouping val="standard"/>
        <c:varyColors val="0"/>
        <c:ser>
          <c:idx val="0"/>
          <c:order val="0"/>
          <c:tx>
            <c:strRef>
              <c:f>'Total Sol''n Cost'!$A$3</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Cost'!$C$7:$G$7</c:f>
              <c:numCache/>
            </c:numRef>
          </c:val>
          <c:smooth val="0"/>
        </c:ser>
        <c:ser>
          <c:idx val="1"/>
          <c:order val="1"/>
          <c:tx>
            <c:strRef>
              <c:f>'Total Sol''n Cost'!$A$10</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Cost'!$C$14:$G$14</c:f>
              <c:numCache/>
            </c:numRef>
          </c:val>
          <c:smooth val="0"/>
        </c:ser>
        <c:ser>
          <c:idx val="2"/>
          <c:order val="2"/>
          <c:tx>
            <c:strRef>
              <c:f>'Total Sol''n Cost'!$A$17</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Cost'!$C$21:$G$21</c:f>
              <c:numCache/>
            </c:numRef>
          </c:val>
          <c:smooth val="0"/>
        </c:ser>
        <c:ser>
          <c:idx val="3"/>
          <c:order val="3"/>
          <c:tx>
            <c:strRef>
              <c:f>'Total Sol''n Cost'!$A$24</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Cost'!$C$28:$G$28</c:f>
              <c:numCache/>
            </c:numRef>
          </c:val>
          <c:smooth val="0"/>
        </c:ser>
        <c:marker val="1"/>
        <c:axId val="48656007"/>
        <c:axId val="35250880"/>
      </c:lineChart>
      <c:catAx>
        <c:axId val="48656007"/>
        <c:scaling>
          <c:orientation val="minMax"/>
        </c:scaling>
        <c:axPos val="b"/>
        <c:title>
          <c:tx>
            <c:rich>
              <a:bodyPr vert="horz" rot="0" anchor="ctr"/>
              <a:lstStyle/>
              <a:p>
                <a:pPr algn="ctr">
                  <a:defRPr/>
                </a:pPr>
                <a:r>
                  <a:rPr lang="en-US" cap="none" sz="100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50880"/>
        <c:crosses val="autoZero"/>
        <c:auto val="1"/>
        <c:lblOffset val="100"/>
        <c:noMultiLvlLbl val="0"/>
      </c:catAx>
      <c:valAx>
        <c:axId val="35250880"/>
        <c:scaling>
          <c:orientation val="minMax"/>
          <c:min val="0"/>
        </c:scaling>
        <c:axPos val="l"/>
        <c:title>
          <c:tx>
            <c:rich>
              <a:bodyPr vert="horz" rot="-5400000" anchor="ctr"/>
              <a:lstStyle/>
              <a:p>
                <a:pPr algn="ctr">
                  <a:defRPr/>
                </a:pPr>
                <a:r>
                  <a:rPr lang="en-US" cap="none" sz="1000" b="1" i="0" u="none" baseline="0">
                    <a:latin typeface="Arial"/>
                    <a:ea typeface="Arial"/>
                    <a:cs typeface="Arial"/>
                  </a:rPr>
                  <a:t>Relative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8656007"/>
        <c:crossesAt val="1"/>
        <c:crossBetween val="between"/>
        <c:dispUnits/>
      </c:valAx>
      <c:spPr>
        <a:solidFill>
          <a:srgbClr val="C0C0C0"/>
        </a:solidFill>
        <a:ln w="12700">
          <a:solidFill>
            <a:srgbClr val="808080"/>
          </a:solidFill>
        </a:ln>
      </c:spPr>
    </c:plotArea>
    <c:legend>
      <c:legendPos val="r"/>
      <c:layout>
        <c:manualLayout>
          <c:xMode val="edge"/>
          <c:yMode val="edge"/>
          <c:x val="0.164"/>
          <c:y val="0.14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Server-to-Switch Channels</a:t>
            </a:r>
          </a:p>
        </c:rich>
      </c:tx>
      <c:layout/>
      <c:spPr>
        <a:noFill/>
        <a:ln>
          <a:noFill/>
        </a:ln>
      </c:spPr>
    </c:title>
    <c:plotArea>
      <c:layout>
        <c:manualLayout>
          <c:xMode val="edge"/>
          <c:yMode val="edge"/>
          <c:x val="0.02525"/>
          <c:y val="0.10925"/>
          <c:w val="0.93275"/>
          <c:h val="0.822"/>
        </c:manualLayout>
      </c:layout>
      <c:scatterChart>
        <c:scatterStyle val="smooth"/>
        <c:varyColors val="0"/>
        <c:ser>
          <c:idx val="0"/>
          <c:order val="0"/>
          <c:tx>
            <c:strRef>
              <c:f>'PMD Sol''n Set'!$O$2</c:f>
              <c:strCache>
                <c:ptCount val="1"/>
                <c:pt idx="0">
                  <c:v>post-2012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'PMD Sol''n Set'!$O$3:$O$14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1"/>
          <c:order val="1"/>
          <c:tx>
            <c:strRef>
              <c:f>'PMD Sol''n Set'!$P$2</c:f>
              <c:strCache>
                <c:ptCount val="1"/>
                <c:pt idx="0">
                  <c:v>pre-2008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'PMD Sol''n Set'!$P$3:$P$14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49854775"/>
        <c:axId val="46039792"/>
      </c:scatterChart>
      <c:valAx>
        <c:axId val="49854775"/>
        <c:scaling>
          <c:orientation val="minMax"/>
          <c:max val="330"/>
        </c:scaling>
        <c:axPos val="b"/>
        <c:title>
          <c:tx>
            <c:rich>
              <a:bodyPr vert="horz" rot="0" anchor="ctr"/>
              <a:lstStyle/>
              <a:p>
                <a:pPr algn="ctr">
                  <a:defRPr/>
                </a:pPr>
                <a:r>
                  <a:rPr lang="en-US" cap="none" sz="1000" b="1" i="0" u="none" baseline="0">
                    <a:latin typeface="Arial"/>
                    <a:ea typeface="Arial"/>
                    <a:cs typeface="Arial"/>
                  </a:rPr>
                  <a:t>Length (ft)</a:t>
                </a:r>
              </a:p>
            </c:rich>
          </c:tx>
          <c:layout/>
          <c:overlay val="0"/>
          <c:spPr>
            <a:noFill/>
            <a:ln>
              <a:noFill/>
            </a:ln>
          </c:spPr>
        </c:title>
        <c:majorGridlines/>
        <c:delete val="0"/>
        <c:numFmt formatCode="General" sourceLinked="1"/>
        <c:majorTickMark val="out"/>
        <c:minorTickMark val="none"/>
        <c:tickLblPos val="nextTo"/>
        <c:crossAx val="46039792"/>
        <c:crosses val="autoZero"/>
        <c:crossBetween val="midCat"/>
        <c:dispUnits/>
        <c:majorUnit val="30"/>
        <c:minorUnit val="10"/>
      </c:valAx>
      <c:valAx>
        <c:axId val="46039792"/>
        <c:scaling>
          <c:orientation val="minMax"/>
          <c:max val="1"/>
        </c:scaling>
        <c:axPos val="l"/>
        <c:majorGridlines/>
        <c:delete val="0"/>
        <c:numFmt formatCode="0%" sourceLinked="0"/>
        <c:majorTickMark val="out"/>
        <c:minorTickMark val="none"/>
        <c:tickLblPos val="nextTo"/>
        <c:crossAx val="49854775"/>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55675"/>
          <c:y val="0.392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Server-to-Switch Channels</a:t>
            </a:r>
          </a:p>
        </c:rich>
      </c:tx>
      <c:layout/>
      <c:spPr>
        <a:noFill/>
        <a:ln>
          <a:noFill/>
        </a:ln>
      </c:spPr>
    </c:title>
    <c:plotArea>
      <c:layout>
        <c:manualLayout>
          <c:xMode val="edge"/>
          <c:yMode val="edge"/>
          <c:x val="0.0215"/>
          <c:y val="0.11"/>
          <c:w val="0.93625"/>
          <c:h val="0.8245"/>
        </c:manualLayout>
      </c:layout>
      <c:scatterChart>
        <c:scatterStyle val="smooth"/>
        <c:varyColors val="0"/>
        <c:ser>
          <c:idx val="0"/>
          <c:order val="0"/>
          <c:tx>
            <c:strRef>
              <c:f>'PMD Sol''n Set'!$O$2</c:f>
              <c:strCache>
                <c:ptCount val="1"/>
                <c:pt idx="0">
                  <c:v>post-2012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'PMD Sol''n Set'!$O$3:$O$14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1"/>
          <c:order val="1"/>
          <c:tx>
            <c:strRef>
              <c:f>'PMD Sol''n Set'!$P$2</c:f>
              <c:strCache>
                <c:ptCount val="1"/>
                <c:pt idx="0">
                  <c:v>pre-2008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'PMD Sol''n Set'!$P$3:$P$14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11704945"/>
        <c:axId val="38235642"/>
      </c:scatterChart>
      <c:valAx>
        <c:axId val="11704945"/>
        <c:scaling>
          <c:orientation val="minMax"/>
          <c:max val="100"/>
        </c:scaling>
        <c:axPos val="b"/>
        <c:title>
          <c:tx>
            <c:rich>
              <a:bodyPr vert="horz" rot="0" anchor="ctr"/>
              <a:lstStyle/>
              <a:p>
                <a:pPr algn="ctr">
                  <a:defRPr/>
                </a:pPr>
                <a:r>
                  <a:rPr lang="en-US" cap="none" sz="1000" b="1" i="0" u="none" baseline="0">
                    <a:latin typeface="Arial"/>
                    <a:ea typeface="Arial"/>
                    <a:cs typeface="Arial"/>
                  </a:rPr>
                  <a:t>Length (m)</a:t>
                </a:r>
              </a:p>
            </c:rich>
          </c:tx>
          <c:layout/>
          <c:overlay val="0"/>
          <c:spPr>
            <a:noFill/>
            <a:ln>
              <a:noFill/>
            </a:ln>
          </c:spPr>
        </c:title>
        <c:majorGridlines/>
        <c:delete val="0"/>
        <c:numFmt formatCode="0" sourceLinked="0"/>
        <c:majorTickMark val="out"/>
        <c:minorTickMark val="none"/>
        <c:tickLblPos val="nextTo"/>
        <c:crossAx val="38235642"/>
        <c:crosses val="autoZero"/>
        <c:crossBetween val="midCat"/>
        <c:dispUnits/>
        <c:majorUnit val="10"/>
        <c:minorUnit val="2.5"/>
      </c:valAx>
      <c:valAx>
        <c:axId val="38235642"/>
        <c:scaling>
          <c:orientation val="minMax"/>
          <c:max val="1"/>
        </c:scaling>
        <c:axPos val="l"/>
        <c:majorGridlines/>
        <c:delete val="0"/>
        <c:numFmt formatCode="0%" sourceLinked="0"/>
        <c:majorTickMark val="out"/>
        <c:minorTickMark val="none"/>
        <c:tickLblPos val="nextTo"/>
        <c:crossAx val="11704945"/>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5735"/>
          <c:y val="0.436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Switch-to-Switch Channels 2010</a:t>
            </a:r>
          </a:p>
        </c:rich>
      </c:tx>
      <c:layout/>
      <c:spPr>
        <a:noFill/>
        <a:ln>
          <a:noFill/>
        </a:ln>
      </c:spPr>
    </c:title>
    <c:plotArea>
      <c:layout>
        <c:manualLayout>
          <c:xMode val="edge"/>
          <c:yMode val="edge"/>
          <c:x val="0.025"/>
          <c:y val="0.12675"/>
          <c:w val="0.93325"/>
          <c:h val="0.8055"/>
        </c:manualLayout>
      </c:layout>
      <c:scatterChart>
        <c:scatterStyle val="smooth"/>
        <c:varyColors val="0"/>
        <c:ser>
          <c:idx val="0"/>
          <c:order val="0"/>
          <c:tx>
            <c:v>single-link (concat ratio = 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'PMD Sol''n Set'!$Q$3:$Q$43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ser>
          <c:idx val="1"/>
          <c:order val="1"/>
          <c:tx>
            <c:v>2:1 mix (concat ratio = 0.33)</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'PMD Sol''n Set'!$R$3:$R$43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ser>
          <c:idx val="2"/>
          <c:order val="2"/>
          <c:tx>
            <c:v>double-link (concat ratio = 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'PMD Sol''n Set'!$S$3:$S$43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axId val="8576459"/>
        <c:axId val="10079268"/>
      </c:scatterChart>
      <c:valAx>
        <c:axId val="8576459"/>
        <c:scaling>
          <c:orientation val="minMax"/>
          <c:max val="1200"/>
        </c:scaling>
        <c:axPos val="b"/>
        <c:title>
          <c:tx>
            <c:rich>
              <a:bodyPr vert="horz" rot="0" anchor="ctr"/>
              <a:lstStyle/>
              <a:p>
                <a:pPr algn="ctr">
                  <a:defRPr/>
                </a:pPr>
                <a:r>
                  <a:rPr lang="en-US" cap="none" sz="1000" b="1" i="0" u="none" baseline="0">
                    <a:latin typeface="Arial"/>
                    <a:ea typeface="Arial"/>
                    <a:cs typeface="Arial"/>
                  </a:rPr>
                  <a:t>Length (ft)</a:t>
                </a:r>
              </a:p>
            </c:rich>
          </c:tx>
          <c:layout/>
          <c:overlay val="0"/>
          <c:spPr>
            <a:noFill/>
            <a:ln>
              <a:noFill/>
            </a:ln>
          </c:spPr>
        </c:title>
        <c:majorGridlines/>
        <c:delete val="0"/>
        <c:numFmt formatCode="0" sourceLinked="0"/>
        <c:majorTickMark val="out"/>
        <c:minorTickMark val="none"/>
        <c:tickLblPos val="nextTo"/>
        <c:txPr>
          <a:bodyPr vert="horz" rot="-2700000"/>
          <a:lstStyle/>
          <a:p>
            <a:pPr>
              <a:defRPr lang="en-US" cap="none" sz="975" b="0" i="0" u="none" baseline="0">
                <a:latin typeface="Arial"/>
                <a:ea typeface="Arial"/>
                <a:cs typeface="Arial"/>
              </a:defRPr>
            </a:pPr>
          </a:p>
        </c:txPr>
        <c:crossAx val="10079268"/>
        <c:crosses val="autoZero"/>
        <c:crossBetween val="midCat"/>
        <c:dispUnits/>
        <c:majorUnit val="100"/>
        <c:minorUnit val="10"/>
      </c:valAx>
      <c:valAx>
        <c:axId val="10079268"/>
        <c:scaling>
          <c:orientation val="minMax"/>
          <c:max val="1"/>
          <c:min val="0"/>
        </c:scaling>
        <c:axPos val="l"/>
        <c:majorGridlines/>
        <c:delete val="0"/>
        <c:numFmt formatCode="0%" sourceLinked="0"/>
        <c:majorTickMark val="out"/>
        <c:minorTickMark val="none"/>
        <c:tickLblPos val="nextTo"/>
        <c:crossAx val="8576459"/>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43375"/>
          <c:y val="0.43225"/>
          <c:w val="0.49575"/>
          <c:h val="0.16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Switch-to-Switch Channels 2010</a:t>
            </a:r>
          </a:p>
        </c:rich>
      </c:tx>
      <c:layout/>
      <c:spPr>
        <a:noFill/>
        <a:ln>
          <a:noFill/>
        </a:ln>
      </c:spPr>
    </c:title>
    <c:plotArea>
      <c:layout>
        <c:manualLayout>
          <c:xMode val="edge"/>
          <c:yMode val="edge"/>
          <c:x val="0.025"/>
          <c:y val="0.11975"/>
          <c:w val="0.93325"/>
          <c:h val="0.799"/>
        </c:manualLayout>
      </c:layout>
      <c:scatterChart>
        <c:scatterStyle val="smooth"/>
        <c:varyColors val="0"/>
        <c:ser>
          <c:idx val="0"/>
          <c:order val="0"/>
          <c:tx>
            <c:v>single-link (concat ratio = 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'PMD Sol''n Set'!$Q$3:$Q$43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ser>
          <c:idx val="1"/>
          <c:order val="1"/>
          <c:tx>
            <c:v>2:1 mix (concat ratio = 0.33)</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'PMD Sol''n Set'!$R$3:$R$43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ser>
          <c:idx val="2"/>
          <c:order val="2"/>
          <c:tx>
            <c:v>double-link (concat ratio = 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'PMD Sol''n Set'!$S$3:$S$43</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axId val="23604549"/>
        <c:axId val="11114350"/>
      </c:scatterChart>
      <c:valAx>
        <c:axId val="23604549"/>
        <c:scaling>
          <c:orientation val="minMax"/>
          <c:max val="350"/>
        </c:scaling>
        <c:axPos val="b"/>
        <c:title>
          <c:tx>
            <c:rich>
              <a:bodyPr vert="horz" rot="0" anchor="ctr"/>
              <a:lstStyle/>
              <a:p>
                <a:pPr algn="ctr">
                  <a:defRPr/>
                </a:pPr>
                <a:r>
                  <a:rPr lang="en-US" cap="none" sz="975" b="1" i="0" u="none" baseline="0">
                    <a:latin typeface="Arial"/>
                    <a:ea typeface="Arial"/>
                    <a:cs typeface="Arial"/>
                  </a:rPr>
                  <a:t>Length (m)</a:t>
                </a:r>
              </a:p>
            </c:rich>
          </c:tx>
          <c:layout>
            <c:manualLayout>
              <c:xMode val="factor"/>
              <c:yMode val="factor"/>
              <c:x val="-0.00525"/>
              <c:y val="0"/>
            </c:manualLayout>
          </c:layout>
          <c:overlay val="0"/>
          <c:spPr>
            <a:noFill/>
            <a:ln>
              <a:noFill/>
            </a:ln>
          </c:spPr>
        </c:title>
        <c:majorGridlines/>
        <c:delete val="0"/>
        <c:numFmt formatCode="0" sourceLinked="0"/>
        <c:majorTickMark val="out"/>
        <c:minorTickMark val="none"/>
        <c:tickLblPos val="nextTo"/>
        <c:txPr>
          <a:bodyPr vert="horz" rot="-2700000"/>
          <a:lstStyle/>
          <a:p>
            <a:pPr>
              <a:defRPr lang="en-US" cap="none" sz="900" b="0" i="0" u="none" baseline="0">
                <a:latin typeface="Arial"/>
                <a:ea typeface="Arial"/>
                <a:cs typeface="Arial"/>
              </a:defRPr>
            </a:pPr>
          </a:p>
        </c:txPr>
        <c:crossAx val="11114350"/>
        <c:crosses val="autoZero"/>
        <c:crossBetween val="midCat"/>
        <c:dispUnits/>
        <c:majorUnit val="25"/>
        <c:minorUnit val="10"/>
      </c:valAx>
      <c:valAx>
        <c:axId val="11114350"/>
        <c:scaling>
          <c:orientation val="minMax"/>
          <c:max val="1"/>
          <c:min val="0"/>
        </c:scaling>
        <c:axPos val="l"/>
        <c:majorGridlines/>
        <c:delete val="0"/>
        <c:numFmt formatCode="0%" sourceLinked="0"/>
        <c:majorTickMark val="out"/>
        <c:minorTickMark val="none"/>
        <c:tickLblPos val="nextTo"/>
        <c:crossAx val="23604549"/>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44225"/>
          <c:y val="0.48725"/>
          <c:w val="0.49575"/>
          <c:h val="0.166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Data Center Channel Length CDFs</a:t>
            </a:r>
          </a:p>
        </c:rich>
      </c:tx>
      <c:layout/>
      <c:spPr>
        <a:noFill/>
        <a:ln>
          <a:noFill/>
        </a:ln>
      </c:spPr>
    </c:title>
    <c:plotArea>
      <c:layout>
        <c:manualLayout>
          <c:xMode val="edge"/>
          <c:yMode val="edge"/>
          <c:x val="0.025"/>
          <c:y val="0.134"/>
          <c:w val="0.9335"/>
          <c:h val="0.785"/>
        </c:manualLayout>
      </c:layout>
      <c:scatterChart>
        <c:scatterStyle val="smooth"/>
        <c:varyColors val="0"/>
        <c:ser>
          <c:idx val="0"/>
          <c:order val="0"/>
          <c:tx>
            <c:v>Svr-to-Sw post-2012</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'PMD Sol''n Set'!$O$3:$O$42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ser>
          <c:idx val="1"/>
          <c:order val="1"/>
          <c:tx>
            <c:v>Svr-to-Sw pre-2008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'PMD Sol''n Set'!$P$3:$P$42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ser>
          <c:idx val="2"/>
          <c:order val="2"/>
          <c:tx>
            <c:v>Sw-to-Sw single-link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'PMD Sol''n Set'!$Q$3:$Q$42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ser>
          <c:idx val="3"/>
          <c:order val="3"/>
          <c:tx>
            <c:v>Sw-to-Sw 2:1-mix</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'PMD Sol''n Set'!$R$3:$R$42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ser>
          <c:idx val="4"/>
          <c:order val="4"/>
          <c:tx>
            <c:v>Sw-to-Sw double-link</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'PMD Sol''n Set'!$S$3:$S$42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axId val="32920287"/>
        <c:axId val="27847128"/>
      </c:scatterChart>
      <c:valAx>
        <c:axId val="32920287"/>
        <c:scaling>
          <c:orientation val="minMax"/>
          <c:max val="350"/>
        </c:scaling>
        <c:axPos val="b"/>
        <c:title>
          <c:tx>
            <c:rich>
              <a:bodyPr vert="horz" rot="0" anchor="ctr"/>
              <a:lstStyle/>
              <a:p>
                <a:pPr algn="ctr">
                  <a:defRPr/>
                </a:pPr>
                <a:r>
                  <a:rPr lang="en-US" cap="none" sz="975" b="1" i="0" u="none" baseline="0">
                    <a:latin typeface="Arial"/>
                    <a:ea typeface="Arial"/>
                    <a:cs typeface="Arial"/>
                  </a:rPr>
                  <a:t>Length (m)</a:t>
                </a:r>
              </a:p>
            </c:rich>
          </c:tx>
          <c:layout>
            <c:manualLayout>
              <c:xMode val="factor"/>
              <c:yMode val="factor"/>
              <c:x val="-0.00525"/>
              <c:y val="0"/>
            </c:manualLayout>
          </c:layout>
          <c:overlay val="0"/>
          <c:spPr>
            <a:noFill/>
            <a:ln>
              <a:noFill/>
            </a:ln>
          </c:spPr>
        </c:title>
        <c:majorGridlines/>
        <c:delete val="0"/>
        <c:numFmt formatCode="0" sourceLinked="0"/>
        <c:majorTickMark val="out"/>
        <c:minorTickMark val="none"/>
        <c:tickLblPos val="nextTo"/>
        <c:txPr>
          <a:bodyPr vert="horz" rot="-2700000"/>
          <a:lstStyle/>
          <a:p>
            <a:pPr>
              <a:defRPr lang="en-US" cap="none" sz="900" b="0" i="0" u="none" baseline="0">
                <a:latin typeface="Arial"/>
                <a:ea typeface="Arial"/>
                <a:cs typeface="Arial"/>
              </a:defRPr>
            </a:pPr>
          </a:p>
        </c:txPr>
        <c:crossAx val="27847128"/>
        <c:crosses val="autoZero"/>
        <c:crossBetween val="midCat"/>
        <c:dispUnits/>
        <c:majorUnit val="25"/>
        <c:minorUnit val="10"/>
      </c:valAx>
      <c:valAx>
        <c:axId val="27847128"/>
        <c:scaling>
          <c:orientation val="minMax"/>
          <c:max val="1"/>
          <c:min val="0"/>
        </c:scaling>
        <c:axPos val="l"/>
        <c:majorGridlines/>
        <c:delete val="0"/>
        <c:numFmt formatCode="0%" sourceLinked="0"/>
        <c:majorTickMark val="out"/>
        <c:minorTickMark val="none"/>
        <c:tickLblPos val="nextTo"/>
        <c:crossAx val="32920287"/>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44675"/>
          <c:y val="0.37925"/>
          <c:w val="0.44375"/>
          <c:h val="0.28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Structured Cabling Cost for PMD Sets</a:t>
            </a:r>
          </a:p>
        </c:rich>
      </c:tx>
      <c:layout/>
      <c:spPr>
        <a:noFill/>
        <a:ln>
          <a:noFill/>
        </a:ln>
      </c:spPr>
    </c:title>
    <c:plotArea>
      <c:layout>
        <c:manualLayout>
          <c:xMode val="edge"/>
          <c:yMode val="edge"/>
          <c:x val="0.05325"/>
          <c:y val="0.21075"/>
          <c:w val="0.87975"/>
          <c:h val="0.69075"/>
        </c:manualLayout>
      </c:layout>
      <c:lineChart>
        <c:grouping val="standard"/>
        <c:varyColors val="0"/>
        <c:ser>
          <c:idx val="0"/>
          <c:order val="0"/>
          <c:tx>
            <c:strRef>
              <c:f>'Cabling Sol''n Cost'!$A$4</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Cost'!$H$9:$L$9</c:f>
              <c:numCache/>
            </c:numRef>
          </c:val>
          <c:smooth val="0"/>
        </c:ser>
        <c:ser>
          <c:idx val="1"/>
          <c:order val="1"/>
          <c:tx>
            <c:strRef>
              <c:f>'Cabling Sol''n Cost'!$A$15</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val>
            <c:numRef>
              <c:f>'Cabling Sol''n Cost'!$H$20:$L$20</c:f>
              <c:numCache/>
            </c:numRef>
          </c:val>
          <c:smooth val="0"/>
        </c:ser>
        <c:ser>
          <c:idx val="2"/>
          <c:order val="2"/>
          <c:tx>
            <c:strRef>
              <c:f>'Cabling Sol''n Cost'!$A$26</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val>
            <c:numRef>
              <c:f>'Cabling Sol''n Cost'!$H$31:$L$31</c:f>
              <c:numCache/>
            </c:numRef>
          </c:val>
          <c:smooth val="0"/>
        </c:ser>
        <c:ser>
          <c:idx val="3"/>
          <c:order val="3"/>
          <c:tx>
            <c:strRef>
              <c:f>'Cabling Sol''n Cost'!$A$37</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val>
            <c:numRef>
              <c:f>'Cabling Sol''n Cost'!$H$42:$L$42</c:f>
              <c:numCache/>
            </c:numRef>
          </c:val>
          <c:smooth val="0"/>
        </c:ser>
        <c:marker val="1"/>
        <c:axId val="49297561"/>
        <c:axId val="41024866"/>
      </c:lineChart>
      <c:catAx>
        <c:axId val="49297561"/>
        <c:scaling>
          <c:orientation val="minMax"/>
        </c:scaling>
        <c:axPos val="b"/>
        <c:title>
          <c:tx>
            <c:rich>
              <a:bodyPr vert="horz" rot="0" anchor="ctr"/>
              <a:lstStyle/>
              <a:p>
                <a:pPr algn="ctr">
                  <a:defRPr/>
                </a:pPr>
                <a:r>
                  <a:rPr lang="en-US" cap="none" sz="105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1024866"/>
        <c:crosses val="autoZero"/>
        <c:auto val="1"/>
        <c:lblOffset val="100"/>
        <c:noMultiLvlLbl val="0"/>
      </c:catAx>
      <c:valAx>
        <c:axId val="41024866"/>
        <c:scaling>
          <c:orientation val="minMax"/>
          <c:min val="0"/>
        </c:scaling>
        <c:axPos val="l"/>
        <c:title>
          <c:tx>
            <c:rich>
              <a:bodyPr vert="horz" rot="-5400000" anchor="ctr"/>
              <a:lstStyle/>
              <a:p>
                <a:pPr algn="ctr">
                  <a:defRPr/>
                </a:pPr>
                <a:r>
                  <a:rPr lang="en-US" cap="none" sz="1050" b="1" i="0" u="none" baseline="0">
                    <a:latin typeface="Arial"/>
                    <a:ea typeface="Arial"/>
                    <a:cs typeface="Arial"/>
                  </a:rPr>
                  <a:t>Relative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050" b="0" i="0" u="none" baseline="0">
                <a:latin typeface="Arial"/>
                <a:ea typeface="Arial"/>
                <a:cs typeface="Arial"/>
              </a:defRPr>
            </a:pPr>
          </a:p>
        </c:txPr>
        <c:crossAx val="49297561"/>
        <c:crossesAt val="1"/>
        <c:crossBetween val="between"/>
        <c:dispUnits/>
      </c:valAx>
      <c:spPr>
        <a:solidFill>
          <a:srgbClr val="C0C0C0"/>
        </a:solidFill>
        <a:ln w="12700">
          <a:solidFill>
            <a:srgbClr val="808080"/>
          </a:solidFill>
        </a:ln>
      </c:spPr>
    </c:plotArea>
    <c:legend>
      <c:legendPos val="r"/>
      <c:layout>
        <c:manualLayout>
          <c:xMode val="edge"/>
          <c:yMode val="edge"/>
          <c:x val="0.78"/>
          <c:y val="0.4425"/>
          <c:w val="0.0905"/>
          <c:h val="0.161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Structured Cabling Costs 
if Connectivity Type Covers 100% of Channels</a:t>
            </a:r>
          </a:p>
        </c:rich>
      </c:tx>
      <c:layout>
        <c:manualLayout>
          <c:xMode val="factor"/>
          <c:yMode val="factor"/>
          <c:x val="0"/>
          <c:y val="-0.01525"/>
        </c:manualLayout>
      </c:layout>
      <c:spPr>
        <a:noFill/>
        <a:ln>
          <a:noFill/>
        </a:ln>
      </c:spPr>
    </c:title>
    <c:plotArea>
      <c:layout>
        <c:manualLayout>
          <c:xMode val="edge"/>
          <c:yMode val="edge"/>
          <c:x val="0.07225"/>
          <c:y val="0.2195"/>
          <c:w val="0.89175"/>
          <c:h val="0.65475"/>
        </c:manualLayout>
      </c:layout>
      <c:lineChart>
        <c:grouping val="standard"/>
        <c:varyColors val="0"/>
        <c:ser>
          <c:idx val="3"/>
          <c:order val="0"/>
          <c:tx>
            <c:strRef>
              <c:f>'Cabling Sol''n Cost'!$BD$2</c:f>
              <c:strCache>
                <c:ptCount val="1"/>
                <c:pt idx="0">
                  <c:v>8-lane OS2</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Cost'!$BD$47,'Cabling Sol''n Cost'!$BH$47,'Cabling Sol''n Cost'!$BL$47,'Cabling Sol''n Cost'!$BP$47,'Cabling Sol''n Cost'!$BT$47)</c:f>
              <c:numCache>
                <c:ptCount val="5"/>
                <c:pt idx="0">
                  <c:v>0</c:v>
                </c:pt>
                <c:pt idx="1">
                  <c:v>0</c:v>
                </c:pt>
                <c:pt idx="2">
                  <c:v>0</c:v>
                </c:pt>
                <c:pt idx="3">
                  <c:v>0</c:v>
                </c:pt>
                <c:pt idx="4">
                  <c:v>0</c:v>
                </c:pt>
              </c:numCache>
            </c:numRef>
          </c:val>
          <c:smooth val="0"/>
        </c:ser>
        <c:ser>
          <c:idx val="2"/>
          <c:order val="1"/>
          <c:tx>
            <c:strRef>
              <c:f>'Cabling Sol''n Cost'!$BC$2</c:f>
              <c:strCache>
                <c:ptCount val="1"/>
                <c:pt idx="0">
                  <c:v>8-lane OM4</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Cost'!$BC$47,'Cabling Sol''n Cost'!$BG$47,'Cabling Sol''n Cost'!$BK$47,'Cabling Sol''n Cost'!$BO$47,'Cabling Sol''n Cost'!$BS$47)</c:f>
              <c:numCache>
                <c:ptCount val="5"/>
                <c:pt idx="0">
                  <c:v>0</c:v>
                </c:pt>
                <c:pt idx="1">
                  <c:v>0</c:v>
                </c:pt>
                <c:pt idx="2">
                  <c:v>0</c:v>
                </c:pt>
                <c:pt idx="3">
                  <c:v>0</c:v>
                </c:pt>
                <c:pt idx="4">
                  <c:v>0</c:v>
                </c:pt>
              </c:numCache>
            </c:numRef>
          </c:val>
          <c:smooth val="0"/>
        </c:ser>
        <c:ser>
          <c:idx val="1"/>
          <c:order val="2"/>
          <c:tx>
            <c:strRef>
              <c:f>'Cabling Sol''n Cost'!$BB$2</c:f>
              <c:strCache>
                <c:ptCount val="1"/>
                <c:pt idx="0">
                  <c:v>8-lane OM3</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Cost'!$BB$47,'Cabling Sol''n Cost'!$BF$47,'Cabling Sol''n Cost'!$BJ$47,'Cabling Sol''n Cost'!$BN$47,'Cabling Sol''n Cost'!$BR$47)</c:f>
              <c:numCache>
                <c:ptCount val="5"/>
                <c:pt idx="0">
                  <c:v>0</c:v>
                </c:pt>
                <c:pt idx="1">
                  <c:v>0</c:v>
                </c:pt>
                <c:pt idx="2">
                  <c:v>0</c:v>
                </c:pt>
                <c:pt idx="3">
                  <c:v>0</c:v>
                </c:pt>
                <c:pt idx="4">
                  <c:v>0</c:v>
                </c:pt>
              </c:numCache>
            </c:numRef>
          </c:val>
          <c:smooth val="0"/>
        </c:ser>
        <c:ser>
          <c:idx val="0"/>
          <c:order val="3"/>
          <c:tx>
            <c:strRef>
              <c:f>'Cabling Sol''n Cost'!$BA$2</c:f>
              <c:strCache>
                <c:ptCount val="1"/>
                <c:pt idx="0">
                  <c:v>2-lane OS2</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Cost'!$BA$47,'Cabling Sol''n Cost'!$BE$47,'Cabling Sol''n Cost'!$BI$47,'Cabling Sol''n Cost'!$BM$47,'Cabling Sol''n Cost'!$BQ$47)</c:f>
              <c:numCache>
                <c:ptCount val="5"/>
                <c:pt idx="0">
                  <c:v>0</c:v>
                </c:pt>
                <c:pt idx="1">
                  <c:v>0</c:v>
                </c:pt>
                <c:pt idx="2">
                  <c:v>0</c:v>
                </c:pt>
                <c:pt idx="3">
                  <c:v>0</c:v>
                </c:pt>
                <c:pt idx="4">
                  <c:v>0</c:v>
                </c:pt>
              </c:numCache>
            </c:numRef>
          </c:val>
          <c:smooth val="0"/>
        </c:ser>
        <c:marker val="1"/>
        <c:axId val="33679475"/>
        <c:axId val="34679820"/>
      </c:lineChart>
      <c:catAx>
        <c:axId val="33679475"/>
        <c:scaling>
          <c:orientation val="minMax"/>
        </c:scaling>
        <c:axPos val="b"/>
        <c:title>
          <c:tx>
            <c:rich>
              <a:bodyPr vert="horz" rot="0" anchor="ctr"/>
              <a:lstStyle/>
              <a:p>
                <a:pPr algn="ctr">
                  <a:defRPr/>
                </a:pPr>
                <a:r>
                  <a:rPr lang="en-US" cap="none" sz="1025"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4679820"/>
        <c:crosses val="autoZero"/>
        <c:auto val="1"/>
        <c:lblOffset val="100"/>
        <c:noMultiLvlLbl val="0"/>
      </c:catAx>
      <c:valAx>
        <c:axId val="34679820"/>
        <c:scaling>
          <c:orientation val="minMax"/>
          <c:max val="2.5"/>
          <c:min val="0"/>
        </c:scaling>
        <c:axPos val="l"/>
        <c:title>
          <c:tx>
            <c:rich>
              <a:bodyPr vert="horz" rot="-5400000" anchor="ctr"/>
              <a:lstStyle/>
              <a:p>
                <a:pPr algn="ctr">
                  <a:defRPr/>
                </a:pPr>
                <a:r>
                  <a:rPr lang="en-US" cap="none" sz="1025" b="1" i="0" u="none" baseline="0">
                    <a:latin typeface="Arial"/>
                    <a:ea typeface="Arial"/>
                    <a:cs typeface="Arial"/>
                  </a:rPr>
                  <a:t>Relative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025" b="0" i="0" u="none" baseline="0">
                <a:latin typeface="Arial"/>
                <a:ea typeface="Arial"/>
                <a:cs typeface="Arial"/>
              </a:defRPr>
            </a:pPr>
          </a:p>
        </c:txPr>
        <c:crossAx val="33679475"/>
        <c:crossesAt val="1"/>
        <c:crossBetween val="between"/>
        <c:dispUnits/>
        <c:majorUnit val="0.5"/>
        <c:minorUnit val="0.1"/>
      </c:valAx>
      <c:spPr>
        <a:solidFill>
          <a:srgbClr val="C0C0C0"/>
        </a:solidFill>
        <a:ln w="12700">
          <a:solidFill>
            <a:srgbClr val="808080"/>
          </a:solidFill>
        </a:ln>
      </c:spPr>
    </c:plotArea>
    <c:legend>
      <c:legendPos val="r"/>
      <c:layout>
        <c:manualLayout>
          <c:xMode val="edge"/>
          <c:yMode val="edge"/>
          <c:x val="0.197"/>
          <c:y val="0.28825"/>
          <c:w val="0.202"/>
          <c:h val="0.16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8-Lane : 2-Lane Structured Cabling Cost Ratios 
if Connectivity Type Covers 100% of Channels</a:t>
            </a:r>
          </a:p>
        </c:rich>
      </c:tx>
      <c:layout>
        <c:manualLayout>
          <c:xMode val="factor"/>
          <c:yMode val="factor"/>
          <c:x val="-0.0015"/>
          <c:y val="-0.01525"/>
        </c:manualLayout>
      </c:layout>
      <c:spPr>
        <a:noFill/>
        <a:ln>
          <a:noFill/>
        </a:ln>
      </c:spPr>
    </c:title>
    <c:plotArea>
      <c:layout>
        <c:manualLayout>
          <c:xMode val="edge"/>
          <c:yMode val="edge"/>
          <c:x val="0.06075"/>
          <c:y val="0.166"/>
          <c:w val="0.8955"/>
          <c:h val="0.73275"/>
        </c:manualLayout>
      </c:layout>
      <c:lineChart>
        <c:grouping val="standard"/>
        <c:varyColors val="0"/>
        <c:ser>
          <c:idx val="3"/>
          <c:order val="0"/>
          <c:tx>
            <c:v>8-lane OS2 : 2-lane OS2</c:v>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Cost'!$BD$49,'Cabling Sol''n Cost'!$BH$49,'Cabling Sol''n Cost'!$BL$49,'Cabling Sol''n Cost'!$BP$49,'Cabling Sol''n Cost'!$BT$49)</c:f>
              <c:numCache>
                <c:ptCount val="5"/>
                <c:pt idx="0">
                  <c:v>0</c:v>
                </c:pt>
                <c:pt idx="1">
                  <c:v>0</c:v>
                </c:pt>
                <c:pt idx="2">
                  <c:v>0</c:v>
                </c:pt>
                <c:pt idx="3">
                  <c:v>0</c:v>
                </c:pt>
                <c:pt idx="4">
                  <c:v>0</c:v>
                </c:pt>
              </c:numCache>
            </c:numRef>
          </c:val>
          <c:smooth val="0"/>
        </c:ser>
        <c:ser>
          <c:idx val="2"/>
          <c:order val="1"/>
          <c:tx>
            <c:v>8-lane OM4 : 2-lane OS2</c:v>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Cost'!$BC$49,'Cabling Sol''n Cost'!$BG$49,'Cabling Sol''n Cost'!$BK$49,'Cabling Sol''n Cost'!$BO$49,'Cabling Sol''n Cost'!$BS$49)</c:f>
              <c:numCache>
                <c:ptCount val="5"/>
                <c:pt idx="0">
                  <c:v>0</c:v>
                </c:pt>
                <c:pt idx="1">
                  <c:v>0</c:v>
                </c:pt>
                <c:pt idx="2">
                  <c:v>0</c:v>
                </c:pt>
                <c:pt idx="3">
                  <c:v>0</c:v>
                </c:pt>
                <c:pt idx="4">
                  <c:v>0</c:v>
                </c:pt>
              </c:numCache>
            </c:numRef>
          </c:val>
          <c:smooth val="0"/>
        </c:ser>
        <c:ser>
          <c:idx val="1"/>
          <c:order val="2"/>
          <c:tx>
            <c:v>8-lane OM3 : 2-lane OS2</c:v>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Cost'!$BB$49,'Cabling Sol''n Cost'!$BF$49,'Cabling Sol''n Cost'!$BJ$49,'Cabling Sol''n Cost'!$BN$49,'Cabling Sol''n Cost'!$BR$49)</c:f>
              <c:numCache>
                <c:ptCount val="5"/>
                <c:pt idx="0">
                  <c:v>0</c:v>
                </c:pt>
                <c:pt idx="1">
                  <c:v>0</c:v>
                </c:pt>
                <c:pt idx="2">
                  <c:v>0</c:v>
                </c:pt>
                <c:pt idx="3">
                  <c:v>0</c:v>
                </c:pt>
                <c:pt idx="4">
                  <c:v>0</c:v>
                </c:pt>
              </c:numCache>
            </c:numRef>
          </c:val>
          <c:smooth val="0"/>
        </c:ser>
        <c:ser>
          <c:idx val="0"/>
          <c:order val="3"/>
          <c:tx>
            <c:v>2-lane OS2 : 2-lane OS2</c:v>
          </c:tx>
          <c:extLst>
            <c:ext xmlns:c14="http://schemas.microsoft.com/office/drawing/2007/8/2/chart" uri="{6F2FDCE9-48DA-4B69-8628-5D25D57E5C99}">
              <c14:invertSolidFillFmt>
                <c14:spPr>
                  <a:solidFill>
                    <a:srgbClr val="000000"/>
                  </a:solidFill>
                </c14:spPr>
              </c14:invertSolidFillFmt>
            </c:ext>
          </c:extLst>
          <c:val>
            <c:numRef>
              <c:f>('Cabling Sol''n Cost'!$BA$49,'Cabling Sol''n Cost'!$BE$49,'Cabling Sol''n Cost'!$BI$49,'Cabling Sol''n Cost'!$BM$49,'Cabling Sol''n Cost'!$BQ$49)</c:f>
              <c:numCache>
                <c:ptCount val="5"/>
                <c:pt idx="0">
                  <c:v>0</c:v>
                </c:pt>
                <c:pt idx="1">
                  <c:v>0</c:v>
                </c:pt>
                <c:pt idx="2">
                  <c:v>0</c:v>
                </c:pt>
                <c:pt idx="3">
                  <c:v>0</c:v>
                </c:pt>
                <c:pt idx="4">
                  <c:v>0</c:v>
                </c:pt>
              </c:numCache>
            </c:numRef>
          </c:val>
          <c:smooth val="0"/>
        </c:ser>
        <c:marker val="1"/>
        <c:axId val="43682925"/>
        <c:axId val="57602006"/>
      </c:lineChart>
      <c:catAx>
        <c:axId val="43682925"/>
        <c:scaling>
          <c:orientation val="minMax"/>
        </c:scaling>
        <c:axPos val="b"/>
        <c:title>
          <c:tx>
            <c:rich>
              <a:bodyPr vert="horz" rot="0" anchor="ctr"/>
              <a:lstStyle/>
              <a:p>
                <a:pPr algn="ctr">
                  <a:defRPr/>
                </a:pPr>
                <a:r>
                  <a:rPr lang="en-US" cap="none" sz="100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7602006"/>
        <c:crosses val="autoZero"/>
        <c:auto val="1"/>
        <c:lblOffset val="100"/>
        <c:noMultiLvlLbl val="0"/>
      </c:catAx>
      <c:valAx>
        <c:axId val="57602006"/>
        <c:scaling>
          <c:orientation val="minMax"/>
          <c:min val="0"/>
        </c:scaling>
        <c:axPos val="l"/>
        <c:title>
          <c:tx>
            <c:rich>
              <a:bodyPr vert="horz" rot="-5400000" anchor="ctr"/>
              <a:lstStyle/>
              <a:p>
                <a:pPr algn="ctr">
                  <a:defRPr/>
                </a:pPr>
                <a:r>
                  <a:rPr lang="en-US" cap="none" sz="1000" b="1" i="0" u="none" baseline="0">
                    <a:latin typeface="Arial"/>
                    <a:ea typeface="Arial"/>
                    <a:cs typeface="Arial"/>
                  </a:rPr>
                  <a:t>Cost Ratios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3682925"/>
        <c:crossesAt val="1"/>
        <c:crossBetween val="between"/>
        <c:dispUnits/>
        <c:majorUnit val="1"/>
      </c:valAx>
      <c:spPr>
        <a:solidFill>
          <a:srgbClr val="C0C0C0"/>
        </a:solidFill>
        <a:ln w="12700">
          <a:solidFill>
            <a:srgbClr val="808080"/>
          </a:solidFill>
        </a:ln>
      </c:spPr>
    </c:plotArea>
    <c:legend>
      <c:legendPos val="r"/>
      <c:layout>
        <c:manualLayout>
          <c:xMode val="edge"/>
          <c:yMode val="edge"/>
          <c:x val="0.33075"/>
          <c:y val="0.47025"/>
          <c:w val="0.29475"/>
          <c:h val="0.17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133350</xdr:rowOff>
    </xdr:from>
    <xdr:to>
      <xdr:col>9</xdr:col>
      <xdr:colOff>742950</xdr:colOff>
      <xdr:row>52</xdr:row>
      <xdr:rowOff>0</xdr:rowOff>
    </xdr:to>
    <xdr:graphicFrame>
      <xdr:nvGraphicFramePr>
        <xdr:cNvPr id="1" name="Chart 6"/>
        <xdr:cNvGraphicFramePr/>
      </xdr:nvGraphicFramePr>
      <xdr:xfrm>
        <a:off x="609600" y="5362575"/>
        <a:ext cx="6619875" cy="3590925"/>
      </xdr:xfrm>
      <a:graphic>
        <a:graphicData uri="http://schemas.openxmlformats.org/drawingml/2006/chart">
          <c:chart xmlns:c="http://schemas.openxmlformats.org/drawingml/2006/chart" r:id="rId1"/>
        </a:graphicData>
      </a:graphic>
    </xdr:graphicFrame>
    <xdr:clientData/>
  </xdr:twoCellAnchor>
  <xdr:twoCellAnchor>
    <xdr:from>
      <xdr:col>19</xdr:col>
      <xdr:colOff>19050</xdr:colOff>
      <xdr:row>0</xdr:row>
      <xdr:rowOff>28575</xdr:rowOff>
    </xdr:from>
    <xdr:to>
      <xdr:col>25</xdr:col>
      <xdr:colOff>419100</xdr:colOff>
      <xdr:row>22</xdr:row>
      <xdr:rowOff>85725</xdr:rowOff>
    </xdr:to>
    <xdr:graphicFrame>
      <xdr:nvGraphicFramePr>
        <xdr:cNvPr id="2" name="Chart 15"/>
        <xdr:cNvGraphicFramePr/>
      </xdr:nvGraphicFramePr>
      <xdr:xfrm>
        <a:off x="13963650" y="28575"/>
        <a:ext cx="4057650" cy="4152900"/>
      </xdr:xfrm>
      <a:graphic>
        <a:graphicData uri="http://schemas.openxmlformats.org/drawingml/2006/chart">
          <c:chart xmlns:c="http://schemas.openxmlformats.org/drawingml/2006/chart" r:id="rId2"/>
        </a:graphicData>
      </a:graphic>
    </xdr:graphicFrame>
    <xdr:clientData/>
  </xdr:twoCellAnchor>
  <xdr:twoCellAnchor>
    <xdr:from>
      <xdr:col>23</xdr:col>
      <xdr:colOff>104775</xdr:colOff>
      <xdr:row>0</xdr:row>
      <xdr:rowOff>28575</xdr:rowOff>
    </xdr:from>
    <xdr:to>
      <xdr:col>29</xdr:col>
      <xdr:colOff>514350</xdr:colOff>
      <xdr:row>22</xdr:row>
      <xdr:rowOff>95250</xdr:rowOff>
    </xdr:to>
    <xdr:graphicFrame>
      <xdr:nvGraphicFramePr>
        <xdr:cNvPr id="3" name="Chart 16"/>
        <xdr:cNvGraphicFramePr/>
      </xdr:nvGraphicFramePr>
      <xdr:xfrm>
        <a:off x="16487775" y="28575"/>
        <a:ext cx="4067175" cy="4162425"/>
      </xdr:xfrm>
      <a:graphic>
        <a:graphicData uri="http://schemas.openxmlformats.org/drawingml/2006/chart">
          <c:chart xmlns:c="http://schemas.openxmlformats.org/drawingml/2006/chart" r:id="rId3"/>
        </a:graphicData>
      </a:graphic>
    </xdr:graphicFrame>
    <xdr:clientData/>
  </xdr:twoCellAnchor>
  <xdr:twoCellAnchor>
    <xdr:from>
      <xdr:col>19</xdr:col>
      <xdr:colOff>19050</xdr:colOff>
      <xdr:row>22</xdr:row>
      <xdr:rowOff>85725</xdr:rowOff>
    </xdr:from>
    <xdr:to>
      <xdr:col>25</xdr:col>
      <xdr:colOff>447675</xdr:colOff>
      <xdr:row>48</xdr:row>
      <xdr:rowOff>57150</xdr:rowOff>
    </xdr:to>
    <xdr:graphicFrame>
      <xdr:nvGraphicFramePr>
        <xdr:cNvPr id="4" name="Chart 18"/>
        <xdr:cNvGraphicFramePr/>
      </xdr:nvGraphicFramePr>
      <xdr:xfrm>
        <a:off x="13963650" y="4181475"/>
        <a:ext cx="4086225" cy="4181475"/>
      </xdr:xfrm>
      <a:graphic>
        <a:graphicData uri="http://schemas.openxmlformats.org/drawingml/2006/chart">
          <c:chart xmlns:c="http://schemas.openxmlformats.org/drawingml/2006/chart" r:id="rId4"/>
        </a:graphicData>
      </a:graphic>
    </xdr:graphicFrame>
    <xdr:clientData/>
  </xdr:twoCellAnchor>
  <xdr:twoCellAnchor>
    <xdr:from>
      <xdr:col>23</xdr:col>
      <xdr:colOff>104775</xdr:colOff>
      <xdr:row>22</xdr:row>
      <xdr:rowOff>85725</xdr:rowOff>
    </xdr:from>
    <xdr:to>
      <xdr:col>29</xdr:col>
      <xdr:colOff>523875</xdr:colOff>
      <xdr:row>48</xdr:row>
      <xdr:rowOff>66675</xdr:rowOff>
    </xdr:to>
    <xdr:graphicFrame>
      <xdr:nvGraphicFramePr>
        <xdr:cNvPr id="5" name="Chart 19"/>
        <xdr:cNvGraphicFramePr/>
      </xdr:nvGraphicFramePr>
      <xdr:xfrm>
        <a:off x="16487775" y="4181475"/>
        <a:ext cx="4076700" cy="4191000"/>
      </xdr:xfrm>
      <a:graphic>
        <a:graphicData uri="http://schemas.openxmlformats.org/drawingml/2006/chart">
          <c:chart xmlns:c="http://schemas.openxmlformats.org/drawingml/2006/chart" r:id="rId5"/>
        </a:graphicData>
      </a:graphic>
    </xdr:graphicFrame>
    <xdr:clientData/>
  </xdr:twoCellAnchor>
  <xdr:twoCellAnchor>
    <xdr:from>
      <xdr:col>29</xdr:col>
      <xdr:colOff>361950</xdr:colOff>
      <xdr:row>9</xdr:row>
      <xdr:rowOff>85725</xdr:rowOff>
    </xdr:from>
    <xdr:to>
      <xdr:col>35</xdr:col>
      <xdr:colOff>638175</xdr:colOff>
      <xdr:row>35</xdr:row>
      <xdr:rowOff>76200</xdr:rowOff>
    </xdr:to>
    <xdr:graphicFrame>
      <xdr:nvGraphicFramePr>
        <xdr:cNvPr id="6" name="Chart 30"/>
        <xdr:cNvGraphicFramePr/>
      </xdr:nvGraphicFramePr>
      <xdr:xfrm>
        <a:off x="20402550" y="2076450"/>
        <a:ext cx="4086225" cy="42005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9525</xdr:colOff>
      <xdr:row>50</xdr:row>
      <xdr:rowOff>0</xdr:rowOff>
    </xdr:from>
    <xdr:to>
      <xdr:col>71</xdr:col>
      <xdr:colOff>523875</xdr:colOff>
      <xdr:row>53</xdr:row>
      <xdr:rowOff>38100</xdr:rowOff>
    </xdr:to>
    <xdr:sp>
      <xdr:nvSpPr>
        <xdr:cNvPr id="1" name="AutoShape 11"/>
        <xdr:cNvSpPr>
          <a:spLocks/>
        </xdr:cNvSpPr>
      </xdr:nvSpPr>
      <xdr:spPr>
        <a:xfrm rot="16200000">
          <a:off x="26822400" y="8801100"/>
          <a:ext cx="11087100" cy="523875"/>
        </a:xfrm>
        <a:prstGeom prst="leftBrace">
          <a:avLst>
            <a:gd name="adj" fmla="val 18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46</xdr:row>
      <xdr:rowOff>85725</xdr:rowOff>
    </xdr:from>
    <xdr:to>
      <xdr:col>11</xdr:col>
      <xdr:colOff>733425</xdr:colOff>
      <xdr:row>66</xdr:row>
      <xdr:rowOff>114300</xdr:rowOff>
    </xdr:to>
    <xdr:graphicFrame>
      <xdr:nvGraphicFramePr>
        <xdr:cNvPr id="2" name="Chart 19"/>
        <xdr:cNvGraphicFramePr/>
      </xdr:nvGraphicFramePr>
      <xdr:xfrm>
        <a:off x="2828925" y="8239125"/>
        <a:ext cx="5657850" cy="3267075"/>
      </xdr:xfrm>
      <a:graphic>
        <a:graphicData uri="http://schemas.openxmlformats.org/drawingml/2006/chart">
          <c:chart xmlns:c="http://schemas.openxmlformats.org/drawingml/2006/chart" r:id="rId1"/>
        </a:graphicData>
      </a:graphic>
    </xdr:graphicFrame>
    <xdr:clientData/>
  </xdr:twoCellAnchor>
  <xdr:twoCellAnchor>
    <xdr:from>
      <xdr:col>52</xdr:col>
      <xdr:colOff>104775</xdr:colOff>
      <xdr:row>56</xdr:row>
      <xdr:rowOff>0</xdr:rowOff>
    </xdr:from>
    <xdr:to>
      <xdr:col>61</xdr:col>
      <xdr:colOff>485775</xdr:colOff>
      <xdr:row>76</xdr:row>
      <xdr:rowOff>38100</xdr:rowOff>
    </xdr:to>
    <xdr:graphicFrame>
      <xdr:nvGraphicFramePr>
        <xdr:cNvPr id="3" name="Chart 23"/>
        <xdr:cNvGraphicFramePr/>
      </xdr:nvGraphicFramePr>
      <xdr:xfrm>
        <a:off x="26917650" y="9772650"/>
        <a:ext cx="5400675" cy="3276600"/>
      </xdr:xfrm>
      <a:graphic>
        <a:graphicData uri="http://schemas.openxmlformats.org/drawingml/2006/chart">
          <c:chart xmlns:c="http://schemas.openxmlformats.org/drawingml/2006/chart" r:id="rId2"/>
        </a:graphicData>
      </a:graphic>
    </xdr:graphicFrame>
    <xdr:clientData/>
  </xdr:twoCellAnchor>
  <xdr:twoCellAnchor>
    <xdr:from>
      <xdr:col>62</xdr:col>
      <xdr:colOff>66675</xdr:colOff>
      <xdr:row>56</xdr:row>
      <xdr:rowOff>0</xdr:rowOff>
    </xdr:from>
    <xdr:to>
      <xdr:col>71</xdr:col>
      <xdr:colOff>466725</xdr:colOff>
      <xdr:row>76</xdr:row>
      <xdr:rowOff>38100</xdr:rowOff>
    </xdr:to>
    <xdr:graphicFrame>
      <xdr:nvGraphicFramePr>
        <xdr:cNvPr id="4" name="Chart 24"/>
        <xdr:cNvGraphicFramePr/>
      </xdr:nvGraphicFramePr>
      <xdr:xfrm>
        <a:off x="32451675" y="9772650"/>
        <a:ext cx="5400675" cy="32766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xdr:row>
      <xdr:rowOff>38100</xdr:rowOff>
    </xdr:from>
    <xdr:to>
      <xdr:col>15</xdr:col>
      <xdr:colOff>504825</xdr:colOff>
      <xdr:row>24</xdr:row>
      <xdr:rowOff>66675</xdr:rowOff>
    </xdr:to>
    <xdr:graphicFrame>
      <xdr:nvGraphicFramePr>
        <xdr:cNvPr id="1" name="Chart 1"/>
        <xdr:cNvGraphicFramePr/>
      </xdr:nvGraphicFramePr>
      <xdr:xfrm>
        <a:off x="5400675" y="895350"/>
        <a:ext cx="62198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3"/>
  <sheetViews>
    <sheetView tabSelected="1" workbookViewId="0" topLeftCell="A1">
      <selection activeCell="L34" sqref="L34"/>
    </sheetView>
  </sheetViews>
  <sheetFormatPr defaultColWidth="9.140625" defaultRowHeight="12.75"/>
  <sheetData>
    <row r="1" spans="2:5" ht="12.75">
      <c r="B1" t="s">
        <v>113</v>
      </c>
      <c r="E1" t="s">
        <v>21</v>
      </c>
    </row>
    <row r="3" ht="12.75">
      <c r="A3" t="s">
        <v>86</v>
      </c>
    </row>
    <row r="4" ht="12.75">
      <c r="B4" t="s">
        <v>85</v>
      </c>
    </row>
    <row r="5" ht="12.75">
      <c r="A5" t="s">
        <v>87</v>
      </c>
    </row>
    <row r="6" ht="12.75">
      <c r="B6" t="s">
        <v>31</v>
      </c>
    </row>
    <row r="7" ht="12.75">
      <c r="B7" t="s">
        <v>26</v>
      </c>
    </row>
    <row r="8" ht="12.75">
      <c r="C8" t="s">
        <v>32</v>
      </c>
    </row>
    <row r="9" ht="12.75">
      <c r="C9" t="s">
        <v>29</v>
      </c>
    </row>
    <row r="10" ht="12.75">
      <c r="C10" t="s">
        <v>30</v>
      </c>
    </row>
    <row r="11" ht="12.75">
      <c r="C11" t="s">
        <v>39</v>
      </c>
    </row>
    <row r="12" ht="12.75">
      <c r="B12" t="s">
        <v>36</v>
      </c>
    </row>
    <row r="13" ht="12.75">
      <c r="C13" t="s">
        <v>23</v>
      </c>
    </row>
    <row r="14" ht="12.75">
      <c r="B14" t="s">
        <v>33</v>
      </c>
    </row>
    <row r="15" ht="12.75">
      <c r="C15" t="s">
        <v>27</v>
      </c>
    </row>
    <row r="16" ht="12.75">
      <c r="C16" t="s">
        <v>28</v>
      </c>
    </row>
    <row r="17" ht="12.75">
      <c r="B17" t="s">
        <v>24</v>
      </c>
    </row>
    <row r="18" ht="12.75">
      <c r="C18" t="s">
        <v>37</v>
      </c>
    </row>
    <row r="19" ht="12.75">
      <c r="C19" t="s">
        <v>25</v>
      </c>
    </row>
    <row r="20" ht="12.75">
      <c r="C20" t="s">
        <v>38</v>
      </c>
    </row>
    <row r="21" ht="12.75">
      <c r="C21" t="s">
        <v>35</v>
      </c>
    </row>
    <row r="22" ht="12.75">
      <c r="C22" t="s">
        <v>34</v>
      </c>
    </row>
    <row r="23" ht="12.75">
      <c r="C23" t="s">
        <v>119</v>
      </c>
    </row>
    <row r="24" ht="12.75">
      <c r="A24" t="s">
        <v>125</v>
      </c>
    </row>
    <row r="25" spans="2:22" ht="12.75">
      <c r="B25" t="s">
        <v>126</v>
      </c>
      <c r="P25" s="108" t="s">
        <v>100</v>
      </c>
      <c r="Q25" s="109"/>
      <c r="R25" s="109"/>
      <c r="S25" s="109"/>
      <c r="T25" s="109"/>
      <c r="U25" s="109"/>
      <c r="V25" s="82"/>
    </row>
    <row r="26" spans="3:22" ht="12.75">
      <c r="C26" t="s">
        <v>99</v>
      </c>
      <c r="P26" s="65" t="s">
        <v>88</v>
      </c>
      <c r="Q26" s="60" t="s">
        <v>89</v>
      </c>
      <c r="R26" s="60" t="s">
        <v>90</v>
      </c>
      <c r="S26" s="107" t="s">
        <v>22</v>
      </c>
      <c r="T26" s="107"/>
      <c r="U26" s="107"/>
      <c r="V26" s="81"/>
    </row>
    <row r="27" spans="3:22" ht="12.75">
      <c r="C27" t="s">
        <v>109</v>
      </c>
      <c r="P27" s="11" t="s">
        <v>42</v>
      </c>
      <c r="Q27" s="4" t="s">
        <v>91</v>
      </c>
      <c r="R27" s="4" t="s">
        <v>92</v>
      </c>
      <c r="S27" s="4" t="s">
        <v>95</v>
      </c>
      <c r="T27" s="4"/>
      <c r="U27" s="4"/>
      <c r="V27" s="46"/>
    </row>
    <row r="28" spans="3:22" ht="12.75">
      <c r="C28" t="s">
        <v>101</v>
      </c>
      <c r="P28" s="11" t="s">
        <v>40</v>
      </c>
      <c r="Q28" s="4" t="s">
        <v>93</v>
      </c>
      <c r="R28" s="4" t="s">
        <v>98</v>
      </c>
      <c r="S28" s="4" t="s">
        <v>96</v>
      </c>
      <c r="T28" s="4"/>
      <c r="U28" s="4"/>
      <c r="V28" s="46"/>
    </row>
    <row r="29" spans="2:22" ht="12.75">
      <c r="B29" t="s">
        <v>102</v>
      </c>
      <c r="P29" s="12" t="s">
        <v>41</v>
      </c>
      <c r="Q29" s="13" t="s">
        <v>94</v>
      </c>
      <c r="R29" s="13" t="s">
        <v>81</v>
      </c>
      <c r="S29" s="13" t="s">
        <v>97</v>
      </c>
      <c r="T29" s="13"/>
      <c r="U29" s="13"/>
      <c r="V29" s="47"/>
    </row>
    <row r="30" ht="12.75">
      <c r="C30" t="s">
        <v>103</v>
      </c>
    </row>
    <row r="31" ht="12.75">
      <c r="C31" t="s">
        <v>104</v>
      </c>
    </row>
    <row r="32" ht="12.75">
      <c r="C32" t="s">
        <v>39</v>
      </c>
    </row>
    <row r="33" ht="12.75">
      <c r="B33" t="s">
        <v>114</v>
      </c>
    </row>
    <row r="34" ht="12.75">
      <c r="C34" t="s">
        <v>115</v>
      </c>
    </row>
    <row r="35" ht="12.75">
      <c r="C35" t="s">
        <v>135</v>
      </c>
    </row>
    <row r="36" ht="12.75">
      <c r="C36" t="s">
        <v>116</v>
      </c>
    </row>
    <row r="37" ht="12.75">
      <c r="B37" t="s">
        <v>24</v>
      </c>
    </row>
    <row r="38" ht="12.75">
      <c r="C38" t="s">
        <v>105</v>
      </c>
    </row>
    <row r="39" ht="12.75">
      <c r="C39" t="s">
        <v>110</v>
      </c>
    </row>
    <row r="40" ht="12.75">
      <c r="C40" t="s">
        <v>117</v>
      </c>
    </row>
    <row r="41" ht="12.75">
      <c r="C41" t="s">
        <v>111</v>
      </c>
    </row>
    <row r="42" ht="12.75">
      <c r="C42" t="s">
        <v>127</v>
      </c>
    </row>
    <row r="43" ht="12.75">
      <c r="C43" t="s">
        <v>107</v>
      </c>
    </row>
    <row r="44" ht="12.75">
      <c r="C44" t="s">
        <v>108</v>
      </c>
    </row>
    <row r="45" ht="12.75">
      <c r="C45" t="s">
        <v>106</v>
      </c>
    </row>
    <row r="46" ht="12.75">
      <c r="C46" t="s">
        <v>112</v>
      </c>
    </row>
    <row r="47" ht="12.75">
      <c r="C47" t="s">
        <v>118</v>
      </c>
    </row>
    <row r="48" ht="12.75">
      <c r="A48" t="s">
        <v>128</v>
      </c>
    </row>
    <row r="49" ht="12.75">
      <c r="B49" t="s">
        <v>131</v>
      </c>
    </row>
    <row r="50" ht="12.75">
      <c r="B50" t="s">
        <v>129</v>
      </c>
    </row>
    <row r="51" ht="12.75">
      <c r="B51" t="s">
        <v>133</v>
      </c>
    </row>
    <row r="52" ht="12.75">
      <c r="C52" s="100" t="s">
        <v>132</v>
      </c>
    </row>
    <row r="53" ht="12.75">
      <c r="C53" t="s">
        <v>130</v>
      </c>
    </row>
  </sheetData>
  <mergeCells count="2">
    <mergeCell ref="S26:U26"/>
    <mergeCell ref="P25:U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N50"/>
  <sheetViews>
    <sheetView zoomScale="85" zoomScaleNormal="85" workbookViewId="0" topLeftCell="A1">
      <selection activeCell="F55" sqref="F55"/>
    </sheetView>
  </sheetViews>
  <sheetFormatPr defaultColWidth="9.140625" defaultRowHeight="12.75"/>
  <cols>
    <col min="2" max="2" width="12.7109375" style="0" customWidth="1"/>
    <col min="3" max="3" width="11.140625" style="0" customWidth="1"/>
    <col min="4" max="4" width="9.7109375" style="0" customWidth="1"/>
    <col min="5" max="5" width="9.57421875" style="0" customWidth="1"/>
    <col min="6" max="6" width="12.00390625" style="0" customWidth="1"/>
    <col min="7" max="7" width="11.7109375" style="0" customWidth="1"/>
    <col min="8" max="8" width="10.8515625" style="0" customWidth="1"/>
    <col min="9" max="9" width="10.421875" style="0" customWidth="1"/>
    <col min="10" max="10" width="11.57421875" style="0" customWidth="1"/>
    <col min="12" max="12" width="11.8515625" style="0" customWidth="1"/>
    <col min="13" max="13" width="8.8515625" style="0" customWidth="1"/>
    <col min="14" max="14" width="9.28125" style="0" customWidth="1"/>
    <col min="15" max="15" width="12.57421875" style="0" customWidth="1"/>
    <col min="16" max="16" width="12.7109375" style="0" customWidth="1"/>
    <col min="17" max="17" width="12.00390625" style="0" customWidth="1"/>
    <col min="18" max="18" width="11.8515625" style="0" customWidth="1"/>
    <col min="19" max="19" width="12.00390625" style="0" customWidth="1"/>
    <col min="35" max="35" width="11.421875" style="0" customWidth="1"/>
    <col min="36" max="37" width="10.8515625" style="0" customWidth="1"/>
    <col min="38" max="38" width="11.140625" style="0" customWidth="1"/>
    <col min="39" max="39" width="12.8515625" style="0" customWidth="1"/>
  </cols>
  <sheetData>
    <row r="1" spans="1:40" ht="27.75" customHeight="1">
      <c r="A1" s="2" t="s">
        <v>9</v>
      </c>
      <c r="B1" s="40" t="s">
        <v>3</v>
      </c>
      <c r="C1" s="41" t="s">
        <v>1</v>
      </c>
      <c r="D1" s="110" t="s">
        <v>6</v>
      </c>
      <c r="E1" s="111"/>
      <c r="F1" s="116" t="s">
        <v>18</v>
      </c>
      <c r="G1" s="116"/>
      <c r="H1" s="116" t="s">
        <v>19</v>
      </c>
      <c r="I1" s="116"/>
      <c r="J1" s="116"/>
      <c r="K1" s="17"/>
      <c r="L1" s="16" t="s">
        <v>20</v>
      </c>
      <c r="M1" s="114" t="s">
        <v>2</v>
      </c>
      <c r="N1" s="115"/>
      <c r="O1" s="115" t="s">
        <v>16</v>
      </c>
      <c r="P1" s="115"/>
      <c r="Q1" s="112" t="s">
        <v>17</v>
      </c>
      <c r="R1" s="112"/>
      <c r="S1" s="113"/>
      <c r="AE1" s="20"/>
      <c r="AF1" s="20"/>
      <c r="AG1" s="20"/>
      <c r="AH1" s="20"/>
      <c r="AI1" s="19"/>
      <c r="AJ1" s="19"/>
      <c r="AK1" s="19"/>
      <c r="AL1" s="20"/>
      <c r="AM1" s="20"/>
      <c r="AN1" s="4"/>
    </row>
    <row r="2" spans="1:40" ht="39.75" customHeight="1">
      <c r="A2" s="1"/>
      <c r="B2" s="40" t="s">
        <v>5</v>
      </c>
      <c r="C2" s="41" t="s">
        <v>4</v>
      </c>
      <c r="D2" s="42" t="s">
        <v>0</v>
      </c>
      <c r="E2" s="17" t="s">
        <v>13</v>
      </c>
      <c r="F2" s="16" t="s">
        <v>68</v>
      </c>
      <c r="G2" s="16" t="s">
        <v>69</v>
      </c>
      <c r="H2" s="16" t="s">
        <v>73</v>
      </c>
      <c r="I2" s="16" t="s">
        <v>75</v>
      </c>
      <c r="J2" s="16" t="s">
        <v>74</v>
      </c>
      <c r="L2" s="17"/>
      <c r="M2" s="18" t="s">
        <v>0</v>
      </c>
      <c r="N2" s="22" t="s">
        <v>13</v>
      </c>
      <c r="O2" s="20" t="s">
        <v>15</v>
      </c>
      <c r="P2" s="20" t="s">
        <v>14</v>
      </c>
      <c r="Q2" s="19" t="s">
        <v>10</v>
      </c>
      <c r="R2" s="20" t="s">
        <v>11</v>
      </c>
      <c r="S2" s="21" t="s">
        <v>12</v>
      </c>
      <c r="AE2" s="22"/>
      <c r="AF2" s="22"/>
      <c r="AG2" s="22"/>
      <c r="AH2" s="22"/>
      <c r="AI2" s="19"/>
      <c r="AJ2" s="20"/>
      <c r="AK2" s="20"/>
      <c r="AL2" s="20"/>
      <c r="AM2" s="20"/>
      <c r="AN2" s="4"/>
    </row>
    <row r="3" spans="1:40" ht="12.75">
      <c r="A3" s="1">
        <v>1</v>
      </c>
      <c r="B3" s="5"/>
      <c r="C3" s="6"/>
      <c r="D3" s="6"/>
      <c r="E3" s="7">
        <f>3.281*D3</f>
        <v>0</v>
      </c>
      <c r="F3" s="37">
        <f>IF($E3&gt;$N$47,1,VLOOKUP($E3,$N$3:$S$47,2)+((VLOOKUP($E3,$L$4:$S$48,4)-VLOOKUP($E3,$N$3:$S$47,2))*($E3-VLOOKUP($E3,$N$3:$S$47,1))/(VLOOKUP($E3,$L$4:$S$48,3)-VLOOKUP($E3,$N$3:$S$47,1))))</f>
        <v>0</v>
      </c>
      <c r="G3" s="33">
        <f>IF($E3&gt;$N$47,1,VLOOKUP($E3,$N$3:$S$47,3)+((VLOOKUP($E3,$L$4:$S$48,5)-VLOOKUP($E3,$N$3:$S$47,3))*($E3-VLOOKUP($E3,$N$3:$S$47,1))/(VLOOKUP($E3,$L$4:$S$48,3)-VLOOKUP($E3,$N$3:$S$47,1))))</f>
        <v>0</v>
      </c>
      <c r="H3" s="33">
        <f>IF($E3&gt;$N$47,1,VLOOKUP($E3,$N$3:$S$47,4)+((VLOOKUP($E3,$L$4:$S$48,6)-VLOOKUP($E3,$N$3:$S$47,4))*($E3-VLOOKUP($E3,$N$3:$S$47,1))/(VLOOKUP($E3,$L$4:$S$48,3)-VLOOKUP($E3,$N$3:$S$47,1))))</f>
        <v>0</v>
      </c>
      <c r="I3" s="33">
        <f>IF($E3&gt;$N$47,1,VLOOKUP($E3,$N$3:$S$47,5)+((VLOOKUP($E3,$L$4:$S$48,7)-VLOOKUP($E3,$N$3:$S$47,5))*($E3-VLOOKUP($E3,$N$3:$S$47,1))/(VLOOKUP($E3,$L$4:$S$48,3)-VLOOKUP($E3,$N$3:$S$47,1))))</f>
        <v>0</v>
      </c>
      <c r="J3" s="34">
        <f>IF($E3&gt;$N$47,1,VLOOKUP($E3,$N$3:$S$47,6)+((VLOOKUP($E3,$L$4:$S$48,8)-VLOOKUP($E3,$N$3:$S$47,6))*($E3-VLOOKUP($E3,$N$3:$S$47,1))/(VLOOKUP($E3,$L$4:$S$48,3)-VLOOKUP($E3,$N$3:$S$47,1))))</f>
        <v>0</v>
      </c>
      <c r="M3" s="25">
        <f>N3/3.281</f>
        <v>0</v>
      </c>
      <c r="N3" s="23">
        <v>0</v>
      </c>
      <c r="O3" s="31">
        <v>0</v>
      </c>
      <c r="P3" s="31">
        <v>0</v>
      </c>
      <c r="Q3" s="24">
        <v>0</v>
      </c>
      <c r="R3" s="24">
        <v>0</v>
      </c>
      <c r="S3" s="26">
        <v>0</v>
      </c>
      <c r="AE3" s="4"/>
      <c r="AF3" s="4"/>
      <c r="AG3" s="10"/>
      <c r="AH3" s="23"/>
      <c r="AI3" s="24"/>
      <c r="AJ3" s="24"/>
      <c r="AK3" s="24"/>
      <c r="AL3" s="31"/>
      <c r="AM3" s="31"/>
      <c r="AN3" s="4"/>
    </row>
    <row r="4" spans="1:40" ht="12.75">
      <c r="A4" s="1"/>
      <c r="B4" s="8"/>
      <c r="C4" s="9"/>
      <c r="D4" s="9"/>
      <c r="E4" s="10">
        <f>3.281*D4</f>
        <v>0</v>
      </c>
      <c r="F4" s="38">
        <f>IF($E4&gt;$N$47,1-(F3),VLOOKUP($E4,$N$3:$S$47,2)+((VLOOKUP($E4,$L$4:$S$48,4)-VLOOKUP($E4,$N$3:$S$47,2))*($E4-VLOOKUP($E4,$N$3:$S$47,1))/(VLOOKUP($E4,$L$4:$S$48,3)-VLOOKUP($E4,$N$3:$S$47,1)))-(F3))</f>
        <v>0</v>
      </c>
      <c r="G4" s="24">
        <f>IF($E4&gt;$N$47,1-(G3),VLOOKUP($E4,$N$3:$S$47,3)+((VLOOKUP($E4,$L$4:$S$48,5)-VLOOKUP($E4,$N$3:$S$47,3))*($E4-VLOOKUP($E4,$N$3:$S$47,1))/(VLOOKUP($E4,$L$4:$S$48,3)-VLOOKUP($E4,$N$3:$S$47,1)))-(G3))</f>
        <v>0</v>
      </c>
      <c r="H4" s="24">
        <f>IF($E4&gt;$N$47,1-(H3),VLOOKUP($E4,$N$3:$S$47,4)+((VLOOKUP($E4,$L$4:$S$48,6)-VLOOKUP($E4,$N$3:$S$47,4))*($E4-VLOOKUP($E4,$N$3:$S$47,1))/(VLOOKUP($E4,$L$4:$S$48,3)-VLOOKUP($E4,$N$3:$S$47,1)))-(H3))</f>
        <v>0</v>
      </c>
      <c r="I4" s="24">
        <f>IF($E4&gt;$N$47,1-(I3),VLOOKUP($E4,$N$3:$S$47,5)+((VLOOKUP($E4,$L$4:$S$48,7)-VLOOKUP($E4,$N$3:$S$47,5))*($E4-VLOOKUP($E4,$N$3:$S$47,1))/(VLOOKUP($E4,$L$4:$S$48,3)-VLOOKUP($E4,$N$3:$S$47,1)))-(I3))</f>
        <v>0</v>
      </c>
      <c r="J4" s="26">
        <f>IF($E4&gt;$N$47,1-(J3),VLOOKUP($E4,$N$3:$S$47,6)+((VLOOKUP($E4,$L$4:$S$48,8)-VLOOKUP($E4,$N$3:$S$47,6))*($E4-VLOOKUP($E4,$N$3:$S$47,1))/(VLOOKUP($E4,$L$4:$S$48,3)-VLOOKUP($E4,$N$3:$S$47,1)))-(J3))</f>
        <v>0</v>
      </c>
      <c r="L4" s="23">
        <v>0</v>
      </c>
      <c r="M4" s="25">
        <f aca="true" t="shared" si="0" ref="M4:M47">N4/3.281</f>
        <v>9.143553794574824</v>
      </c>
      <c r="N4" s="23">
        <v>30</v>
      </c>
      <c r="O4" s="31">
        <v>0.639</v>
      </c>
      <c r="P4" s="31">
        <v>0.305</v>
      </c>
      <c r="Q4" s="24">
        <v>0</v>
      </c>
      <c r="R4" s="24">
        <v>0</v>
      </c>
      <c r="S4" s="26">
        <v>0</v>
      </c>
      <c r="AE4" s="10"/>
      <c r="AF4" s="23"/>
      <c r="AG4" s="10"/>
      <c r="AH4" s="23"/>
      <c r="AI4" s="24"/>
      <c r="AJ4" s="24"/>
      <c r="AK4" s="24"/>
      <c r="AL4" s="31"/>
      <c r="AM4" s="31"/>
      <c r="AN4" s="4"/>
    </row>
    <row r="5" spans="1:40" ht="12.75">
      <c r="A5" s="1"/>
      <c r="B5" s="8" t="s">
        <v>120</v>
      </c>
      <c r="C5" s="9">
        <v>1.2</v>
      </c>
      <c r="D5" s="9">
        <v>75</v>
      </c>
      <c r="E5" s="10">
        <f>3.281*D5</f>
        <v>246.07500000000002</v>
      </c>
      <c r="F5" s="38">
        <f>IF($E5&gt;$N$47,1-(F3+F4),VLOOKUP($E5,$N$3:$S$47,2)+((VLOOKUP($E5,$L$4:$S$48,4)-VLOOKUP($E5,$N$3:$S$47,2))*($E5-VLOOKUP($E5,$N$3:$S$47,1))/(VLOOKUP($E5,$L$4:$S$48,3)-VLOOKUP($E5,$N$3:$S$47,1)))-(F3+F4))</f>
        <v>0.9850125000000001</v>
      </c>
      <c r="G5" s="24">
        <f>IF($E5&gt;$N$47,1-(G3+G4),VLOOKUP($E5,$N$3:$S$47,3)+((VLOOKUP($E5,$L$4:$S$48,5)-VLOOKUP($E5,$N$3:$S$47,3))*($E5-VLOOKUP($E5,$N$3:$S$47,1))/(VLOOKUP($E5,$L$4:$S$48,3)-VLOOKUP($E5,$N$3:$S$47,1)))-(G3+G4))</f>
        <v>0.9666325</v>
      </c>
      <c r="H5" s="24">
        <f>IF($E5&gt;$N$47,1-(H3+H4),VLOOKUP($E5,$N$3:$S$47,4)+((VLOOKUP($E5,$L$4:$S$48,6)-VLOOKUP($E5,$N$3:$S$47,4))*($E5-VLOOKUP($E5,$N$3:$S$47,1))/(VLOOKUP($E5,$L$4:$S$48,3)-VLOOKUP($E5,$N$3:$S$47,1)))-(H3+H4))</f>
        <v>0.8011721964385884</v>
      </c>
      <c r="I5" s="24">
        <f>IF($E5&gt;$N$47,1-(I3+I4),VLOOKUP($E5,$N$3:$S$47,5)+((VLOOKUP($E5,$L$4:$S$48,7)-VLOOKUP($E5,$N$3:$S$47,5))*($E5-VLOOKUP($E5,$N$3:$S$47,1))/(VLOOKUP($E5,$L$4:$S$48,3)-VLOOKUP($E5,$N$3:$S$47,1)))-(I3+I4))</f>
        <v>0.67169689345491</v>
      </c>
      <c r="J5" s="26">
        <f>IF($E5&gt;$N$47,1-(J3+J4),VLOOKUP($E5,$N$3:$S$47,6)+((VLOOKUP($E5,$L$4:$S$48,8)-VLOOKUP($E5,$N$3:$S$47,6))*($E5-VLOOKUP($E5,$N$3:$S$47,1))/(VLOOKUP($E5,$L$4:$S$48,3)-VLOOKUP($E5,$N$3:$S$47,1)))-(J3+J4))</f>
        <v>0.4127462874875532</v>
      </c>
      <c r="L5" s="23">
        <v>30</v>
      </c>
      <c r="M5" s="25">
        <f t="shared" si="0"/>
        <v>18.28710758914965</v>
      </c>
      <c r="N5" s="23">
        <v>60</v>
      </c>
      <c r="O5" s="31">
        <v>0.8490000000000001</v>
      </c>
      <c r="P5" s="31">
        <v>0.659</v>
      </c>
      <c r="Q5" s="24">
        <v>0.060284144879948584</v>
      </c>
      <c r="R5" s="24">
        <v>0.04021256927536592</v>
      </c>
      <c r="S5" s="26">
        <v>6.941806620061916E-05</v>
      </c>
      <c r="AE5" s="10"/>
      <c r="AF5" s="23"/>
      <c r="AG5" s="10"/>
      <c r="AH5" s="23"/>
      <c r="AI5" s="24"/>
      <c r="AJ5" s="24"/>
      <c r="AK5" s="24"/>
      <c r="AL5" s="31"/>
      <c r="AM5" s="31"/>
      <c r="AN5" s="4"/>
    </row>
    <row r="6" spans="1:40" ht="12.75">
      <c r="A6" s="1"/>
      <c r="B6" s="8" t="s">
        <v>121</v>
      </c>
      <c r="C6" s="9">
        <v>50</v>
      </c>
      <c r="D6" s="9">
        <v>10000</v>
      </c>
      <c r="E6" s="10">
        <f>3.281*D6</f>
        <v>32810</v>
      </c>
      <c r="F6" s="38">
        <f>IF($E6&gt;$N$47,1-(F3+F4+F5),VLOOKUP($E6,$N$3:$S$47,2)+((VLOOKUP($E6,$L$4:$S$48,4)-VLOOKUP($E6,$N$3:$S$47,2))*($E6-VLOOKUP($E6,$N$3:$S$47,1))/(VLOOKUP($E6,$L$4:$S$48,3)-VLOOKUP($E6,$N$3:$S$47,1)))-(F3+F4+F5))</f>
        <v>0.014987499999999931</v>
      </c>
      <c r="G6" s="24">
        <f>IF($E6&gt;$N$47,1-(G3+G4+G5),VLOOKUP($E6,$N$3:$S$47,3)+((VLOOKUP($E6,$L$4:$S$48,5)-VLOOKUP($E6,$N$3:$S$47,3))*($E6-VLOOKUP($E6,$N$3:$S$47,1))/(VLOOKUP($E6,$L$4:$S$48,3)-VLOOKUP($E6,$N$3:$S$47,1)))-(G3+G4+G5))</f>
        <v>0.033367499999999994</v>
      </c>
      <c r="H6" s="24">
        <f>IF($E6&gt;$N$47,1-(H3+H4+H5),VLOOKUP($E6,$N$3:$S$47,4)+((VLOOKUP($E6,$L$4:$S$48,6)-VLOOKUP($E6,$N$3:$S$47,4))*($E6-VLOOKUP($E6,$N$3:$S$47,1))/(VLOOKUP($E6,$L$4:$S$48,3)-VLOOKUP($E6,$N$3:$S$47,1)))-(H3+H4+H5))</f>
        <v>0.1988278035614116</v>
      </c>
      <c r="I6" s="24">
        <f>IF($E6&gt;$N$47,1-(I3+I4+I5),VLOOKUP($E6,$N$3:$S$47,5)+((VLOOKUP($E6,$L$4:$S$48,7)-VLOOKUP($E6,$N$3:$S$47,5))*($E6-VLOOKUP($E6,$N$3:$S$47,1))/(VLOOKUP($E6,$L$4:$S$48,3)-VLOOKUP($E6,$N$3:$S$47,1)))-(I3+I4+I5))</f>
        <v>0.32830310654509</v>
      </c>
      <c r="J6" s="26">
        <f>IF($E6&gt;$N$47,1-(J3+J4+J5),VLOOKUP($E6,$N$3:$S$47,6)+((VLOOKUP($E6,$L$4:$S$48,8)-VLOOKUP($E6,$N$3:$S$47,6))*($E6-VLOOKUP($E6,$N$3:$S$47,1))/(VLOOKUP($E6,$L$4:$S$48,3)-VLOOKUP($E6,$N$3:$S$47,1)))-(J3+J4+J5))</f>
        <v>0.5872537125124468</v>
      </c>
      <c r="L6" s="23">
        <v>60</v>
      </c>
      <c r="M6" s="25">
        <f t="shared" si="0"/>
        <v>27.430661383724473</v>
      </c>
      <c r="N6" s="23">
        <v>90</v>
      </c>
      <c r="O6" s="31">
        <v>0.9159999999999999</v>
      </c>
      <c r="P6" s="31">
        <v>0.805</v>
      </c>
      <c r="Q6" s="24">
        <v>0.2292837872218782</v>
      </c>
      <c r="R6" s="24">
        <v>0.15371776006091267</v>
      </c>
      <c r="S6" s="26">
        <v>0.0025857057389816764</v>
      </c>
      <c r="AE6" s="10"/>
      <c r="AF6" s="23"/>
      <c r="AG6" s="10"/>
      <c r="AH6" s="23"/>
      <c r="AI6" s="24"/>
      <c r="AJ6" s="24"/>
      <c r="AK6" s="24"/>
      <c r="AL6" s="31"/>
      <c r="AM6" s="31"/>
      <c r="AN6" s="4"/>
    </row>
    <row r="7" spans="1:40" ht="12.75">
      <c r="A7" s="1"/>
      <c r="B7" s="11"/>
      <c r="C7" s="4"/>
      <c r="D7" s="4"/>
      <c r="E7" s="15" t="s">
        <v>7</v>
      </c>
      <c r="F7" s="39">
        <f>SUM(F3:F6)</f>
        <v>1</v>
      </c>
      <c r="G7" s="29">
        <f>SUM(G3:G6)</f>
        <v>1</v>
      </c>
      <c r="H7" s="29">
        <f>SUM(H3:H6)</f>
        <v>1</v>
      </c>
      <c r="I7" s="29">
        <f>SUM(I3:I6)</f>
        <v>1</v>
      </c>
      <c r="J7" s="30">
        <f>SUM(J3:J6)</f>
        <v>1</v>
      </c>
      <c r="L7" s="23">
        <v>90</v>
      </c>
      <c r="M7" s="25">
        <f t="shared" si="0"/>
        <v>36.5742151782993</v>
      </c>
      <c r="N7" s="23">
        <v>120</v>
      </c>
      <c r="O7" s="31">
        <v>0.939</v>
      </c>
      <c r="P7" s="31">
        <v>0.872</v>
      </c>
      <c r="Q7" s="24">
        <v>0.41132977832842066</v>
      </c>
      <c r="R7" s="24">
        <v>0.28062137363348166</v>
      </c>
      <c r="S7" s="26">
        <v>0.019204564243603808</v>
      </c>
      <c r="AE7" s="10"/>
      <c r="AF7" s="23"/>
      <c r="AG7" s="10"/>
      <c r="AH7" s="23"/>
      <c r="AI7" s="24"/>
      <c r="AJ7" s="24"/>
      <c r="AK7" s="24"/>
      <c r="AL7" s="31"/>
      <c r="AM7" s="31"/>
      <c r="AN7" s="4"/>
    </row>
    <row r="8" spans="1:40" ht="12.75">
      <c r="A8" s="1"/>
      <c r="B8" s="12"/>
      <c r="C8" s="13"/>
      <c r="D8" s="13"/>
      <c r="E8" s="14" t="s">
        <v>8</v>
      </c>
      <c r="F8" s="35">
        <f>$C3*F3+$C4*F4+$C5*F5+$C6*F6</f>
        <v>1.9313899999999966</v>
      </c>
      <c r="G8" s="35">
        <f>$C3*G3+$C4*G4+$C5*G5+$C6*G6</f>
        <v>2.828334</v>
      </c>
      <c r="H8" s="36">
        <f>$C3*H3+$C4*H4+$C5*H5+$C6*H6</f>
        <v>10.902796813796886</v>
      </c>
      <c r="I8" s="36">
        <f>$C3*I3+$C4*I4+$C5*I5+$C6*I6</f>
        <v>17.22119159940039</v>
      </c>
      <c r="J8" s="35">
        <f>$C3*J3+$C4*J4+$C5*J5+$C6*J6</f>
        <v>29.857981170607406</v>
      </c>
      <c r="L8" s="23">
        <v>120</v>
      </c>
      <c r="M8" s="25">
        <f t="shared" si="0"/>
        <v>45.71776897287412</v>
      </c>
      <c r="N8" s="23">
        <v>150</v>
      </c>
      <c r="O8" s="31">
        <v>0.958</v>
      </c>
      <c r="P8" s="31">
        <v>0.905</v>
      </c>
      <c r="Q8" s="24">
        <v>0.5536885641237064</v>
      </c>
      <c r="R8" s="24">
        <v>0.39131378203917333</v>
      </c>
      <c r="S8" s="26">
        <v>0.0665642178701074</v>
      </c>
      <c r="AE8" s="10"/>
      <c r="AF8" s="23"/>
      <c r="AG8" s="10"/>
      <c r="AH8" s="23"/>
      <c r="AI8" s="24"/>
      <c r="AJ8" s="24"/>
      <c r="AK8" s="24"/>
      <c r="AL8" s="31"/>
      <c r="AM8" s="31"/>
      <c r="AN8" s="4"/>
    </row>
    <row r="9" spans="1:40" ht="12.75">
      <c r="A9" s="1"/>
      <c r="B9" s="4"/>
      <c r="C9" s="4"/>
      <c r="D9" s="4"/>
      <c r="E9" s="4"/>
      <c r="F9" s="4"/>
      <c r="G9" s="4"/>
      <c r="H9" s="4"/>
      <c r="I9" s="4"/>
      <c r="J9" s="4"/>
      <c r="L9" s="23">
        <v>150</v>
      </c>
      <c r="M9" s="25">
        <f t="shared" si="0"/>
        <v>54.86132276744895</v>
      </c>
      <c r="N9" s="23">
        <v>180</v>
      </c>
      <c r="O9" s="31">
        <v>0.968</v>
      </c>
      <c r="P9" s="31">
        <v>0.926</v>
      </c>
      <c r="Q9" s="24">
        <v>0.6644123424181659</v>
      </c>
      <c r="R9" s="24">
        <v>0.5095439677476216</v>
      </c>
      <c r="S9" s="26">
        <v>0.19980721840653304</v>
      </c>
      <c r="AE9" s="10"/>
      <c r="AF9" s="23"/>
      <c r="AG9" s="10"/>
      <c r="AH9" s="23"/>
      <c r="AI9" s="24"/>
      <c r="AJ9" s="24"/>
      <c r="AK9" s="24"/>
      <c r="AL9" s="31"/>
      <c r="AM9" s="31"/>
      <c r="AN9" s="4"/>
    </row>
    <row r="10" spans="1:40" ht="12.75">
      <c r="A10" s="1">
        <v>2</v>
      </c>
      <c r="B10" s="5"/>
      <c r="C10" s="6"/>
      <c r="D10" s="6"/>
      <c r="E10" s="7">
        <f>3.281*D10</f>
        <v>0</v>
      </c>
      <c r="F10" s="37">
        <f>IF($E10&gt;$N$47,1,VLOOKUP($E10,$N$3:$S$47,2)+((VLOOKUP($E10,$L$4:$S$48,4)-VLOOKUP($E10,$N$3:$S$47,2))*($E10-VLOOKUP($E10,$N$3:$S$47,1))/(VLOOKUP($E10,$L$4:$S$48,3)-VLOOKUP($E10,$N$3:$S$47,1))))</f>
        <v>0</v>
      </c>
      <c r="G10" s="33">
        <f>IF($E10&gt;$N$47,1,VLOOKUP($E10,$N$3:$S$47,3)+((VLOOKUP($E10,$L$4:$S$48,5)-VLOOKUP($E10,$N$3:$S$47,3))*($E10-VLOOKUP($E10,$N$3:$S$47,1))/(VLOOKUP($E10,$L$4:$S$48,3)-VLOOKUP($E10,$N$3:$S$47,1))))</f>
        <v>0</v>
      </c>
      <c r="H10" s="33">
        <f>IF($E10&gt;$N$47,1,VLOOKUP($E10,$N$3:$S$47,4)+((VLOOKUP($E10,$L$4:$S$48,6)-VLOOKUP($E10,$N$3:$S$47,4))*($E10-VLOOKUP($E10,$N$3:$S$47,1))/(VLOOKUP($E10,$L$4:$S$48,3)-VLOOKUP($E10,$N$3:$S$47,1))))</f>
        <v>0</v>
      </c>
      <c r="I10" s="33">
        <f>IF($E10&gt;$N$47,1,VLOOKUP($E10,$N$3:$S$47,5)+((VLOOKUP($E10,$L$4:$S$48,7)-VLOOKUP($E10,$N$3:$S$47,5))*($E10-VLOOKUP($E10,$N$3:$S$47,1))/(VLOOKUP($E10,$L$4:$S$48,3)-VLOOKUP($E10,$N$3:$S$47,1))))</f>
        <v>0</v>
      </c>
      <c r="J10" s="34">
        <f>IF($E10&gt;$N$47,1,VLOOKUP($E10,$N$3:$S$47,6)+((VLOOKUP($E10,$L$4:$S$48,8)-VLOOKUP($E10,$N$3:$S$47,6))*($E10-VLOOKUP($E10,$N$3:$S$47,1))/(VLOOKUP($E10,$L$4:$S$48,3)-VLOOKUP($E10,$N$3:$S$47,1))))</f>
        <v>0</v>
      </c>
      <c r="L10" s="23">
        <v>180</v>
      </c>
      <c r="M10" s="25">
        <f t="shared" si="0"/>
        <v>64.00487656202377</v>
      </c>
      <c r="N10" s="23">
        <v>210</v>
      </c>
      <c r="O10" s="31">
        <v>0.976</v>
      </c>
      <c r="P10" s="31">
        <v>0.946</v>
      </c>
      <c r="Q10" s="24">
        <v>0.7421972801769068</v>
      </c>
      <c r="R10" s="24">
        <v>0.5941772278711102</v>
      </c>
      <c r="S10" s="26">
        <v>0.2981371232595172</v>
      </c>
      <c r="AE10" s="10"/>
      <c r="AF10" s="23"/>
      <c r="AG10" s="10"/>
      <c r="AH10" s="23"/>
      <c r="AI10" s="24"/>
      <c r="AJ10" s="24"/>
      <c r="AK10" s="24"/>
      <c r="AL10" s="31"/>
      <c r="AM10" s="31"/>
      <c r="AN10" s="4"/>
    </row>
    <row r="11" spans="1:40" ht="12.75">
      <c r="A11" s="1"/>
      <c r="B11" s="8"/>
      <c r="C11" s="9"/>
      <c r="D11" s="9"/>
      <c r="E11" s="10">
        <f>3.281*D11</f>
        <v>0</v>
      </c>
      <c r="F11" s="38">
        <f>IF($E11&gt;$N$47,1-(F10),VLOOKUP($E11,$N$3:$S$47,2)+((VLOOKUP($E11,$L$4:$S$48,4)-VLOOKUP($E11,$N$3:$S$47,2))*($E11-VLOOKUP($E11,$N$3:$S$47,1))/(VLOOKUP($E11,$L$4:$S$48,3)-VLOOKUP($E11,$N$3:$S$47,1)))-(F10))</f>
        <v>0</v>
      </c>
      <c r="G11" s="24">
        <f>IF($E11&gt;$N$47,1-(G10),VLOOKUP($E11,$N$3:$S$47,3)+((VLOOKUP($E11,$L$4:$S$48,5)-VLOOKUP($E11,$N$3:$S$47,3))*($E11-VLOOKUP($E11,$N$3:$S$47,1))/(VLOOKUP($E11,$L$4:$S$48,3)-VLOOKUP($E11,$N$3:$S$47,1)))-(G10))</f>
        <v>0</v>
      </c>
      <c r="H11" s="24">
        <f>IF($E11&gt;$N$47,1-(H10),VLOOKUP($E11,$N$3:$S$47,4)+((VLOOKUP($E11,$L$4:$S$48,6)-VLOOKUP($E11,$N$3:$S$47,4))*($E11-VLOOKUP($E11,$N$3:$S$47,1))/(VLOOKUP($E11,$L$4:$S$48,3)-VLOOKUP($E11,$N$3:$S$47,1)))-(H10))</f>
        <v>0</v>
      </c>
      <c r="I11" s="24">
        <f>IF($E11&gt;$N$47,1-(I10),VLOOKUP($E11,$N$3:$S$47,5)+((VLOOKUP($E11,$L$4:$S$48,7)-VLOOKUP($E11,$N$3:$S$47,5))*($E11-VLOOKUP($E11,$N$3:$S$47,1))/(VLOOKUP($E11,$L$4:$S$48,3)-VLOOKUP($E11,$N$3:$S$47,1)))-(I10))</f>
        <v>0</v>
      </c>
      <c r="J11" s="26">
        <f>IF($E11&gt;$N$47,1-(J10),VLOOKUP($E11,$N$3:$S$47,6)+((VLOOKUP($E11,$L$4:$S$48,8)-VLOOKUP($E11,$N$3:$S$47,6))*($E11-VLOOKUP($E11,$N$3:$S$47,1))/(VLOOKUP($E11,$L$4:$S$48,3)-VLOOKUP($E11,$N$3:$S$47,1)))-(J10))</f>
        <v>0</v>
      </c>
      <c r="L11" s="23">
        <v>210</v>
      </c>
      <c r="M11" s="25">
        <f t="shared" si="0"/>
        <v>73.1484303565986</v>
      </c>
      <c r="N11" s="23">
        <v>240</v>
      </c>
      <c r="O11" s="31">
        <v>0.9840000000000001</v>
      </c>
      <c r="P11" s="31">
        <v>0.964</v>
      </c>
      <c r="Q11" s="24">
        <v>0.7937162421515479</v>
      </c>
      <c r="R11" s="24">
        <v>0.660794836697159</v>
      </c>
      <c r="S11" s="26">
        <v>0.3949520257883812</v>
      </c>
      <c r="AE11" s="10"/>
      <c r="AF11" s="23"/>
      <c r="AG11" s="10"/>
      <c r="AH11" s="23"/>
      <c r="AI11" s="24"/>
      <c r="AJ11" s="24"/>
      <c r="AK11" s="24"/>
      <c r="AL11" s="31"/>
      <c r="AM11" s="31"/>
      <c r="AN11" s="4"/>
    </row>
    <row r="12" spans="1:40" ht="12.75">
      <c r="A12" s="1"/>
      <c r="B12" s="8" t="s">
        <v>120</v>
      </c>
      <c r="C12" s="9">
        <v>1.3</v>
      </c>
      <c r="D12" s="9">
        <v>115</v>
      </c>
      <c r="E12" s="10">
        <f>3.281*D12</f>
        <v>377.315</v>
      </c>
      <c r="F12" s="38">
        <f>IF($E12&gt;$N$47,1-(F10+F11),VLOOKUP($E12,$N$3:$S$47,2)+((VLOOKUP($E12,$L$4:$S$48,4)-VLOOKUP($E12,$N$3:$S$47,2))*($E12-VLOOKUP($E12,$N$3:$S$47,1))/(VLOOKUP($E12,$L$4:$S$48,3)-VLOOKUP($E12,$N$3:$S$47,1)))-(F10+F11))</f>
        <v>1</v>
      </c>
      <c r="G12" s="24">
        <f>IF($E12&gt;$N$47,1-(G10+G11),VLOOKUP($E12,$N$3:$S$47,3)+((VLOOKUP($E12,$L$4:$S$48,5)-VLOOKUP($E12,$N$3:$S$47,3))*($E12-VLOOKUP($E12,$N$3:$S$47,1))/(VLOOKUP($E12,$L$4:$S$48,3)-VLOOKUP($E12,$N$3:$S$47,1)))-(G10+G11))</f>
        <v>1</v>
      </c>
      <c r="H12" s="24">
        <f>IF($E12&gt;$N$47,1-(H10+H11),VLOOKUP($E12,$N$3:$S$47,4)+((VLOOKUP($E12,$L$4:$S$48,6)-VLOOKUP($E12,$N$3:$S$47,4))*($E12-VLOOKUP($E12,$N$3:$S$47,1))/(VLOOKUP($E12,$L$4:$S$48,3)-VLOOKUP($E12,$N$3:$S$47,1)))-(H10+H11))</f>
        <v>0.9125053076878833</v>
      </c>
      <c r="I12" s="24">
        <f>IF($E12&gt;$N$47,1-(I10+I11),VLOOKUP($E12,$N$3:$S$47,5)+((VLOOKUP($E12,$L$4:$S$48,7)-VLOOKUP($E12,$N$3:$S$47,5))*($E12-VLOOKUP($E12,$N$3:$S$47,1))/(VLOOKUP($E12,$L$4:$S$48,3)-VLOOKUP($E12,$N$3:$S$47,1)))-(I10+I11))</f>
        <v>0.841725085137352</v>
      </c>
      <c r="J12" s="26">
        <f>IF($E12&gt;$N$47,1-(J10+J11),VLOOKUP($E12,$N$3:$S$47,6)+((VLOOKUP($E12,$L$4:$S$48,8)-VLOOKUP($E12,$N$3:$S$47,6))*($E12-VLOOKUP($E12,$N$3:$S$47,1))/(VLOOKUP($E12,$L$4:$S$48,3)-VLOOKUP($E12,$N$3:$S$47,1)))-(J10+J11))</f>
        <v>0.7001646400362891</v>
      </c>
      <c r="L12" s="23">
        <v>240</v>
      </c>
      <c r="M12" s="25">
        <f t="shared" si="0"/>
        <v>82.29198415117342</v>
      </c>
      <c r="N12" s="23">
        <v>270</v>
      </c>
      <c r="O12" s="31">
        <v>0.9890000000000001</v>
      </c>
      <c r="P12" s="31">
        <v>0.977</v>
      </c>
      <c r="Q12" s="24">
        <v>0.8305357694949576</v>
      </c>
      <c r="R12" s="24">
        <v>0.714632154019386</v>
      </c>
      <c r="S12" s="26">
        <v>0.48282492306824276</v>
      </c>
      <c r="AE12" s="10"/>
      <c r="AF12" s="23"/>
      <c r="AG12" s="10"/>
      <c r="AH12" s="23"/>
      <c r="AI12" s="24"/>
      <c r="AJ12" s="24"/>
      <c r="AK12" s="24"/>
      <c r="AL12" s="31"/>
      <c r="AM12" s="31"/>
      <c r="AN12" s="4"/>
    </row>
    <row r="13" spans="1:40" ht="12.75">
      <c r="A13" s="1"/>
      <c r="B13" s="8" t="s">
        <v>121</v>
      </c>
      <c r="C13" s="9">
        <v>50</v>
      </c>
      <c r="D13" s="9">
        <v>10000</v>
      </c>
      <c r="E13" s="10">
        <f>3.281*D13</f>
        <v>32810</v>
      </c>
      <c r="F13" s="38">
        <f>IF($E13&gt;$N$47,1-(F10+F11+F12),VLOOKUP($E13,$N$3:$S$47,2)+((VLOOKUP($E13,$L$4:$S$48,4)-VLOOKUP($E13,$N$3:$S$47,2))*($E13-VLOOKUP($E13,$N$3:$S$47,1))/(VLOOKUP($E13,$L$4:$S$48,3)-VLOOKUP($E13,$N$3:$S$47,1)))-(F10+F11+F12))</f>
        <v>0</v>
      </c>
      <c r="G13" s="24">
        <f>IF($E13&gt;$N$47,1-(G10+G11+G12),VLOOKUP($E13,$N$3:$S$47,3)+((VLOOKUP($E13,$L$4:$S$48,5)-VLOOKUP($E13,$N$3:$S$47,3))*($E13-VLOOKUP($E13,$N$3:$S$47,1))/(VLOOKUP($E13,$L$4:$S$48,3)-VLOOKUP($E13,$N$3:$S$47,1)))-(G10+G11+G12))</f>
        <v>0</v>
      </c>
      <c r="H13" s="24">
        <f>IF($E13&gt;$N$47,1-(H10+H11+H12),VLOOKUP($E13,$N$3:$S$47,4)+((VLOOKUP($E13,$L$4:$S$48,6)-VLOOKUP($E13,$N$3:$S$47,4))*($E13-VLOOKUP($E13,$N$3:$S$47,1))/(VLOOKUP($E13,$L$4:$S$48,3)-VLOOKUP($E13,$N$3:$S$47,1)))-(H10+H11+H12))</f>
        <v>0.0874946923121167</v>
      </c>
      <c r="I13" s="24">
        <f>IF($E13&gt;$N$47,1-(I10+I11+I12),VLOOKUP($E13,$N$3:$S$47,5)+((VLOOKUP($E13,$L$4:$S$48,7)-VLOOKUP($E13,$N$3:$S$47,5))*($E13-VLOOKUP($E13,$N$3:$S$47,1))/(VLOOKUP($E13,$L$4:$S$48,3)-VLOOKUP($E13,$N$3:$S$47,1)))-(I10+I11+I12))</f>
        <v>0.158274914862648</v>
      </c>
      <c r="J13" s="26">
        <f>IF($E13&gt;$N$47,1-(J10+J11+J12),VLOOKUP($E13,$N$3:$S$47,6)+((VLOOKUP($E13,$L$4:$S$48,8)-VLOOKUP($E13,$N$3:$S$47,6))*($E13-VLOOKUP($E13,$N$3:$S$47,1))/(VLOOKUP($E13,$L$4:$S$48,3)-VLOOKUP($E13,$N$3:$S$47,1)))-(J10+J11+J12))</f>
        <v>0.2998353599637109</v>
      </c>
      <c r="L13" s="23">
        <v>270</v>
      </c>
      <c r="M13" s="25">
        <f t="shared" si="0"/>
        <v>91.43553794574824</v>
      </c>
      <c r="N13" s="23">
        <v>300</v>
      </c>
      <c r="O13" s="31">
        <v>0.995</v>
      </c>
      <c r="P13" s="31">
        <v>0.987</v>
      </c>
      <c r="Q13" s="24">
        <v>0.8599110630242677</v>
      </c>
      <c r="R13" s="24">
        <v>0.7593047297230827</v>
      </c>
      <c r="S13" s="26">
        <v>0.5580920631207128</v>
      </c>
      <c r="AE13" s="10"/>
      <c r="AF13" s="23"/>
      <c r="AG13" s="10"/>
      <c r="AH13" s="23"/>
      <c r="AI13" s="24"/>
      <c r="AJ13" s="24"/>
      <c r="AK13" s="24"/>
      <c r="AL13" s="31"/>
      <c r="AM13" s="31"/>
      <c r="AN13" s="4"/>
    </row>
    <row r="14" spans="1:40" ht="12.75">
      <c r="A14" s="1"/>
      <c r="B14" s="11"/>
      <c r="C14" s="4"/>
      <c r="D14" s="4"/>
      <c r="E14" s="15" t="s">
        <v>7</v>
      </c>
      <c r="F14" s="39">
        <f>SUM(F10:F13)</f>
        <v>1</v>
      </c>
      <c r="G14" s="29">
        <f>SUM(G10:G13)</f>
        <v>1</v>
      </c>
      <c r="H14" s="29">
        <f>SUM(H10:H13)</f>
        <v>1</v>
      </c>
      <c r="I14" s="29">
        <f>SUM(I10:I13)</f>
        <v>1</v>
      </c>
      <c r="J14" s="30">
        <f>SUM(J10:J13)</f>
        <v>1</v>
      </c>
      <c r="L14" s="23">
        <v>300</v>
      </c>
      <c r="M14" s="25">
        <f t="shared" si="0"/>
        <v>100.57909174032307</v>
      </c>
      <c r="N14" s="23">
        <v>330</v>
      </c>
      <c r="O14" s="31">
        <v>1</v>
      </c>
      <c r="P14" s="31">
        <v>1</v>
      </c>
      <c r="Q14" s="24">
        <v>0.8829704638034174</v>
      </c>
      <c r="R14" s="24">
        <v>0.7957589864618675</v>
      </c>
      <c r="S14" s="26">
        <v>0.6213360317787675</v>
      </c>
      <c r="AE14" s="10"/>
      <c r="AF14" s="23"/>
      <c r="AG14" s="10"/>
      <c r="AH14" s="23"/>
      <c r="AI14" s="24"/>
      <c r="AJ14" s="24"/>
      <c r="AK14" s="24"/>
      <c r="AL14" s="31"/>
      <c r="AM14" s="31"/>
      <c r="AN14" s="4"/>
    </row>
    <row r="15" spans="1:40" ht="12.75">
      <c r="A15" s="1"/>
      <c r="B15" s="12"/>
      <c r="C15" s="13"/>
      <c r="D15" s="13"/>
      <c r="E15" s="14" t="s">
        <v>8</v>
      </c>
      <c r="F15" s="35">
        <f>$C10*F10+$C11*F11+$C12*F12+$C13*F13</f>
        <v>1.3</v>
      </c>
      <c r="G15" s="35">
        <f>$C10*G10+$C11*G11+$C12*G12+$C13*G13</f>
        <v>1.3</v>
      </c>
      <c r="H15" s="36">
        <f>$C10*H10+$C11*H11+$C12*H12+$C13*H13</f>
        <v>5.560991515600083</v>
      </c>
      <c r="I15" s="36">
        <f>$C10*I10+$C11*I11+$C12*I12+$C13*I13</f>
        <v>9.007988353810957</v>
      </c>
      <c r="J15" s="35">
        <f>$C10*J10+$C11*J11+$C12*J12+$C13*J13</f>
        <v>15.901982030232721</v>
      </c>
      <c r="L15" s="23">
        <v>330</v>
      </c>
      <c r="M15" s="25">
        <f t="shared" si="0"/>
        <v>109.7226455348979</v>
      </c>
      <c r="N15" s="23">
        <v>360</v>
      </c>
      <c r="O15" s="31">
        <v>1</v>
      </c>
      <c r="P15" s="31">
        <v>1</v>
      </c>
      <c r="Q15" s="24">
        <v>0.9017738383308108</v>
      </c>
      <c r="R15" s="24">
        <v>0.8259638413270001</v>
      </c>
      <c r="S15" s="26">
        <v>0.6743438473193784</v>
      </c>
      <c r="AE15" s="10"/>
      <c r="AF15" s="23"/>
      <c r="AG15" s="10"/>
      <c r="AH15" s="23"/>
      <c r="AI15" s="24"/>
      <c r="AJ15" s="24"/>
      <c r="AK15" s="24"/>
      <c r="AL15" s="31"/>
      <c r="AM15" s="31"/>
      <c r="AN15" s="4"/>
    </row>
    <row r="16" spans="1:40" ht="12.75">
      <c r="A16" s="1"/>
      <c r="B16" s="4"/>
      <c r="C16" s="4"/>
      <c r="D16" s="4"/>
      <c r="E16" s="4"/>
      <c r="F16" s="4"/>
      <c r="G16" s="4"/>
      <c r="H16" s="4"/>
      <c r="I16" s="4"/>
      <c r="J16" s="4"/>
      <c r="L16" s="23">
        <v>360</v>
      </c>
      <c r="M16" s="25">
        <f t="shared" si="0"/>
        <v>118.86619932947272</v>
      </c>
      <c r="N16" s="23">
        <v>390</v>
      </c>
      <c r="O16" s="31">
        <v>1</v>
      </c>
      <c r="P16" s="31">
        <v>1</v>
      </c>
      <c r="Q16" s="24">
        <v>0.9203672013520163</v>
      </c>
      <c r="R16" s="24">
        <v>0.8532718005710404</v>
      </c>
      <c r="S16" s="26">
        <v>0.719080999009088</v>
      </c>
      <c r="AE16" s="10"/>
      <c r="AF16" s="23"/>
      <c r="AG16" s="10"/>
      <c r="AH16" s="23"/>
      <c r="AI16" s="24"/>
      <c r="AJ16" s="24"/>
      <c r="AK16" s="24"/>
      <c r="AL16" s="31"/>
      <c r="AM16" s="31"/>
      <c r="AN16" s="4"/>
    </row>
    <row r="17" spans="1:40" ht="12.75">
      <c r="A17" s="1">
        <v>3</v>
      </c>
      <c r="B17" s="5"/>
      <c r="C17" s="6"/>
      <c r="D17" s="6"/>
      <c r="E17" s="7">
        <f>3.281*D17</f>
        <v>0</v>
      </c>
      <c r="F17" s="37">
        <f>IF($E17&gt;$N$47,1,VLOOKUP($E17,$N$3:$S$47,2)+((VLOOKUP($E17,$L$4:$S$48,4)-VLOOKUP($E17,$N$3:$S$47,2))*($E17-VLOOKUP($E17,$N$3:$S$47,1))/(VLOOKUP($E17,$L$4:$S$48,3)-VLOOKUP($E17,$N$3:$S$47,1))))</f>
        <v>0</v>
      </c>
      <c r="G17" s="33">
        <f>IF($E17&gt;$N$47,1,VLOOKUP($E17,$N$3:$S$47,3)+((VLOOKUP($E17,$L$4:$S$48,5)-VLOOKUP($E17,$N$3:$S$47,3))*($E17-VLOOKUP($E17,$N$3:$S$47,1))/(VLOOKUP($E17,$L$4:$S$48,3)-VLOOKUP($E17,$N$3:$S$47,1))))</f>
        <v>0</v>
      </c>
      <c r="H17" s="33">
        <f>IF($E17&gt;$N$47,1,VLOOKUP($E17,$N$3:$S$47,4)+((VLOOKUP($E17,$L$4:$S$48,6)-VLOOKUP($E17,$N$3:$S$47,4))*($E17-VLOOKUP($E17,$N$3:$S$47,1))/(VLOOKUP($E17,$L$4:$S$48,3)-VLOOKUP($E17,$N$3:$S$47,1))))</f>
        <v>0</v>
      </c>
      <c r="I17" s="33">
        <f>IF($E17&gt;$N$47,1,VLOOKUP($E17,$N$3:$S$47,5)+((VLOOKUP($E17,$L$4:$S$48,7)-VLOOKUP($E17,$N$3:$S$47,5))*($E17-VLOOKUP($E17,$N$3:$S$47,1))/(VLOOKUP($E17,$L$4:$S$48,3)-VLOOKUP($E17,$N$3:$S$47,1))))</f>
        <v>0</v>
      </c>
      <c r="J17" s="34">
        <f>IF($E17&gt;$N$47,1,VLOOKUP($E17,$N$3:$S$47,6)+((VLOOKUP($E17,$L$4:$S$48,8)-VLOOKUP($E17,$N$3:$S$47,6))*($E17-VLOOKUP($E17,$N$3:$S$47,1))/(VLOOKUP($E17,$L$4:$S$48,3)-VLOOKUP($E17,$N$3:$S$47,1))))</f>
        <v>0</v>
      </c>
      <c r="L17" s="23">
        <v>390</v>
      </c>
      <c r="M17" s="25">
        <f t="shared" si="0"/>
        <v>128.00975312404753</v>
      </c>
      <c r="N17" s="23">
        <v>420</v>
      </c>
      <c r="O17" s="31">
        <v>1</v>
      </c>
      <c r="P17" s="31">
        <v>1</v>
      </c>
      <c r="Q17" s="24">
        <v>0.9355994496571307</v>
      </c>
      <c r="R17" s="24">
        <v>0.8763291102215937</v>
      </c>
      <c r="S17" s="26">
        <v>0.7577884313505191</v>
      </c>
      <c r="AE17" s="10"/>
      <c r="AF17" s="23"/>
      <c r="AG17" s="10"/>
      <c r="AH17" s="23"/>
      <c r="AI17" s="24"/>
      <c r="AJ17" s="24"/>
      <c r="AK17" s="24"/>
      <c r="AL17" s="31"/>
      <c r="AM17" s="31"/>
      <c r="AN17" s="4"/>
    </row>
    <row r="18" spans="1:40" ht="12.75">
      <c r="A18" s="1"/>
      <c r="B18" s="8"/>
      <c r="C18" s="9"/>
      <c r="D18" s="9"/>
      <c r="E18" s="10">
        <f>3.281*D18</f>
        <v>0</v>
      </c>
      <c r="F18" s="38">
        <f>IF($E18&gt;$N$47,1-(F17),VLOOKUP($E18,$N$3:$S$47,2)+((VLOOKUP($E18,$L$4:$S$48,4)-VLOOKUP($E18,$N$3:$S$47,2))*($E18-VLOOKUP($E18,$N$3:$S$47,1))/(VLOOKUP($E18,$L$4:$S$48,3)-VLOOKUP($E18,$N$3:$S$47,1)))-(F17))</f>
        <v>0</v>
      </c>
      <c r="G18" s="24">
        <f>IF($E18&gt;$N$47,1-(G17),VLOOKUP($E18,$N$3:$S$47,3)+((VLOOKUP($E18,$L$4:$S$48,5)-VLOOKUP($E18,$N$3:$S$47,3))*($E18-VLOOKUP($E18,$N$3:$S$47,1))/(VLOOKUP($E18,$L$4:$S$48,3)-VLOOKUP($E18,$N$3:$S$47,1)))-(G17))</f>
        <v>0</v>
      </c>
      <c r="H18" s="24">
        <f>IF($E18&gt;$N$47,1-(H17),VLOOKUP($E18,$N$3:$S$47,4)+((VLOOKUP($E18,$L$4:$S$48,6)-VLOOKUP($E18,$N$3:$S$47,4))*($E18-VLOOKUP($E18,$N$3:$S$47,1))/(VLOOKUP($E18,$L$4:$S$48,3)-VLOOKUP($E18,$N$3:$S$47,1)))-(H17))</f>
        <v>0</v>
      </c>
      <c r="I18" s="24">
        <f>IF($E18&gt;$N$47,1-(I17),VLOOKUP($E18,$N$3:$S$47,5)+((VLOOKUP($E18,$L$4:$S$48,7)-VLOOKUP($E18,$N$3:$S$47,5))*($E18-VLOOKUP($E18,$N$3:$S$47,1))/(VLOOKUP($E18,$L$4:$S$48,3)-VLOOKUP($E18,$N$3:$S$47,1)))-(I17))</f>
        <v>0</v>
      </c>
      <c r="J18" s="26">
        <f>IF($E18&gt;$N$47,1-(J17),VLOOKUP($E18,$N$3:$S$47,6)+((VLOOKUP($E18,$L$4:$S$48,8)-VLOOKUP($E18,$N$3:$S$47,6))*($E18-VLOOKUP($E18,$N$3:$S$47,1))/(VLOOKUP($E18,$L$4:$S$48,3)-VLOOKUP($E18,$N$3:$S$47,1)))-(J17))</f>
        <v>0</v>
      </c>
      <c r="L18" s="23">
        <v>420</v>
      </c>
      <c r="M18" s="25">
        <f t="shared" si="0"/>
        <v>137.15330691862238</v>
      </c>
      <c r="N18" s="23">
        <v>450</v>
      </c>
      <c r="O18" s="31">
        <v>1</v>
      </c>
      <c r="P18" s="31">
        <v>1</v>
      </c>
      <c r="Q18" s="24">
        <v>0.9494358629533418</v>
      </c>
      <c r="R18" s="24">
        <v>0.8969761050457888</v>
      </c>
      <c r="S18" s="26">
        <v>0.7920565892306826</v>
      </c>
      <c r="AE18" s="10"/>
      <c r="AF18" s="23"/>
      <c r="AG18" s="10"/>
      <c r="AH18" s="23"/>
      <c r="AI18" s="24"/>
      <c r="AJ18" s="24"/>
      <c r="AK18" s="24"/>
      <c r="AL18" s="31"/>
      <c r="AM18" s="31"/>
      <c r="AN18" s="4"/>
    </row>
    <row r="19" spans="1:40" ht="12.75">
      <c r="A19" s="1"/>
      <c r="B19" s="8" t="s">
        <v>120</v>
      </c>
      <c r="C19" s="9">
        <v>1.5</v>
      </c>
      <c r="D19" s="9">
        <v>150</v>
      </c>
      <c r="E19" s="10">
        <f>3.281*D19</f>
        <v>492.15000000000003</v>
      </c>
      <c r="F19" s="38">
        <f>IF($E19&gt;$N$47,1-(F17+F18),VLOOKUP($E19,$N$3:$S$47,2)+((VLOOKUP($E19,$L$4:$S$48,4)-VLOOKUP($E19,$N$3:$S$47,2))*($E19-VLOOKUP($E19,$N$3:$S$47,1))/(VLOOKUP($E19,$L$4:$S$48,3)-VLOOKUP($E19,$N$3:$S$47,1)))-(F17+F18))</f>
        <v>1</v>
      </c>
      <c r="G19" s="24">
        <f>IF($E19&gt;$N$47,1-(G17+G18),VLOOKUP($E19,$N$3:$S$47,3)+((VLOOKUP($E19,$L$4:$S$48,5)-VLOOKUP($E19,$N$3:$S$47,3))*($E19-VLOOKUP($E19,$N$3:$S$47,1))/(VLOOKUP($E19,$L$4:$S$48,3)-VLOOKUP($E19,$N$3:$S$47,1)))-(G17+G18))</f>
        <v>1</v>
      </c>
      <c r="H19" s="24">
        <f>IF($E19&gt;$N$47,1-(H17+H18),VLOOKUP($E19,$N$3:$S$47,4)+((VLOOKUP($E19,$L$4:$S$48,6)-VLOOKUP($E19,$N$3:$S$47,4))*($E19-VLOOKUP($E19,$N$3:$S$47,1))/(VLOOKUP($E19,$L$4:$S$48,3)-VLOOKUP($E19,$N$3:$S$47,1)))-(H17+H18))</f>
        <v>0.9631953514151261</v>
      </c>
      <c r="I19" s="24">
        <f>IF($E19&gt;$N$47,1-(I17+I18),VLOOKUP($E19,$N$3:$S$47,5)+((VLOOKUP($E19,$L$4:$S$48,7)-VLOOKUP($E19,$N$3:$S$47,5))*($E19-VLOOKUP($E19,$N$3:$S$47,1))/(VLOOKUP($E19,$L$4:$S$48,3)-VLOOKUP($E19,$N$3:$S$47,1)))-(I17+I18))</f>
        <v>0.9200180832107359</v>
      </c>
      <c r="J19" s="26">
        <f>IF($E19&gt;$N$47,1-(J17+J18),VLOOKUP($E19,$N$3:$S$47,6)+((VLOOKUP($E19,$L$4:$S$48,8)-VLOOKUP($E19,$N$3:$S$47,6))*($E19-VLOOKUP($E19,$N$3:$S$47,1))/(VLOOKUP($E19,$L$4:$S$48,3)-VLOOKUP($E19,$N$3:$S$47,1)))-(J17+J18))</f>
        <v>0.8336635468019546</v>
      </c>
      <c r="L19" s="23">
        <v>450</v>
      </c>
      <c r="M19" s="25">
        <f t="shared" si="0"/>
        <v>146.2968607131972</v>
      </c>
      <c r="N19" s="23">
        <v>480</v>
      </c>
      <c r="O19" s="31">
        <v>1</v>
      </c>
      <c r="P19" s="31">
        <v>1</v>
      </c>
      <c r="Q19" s="24">
        <v>0.9599736292721632</v>
      </c>
      <c r="R19" s="24">
        <v>0.9142004357550436</v>
      </c>
      <c r="S19" s="26">
        <v>0.8226540487208039</v>
      </c>
      <c r="AE19" s="10"/>
      <c r="AF19" s="23"/>
      <c r="AG19" s="10"/>
      <c r="AH19" s="23"/>
      <c r="AI19" s="24"/>
      <c r="AJ19" s="24"/>
      <c r="AK19" s="24"/>
      <c r="AL19" s="31"/>
      <c r="AM19" s="31"/>
      <c r="AN19" s="4"/>
    </row>
    <row r="20" spans="1:40" ht="12.75">
      <c r="A20" s="1"/>
      <c r="B20" s="8" t="s">
        <v>121</v>
      </c>
      <c r="C20" s="9">
        <v>50</v>
      </c>
      <c r="D20" s="9">
        <v>10000</v>
      </c>
      <c r="E20" s="10">
        <f>3.281*D20</f>
        <v>32810</v>
      </c>
      <c r="F20" s="38">
        <f>IF($E20&gt;$N$47,1-(F17+F18+F19),VLOOKUP($E20,$N$3:$S$47,2)+((VLOOKUP($E20,$L$4:$S$48,4)-VLOOKUP($E20,$N$3:$S$47,2))*($E20-VLOOKUP($E20,$N$3:$S$47,1))/(VLOOKUP($E20,$L$4:$S$48,3)-VLOOKUP($E20,$N$3:$S$47,1)))-(F17+F18+F19))</f>
        <v>0</v>
      </c>
      <c r="G20" s="24">
        <f>IF($E20&gt;$N$47,1-(G17+G18+G19),VLOOKUP($E20,$N$3:$S$47,3)+((VLOOKUP($E20,$L$4:$S$48,5)-VLOOKUP($E20,$N$3:$S$47,3))*($E20-VLOOKUP($E20,$N$3:$S$47,1))/(VLOOKUP($E20,$L$4:$S$48,3)-VLOOKUP($E20,$N$3:$S$47,1)))-(G17+G18+G19))</f>
        <v>0</v>
      </c>
      <c r="H20" s="24">
        <f>IF($E20&gt;$N$47,1-(H17+H18+H19),VLOOKUP($E20,$N$3:$S$47,4)+((VLOOKUP($E20,$L$4:$S$48,6)-VLOOKUP($E20,$N$3:$S$47,4))*($E20-VLOOKUP($E20,$N$3:$S$47,1))/(VLOOKUP($E20,$L$4:$S$48,3)-VLOOKUP($E20,$N$3:$S$47,1)))-(H17+H18+H19))</f>
        <v>0.03680464858487387</v>
      </c>
      <c r="I20" s="24">
        <f>IF($E20&gt;$N$47,1-(I17+I18+I19),VLOOKUP($E20,$N$3:$S$47,5)+((VLOOKUP($E20,$L$4:$S$48,7)-VLOOKUP($E20,$N$3:$S$47,5))*($E20-VLOOKUP($E20,$N$3:$S$47,1))/(VLOOKUP($E20,$L$4:$S$48,3)-VLOOKUP($E20,$N$3:$S$47,1)))-(I17+I18+I19))</f>
        <v>0.07998191678926414</v>
      </c>
      <c r="J20" s="26">
        <f>IF($E20&gt;$N$47,1-(J17+J18+J19),VLOOKUP($E20,$N$3:$S$47,6)+((VLOOKUP($E20,$L$4:$S$48,8)-VLOOKUP($E20,$N$3:$S$47,6))*($E20-VLOOKUP($E20,$N$3:$S$47,1))/(VLOOKUP($E20,$L$4:$S$48,3)-VLOOKUP($E20,$N$3:$S$47,1)))-(J17+J18+J19))</f>
        <v>0.16633645319804535</v>
      </c>
      <c r="L20" s="23">
        <v>480</v>
      </c>
      <c r="M20" s="25">
        <f t="shared" si="0"/>
        <v>155.440414507772</v>
      </c>
      <c r="N20" s="23">
        <v>510</v>
      </c>
      <c r="O20" s="31">
        <v>1</v>
      </c>
      <c r="P20" s="31">
        <v>1</v>
      </c>
      <c r="Q20" s="24">
        <v>0.9679284987609604</v>
      </c>
      <c r="R20" s="24">
        <v>0.9285649973740366</v>
      </c>
      <c r="S20" s="26">
        <v>0.8498379946001884</v>
      </c>
      <c r="AE20" s="10"/>
      <c r="AF20" s="23"/>
      <c r="AG20" s="10"/>
      <c r="AH20" s="23"/>
      <c r="AI20" s="24"/>
      <c r="AJ20" s="24"/>
      <c r="AK20" s="24"/>
      <c r="AL20" s="31"/>
      <c r="AM20" s="31"/>
      <c r="AN20" s="4"/>
    </row>
    <row r="21" spans="1:40" ht="12.75">
      <c r="A21" s="1"/>
      <c r="B21" s="11"/>
      <c r="C21" s="4"/>
      <c r="D21" s="4"/>
      <c r="E21" s="15" t="s">
        <v>7</v>
      </c>
      <c r="F21" s="39">
        <f>SUM(F17:F20)</f>
        <v>1</v>
      </c>
      <c r="G21" s="29">
        <f>SUM(G17:G20)</f>
        <v>1</v>
      </c>
      <c r="H21" s="29">
        <f>SUM(H17:H20)</f>
        <v>1</v>
      </c>
      <c r="I21" s="29">
        <f>SUM(I17:I20)</f>
        <v>1</v>
      </c>
      <c r="J21" s="30">
        <f>SUM(J17:J20)</f>
        <v>1</v>
      </c>
      <c r="L21" s="23">
        <v>510</v>
      </c>
      <c r="M21" s="25">
        <f t="shared" si="0"/>
        <v>164.58396830234685</v>
      </c>
      <c r="N21" s="23">
        <v>540</v>
      </c>
      <c r="O21" s="31">
        <v>1</v>
      </c>
      <c r="P21" s="31">
        <v>1</v>
      </c>
      <c r="Q21" s="24">
        <v>0.9741375918226365</v>
      </c>
      <c r="R21" s="24">
        <v>0.9406020255715584</v>
      </c>
      <c r="S21" s="26">
        <v>0.8735308930694013</v>
      </c>
      <c r="AE21" s="10"/>
      <c r="AF21" s="23"/>
      <c r="AG21" s="10"/>
      <c r="AH21" s="23"/>
      <c r="AI21" s="24"/>
      <c r="AJ21" s="24"/>
      <c r="AK21" s="24"/>
      <c r="AL21" s="31"/>
      <c r="AM21" s="31"/>
      <c r="AN21" s="4"/>
    </row>
    <row r="22" spans="1:40" ht="12.75">
      <c r="A22" s="1"/>
      <c r="B22" s="12"/>
      <c r="C22" s="13"/>
      <c r="D22" s="13"/>
      <c r="E22" s="14" t="s">
        <v>8</v>
      </c>
      <c r="F22" s="35">
        <f>$C17*F17+$C18*F18+$C19*F19+$C20*F20</f>
        <v>1.5</v>
      </c>
      <c r="G22" s="35">
        <f>$C17*G17+$C18*G18+$C19*G19+$C20*G20</f>
        <v>1.5</v>
      </c>
      <c r="H22" s="36">
        <f>$C17*H17+$C18*H18+$C19*H19+$C20*H20</f>
        <v>3.2850254563663825</v>
      </c>
      <c r="I22" s="36">
        <f>$C17*I17+$C18*I18+$C19*I19+$C20*I20</f>
        <v>5.379122964279311</v>
      </c>
      <c r="J22" s="35">
        <f>$C17*J17+$C18*J18+$C19*J19+$C20*J20</f>
        <v>9.5673179801052</v>
      </c>
      <c r="L22" s="23">
        <v>540</v>
      </c>
      <c r="M22" s="25">
        <f t="shared" si="0"/>
        <v>173.72752209692166</v>
      </c>
      <c r="N22" s="23">
        <v>570</v>
      </c>
      <c r="O22" s="31">
        <v>1</v>
      </c>
      <c r="P22" s="31">
        <v>1</v>
      </c>
      <c r="Q22" s="24">
        <v>0.9802859787913412</v>
      </c>
      <c r="R22" s="24">
        <v>0.9495034753691369</v>
      </c>
      <c r="S22" s="26">
        <v>0.8879384685247279</v>
      </c>
      <c r="AE22" s="10"/>
      <c r="AF22" s="23"/>
      <c r="AG22" s="10"/>
      <c r="AH22" s="23"/>
      <c r="AI22" s="24"/>
      <c r="AJ22" s="24"/>
      <c r="AK22" s="24"/>
      <c r="AL22" s="31"/>
      <c r="AM22" s="31"/>
      <c r="AN22" s="4"/>
    </row>
    <row r="23" spans="1:40" ht="12.75">
      <c r="A23" s="1"/>
      <c r="B23" s="4"/>
      <c r="C23" s="4"/>
      <c r="D23" s="4"/>
      <c r="E23" s="4"/>
      <c r="F23" s="4"/>
      <c r="G23" s="4"/>
      <c r="H23" s="4"/>
      <c r="I23" s="4"/>
      <c r="J23" s="4"/>
      <c r="L23" s="23">
        <v>570</v>
      </c>
      <c r="M23" s="25">
        <f t="shared" si="0"/>
        <v>182.87107589149647</v>
      </c>
      <c r="N23" s="23">
        <v>600</v>
      </c>
      <c r="O23" s="31">
        <v>1</v>
      </c>
      <c r="P23" s="31">
        <v>1</v>
      </c>
      <c r="Q23" s="24">
        <v>0.9827570223113482</v>
      </c>
      <c r="R23" s="24">
        <v>0.9561773514100891</v>
      </c>
      <c r="S23" s="26">
        <v>0.9030180096075704</v>
      </c>
      <c r="AE23" s="10"/>
      <c r="AF23" s="23"/>
      <c r="AG23" s="10"/>
      <c r="AH23" s="23"/>
      <c r="AI23" s="24"/>
      <c r="AJ23" s="24"/>
      <c r="AK23" s="24"/>
      <c r="AL23" s="31"/>
      <c r="AM23" s="31"/>
      <c r="AN23" s="4"/>
    </row>
    <row r="24" spans="1:40" ht="12.75">
      <c r="A24" s="1">
        <v>4</v>
      </c>
      <c r="B24" s="5"/>
      <c r="C24" s="6"/>
      <c r="D24" s="6"/>
      <c r="E24" s="7">
        <f>3.281*D24</f>
        <v>0</v>
      </c>
      <c r="F24" s="37">
        <f>IF($E24&gt;$N$47,1,VLOOKUP($E24,$N$3:$S$47,2)+((VLOOKUP($E24,$L$4:$S$48,4)-VLOOKUP($E24,$N$3:$S$47,2))*($E24-VLOOKUP($E24,$N$3:$S$47,1))/(VLOOKUP($E24,$L$4:$S$48,3)-VLOOKUP($E24,$N$3:$S$47,1))))</f>
        <v>0</v>
      </c>
      <c r="G24" s="33">
        <f>IF($E24&gt;$N$47,1,VLOOKUP($E24,$N$3:$S$47,3)+((VLOOKUP($E24,$L$4:$S$48,5)-VLOOKUP($E24,$N$3:$S$47,3))*($E24-VLOOKUP($E24,$N$3:$S$47,1))/(VLOOKUP($E24,$L$4:$S$48,3)-VLOOKUP($E24,$N$3:$S$47,1))))</f>
        <v>0</v>
      </c>
      <c r="H24" s="33">
        <f>IF($E24&gt;$N$47,1,VLOOKUP($E24,$N$3:$S$47,4)+((VLOOKUP($E24,$L$4:$S$48,6)-VLOOKUP($E24,$N$3:$S$47,4))*($E24-VLOOKUP($E24,$N$3:$S$47,1))/(VLOOKUP($E24,$L$4:$S$48,3)-VLOOKUP($E24,$N$3:$S$47,1))))</f>
        <v>0</v>
      </c>
      <c r="I24" s="33">
        <f>IF($E24&gt;$N$47,1,VLOOKUP($E24,$N$3:$S$47,5)+((VLOOKUP($E24,$L$4:$S$48,7)-VLOOKUP($E24,$N$3:$S$47,5))*($E24-VLOOKUP($E24,$N$3:$S$47,1))/(VLOOKUP($E24,$L$4:$S$48,3)-VLOOKUP($E24,$N$3:$S$47,1))))</f>
        <v>0</v>
      </c>
      <c r="J24" s="34">
        <f>IF($E24&gt;$N$47,1,VLOOKUP($E24,$N$3:$S$47,6)+((VLOOKUP($E24,$L$4:$S$48,8)-VLOOKUP($E24,$N$3:$S$47,6))*($E24-VLOOKUP($E24,$N$3:$S$47,1))/(VLOOKUP($E24,$L$4:$S$48,3)-VLOOKUP($E24,$N$3:$S$47,1))))</f>
        <v>0</v>
      </c>
      <c r="L24" s="23">
        <v>600</v>
      </c>
      <c r="M24" s="25">
        <f t="shared" si="0"/>
        <v>192.01462968607132</v>
      </c>
      <c r="N24" s="23">
        <v>630</v>
      </c>
      <c r="O24" s="31">
        <v>1</v>
      </c>
      <c r="P24" s="31">
        <v>1</v>
      </c>
      <c r="Q24" s="24">
        <v>0.9857560472872047</v>
      </c>
      <c r="R24" s="24">
        <v>0.9645289837214898</v>
      </c>
      <c r="S24" s="26">
        <v>0.9220748565900594</v>
      </c>
      <c r="AE24" s="10"/>
      <c r="AF24" s="23"/>
      <c r="AG24" s="10"/>
      <c r="AH24" s="23"/>
      <c r="AI24" s="24"/>
      <c r="AJ24" s="24"/>
      <c r="AK24" s="24"/>
      <c r="AL24" s="31"/>
      <c r="AM24" s="31"/>
      <c r="AN24" s="4"/>
    </row>
    <row r="25" spans="1:40" ht="12.75">
      <c r="A25" s="1"/>
      <c r="B25" s="8"/>
      <c r="C25" s="9"/>
      <c r="D25" s="9"/>
      <c r="E25" s="10">
        <f>3.281*D25</f>
        <v>0</v>
      </c>
      <c r="F25" s="38">
        <f>IF($E25&gt;$N$47,1-(F24),VLOOKUP($E25,$N$3:$S$47,2)+((VLOOKUP($E25,$L$4:$S$48,4)-VLOOKUP($E25,$N$3:$S$47,2))*($E25-VLOOKUP($E25,$N$3:$S$47,1))/(VLOOKUP($E25,$L$4:$S$48,3)-VLOOKUP($E25,$N$3:$S$47,1)))-(F24))</f>
        <v>0</v>
      </c>
      <c r="G25" s="24">
        <f>IF($E25&gt;$N$47,1-(G24),VLOOKUP($E25,$N$3:$S$47,3)+((VLOOKUP($E25,$L$4:$S$48,5)-VLOOKUP($E25,$N$3:$S$47,3))*($E25-VLOOKUP($E25,$N$3:$S$47,1))/(VLOOKUP($E25,$L$4:$S$48,3)-VLOOKUP($E25,$N$3:$S$47,1)))-(G24))</f>
        <v>0</v>
      </c>
      <c r="H25" s="24">
        <f>IF($E25&gt;$N$47,1-(H24),VLOOKUP($E25,$N$3:$S$47,4)+((VLOOKUP($E25,$L$4:$S$48,6)-VLOOKUP($E25,$N$3:$S$47,4))*($E25-VLOOKUP($E25,$N$3:$S$47,1))/(VLOOKUP($E25,$L$4:$S$48,3)-VLOOKUP($E25,$N$3:$S$47,1)))-(H24))</f>
        <v>0</v>
      </c>
      <c r="I25" s="24">
        <f>IF($E25&gt;$N$47,1-(I24),VLOOKUP($E25,$N$3:$S$47,5)+((VLOOKUP($E25,$L$4:$S$48,7)-VLOOKUP($E25,$N$3:$S$47,5))*($E25-VLOOKUP($E25,$N$3:$S$47,1))/(VLOOKUP($E25,$L$4:$S$48,3)-VLOOKUP($E25,$N$3:$S$47,1)))-(I24))</f>
        <v>0</v>
      </c>
      <c r="J25" s="26">
        <f>IF($E25&gt;$N$47,1-(J24),VLOOKUP($E25,$N$3:$S$47,6)+((VLOOKUP($E25,$L$4:$S$48,8)-VLOOKUP($E25,$N$3:$S$47,6))*($E25-VLOOKUP($E25,$N$3:$S$47,1))/(VLOOKUP($E25,$L$4:$S$48,3)-VLOOKUP($E25,$N$3:$S$47,1)))-(J24))</f>
        <v>0</v>
      </c>
      <c r="L25" s="23">
        <v>630</v>
      </c>
      <c r="M25" s="25">
        <f t="shared" si="0"/>
        <v>201.15818348064613</v>
      </c>
      <c r="N25" s="23">
        <v>660</v>
      </c>
      <c r="O25" s="31">
        <v>1</v>
      </c>
      <c r="P25" s="31">
        <v>1</v>
      </c>
      <c r="Q25" s="24">
        <v>0.9891358737599741</v>
      </c>
      <c r="R25" s="24">
        <v>0.9702346285361253</v>
      </c>
      <c r="S25" s="26">
        <v>0.9324321380884272</v>
      </c>
      <c r="AE25" s="10"/>
      <c r="AF25" s="23"/>
      <c r="AG25" s="10"/>
      <c r="AH25" s="23"/>
      <c r="AI25" s="24"/>
      <c r="AJ25" s="24"/>
      <c r="AK25" s="24"/>
      <c r="AL25" s="31"/>
      <c r="AM25" s="31"/>
      <c r="AN25" s="4"/>
    </row>
    <row r="26" spans="1:40" ht="12.75">
      <c r="A26" s="1"/>
      <c r="B26" s="8" t="s">
        <v>120</v>
      </c>
      <c r="C26" s="9"/>
      <c r="D26" s="9"/>
      <c r="E26" s="10">
        <f>3.281*D26</f>
        <v>0</v>
      </c>
      <c r="F26" s="38">
        <f>IF($E26&gt;$N$47,1-(F24+F25),VLOOKUP($E26,$N$3:$S$47,2)+((VLOOKUP($E26,$L$4:$S$48,4)-VLOOKUP($E26,$N$3:$S$47,2))*($E26-VLOOKUP($E26,$N$3:$S$47,1))/(VLOOKUP($E26,$L$4:$S$48,3)-VLOOKUP($E26,$N$3:$S$47,1)))-(F24+F25))</f>
        <v>0</v>
      </c>
      <c r="G26" s="24">
        <f>IF($E26&gt;$N$47,1-(G24+G25),VLOOKUP($E26,$N$3:$S$47,3)+((VLOOKUP($E26,$L$4:$S$48,5)-VLOOKUP($E26,$N$3:$S$47,3))*($E26-VLOOKUP($E26,$N$3:$S$47,1))/(VLOOKUP($E26,$L$4:$S$48,3)-VLOOKUP($E26,$N$3:$S$47,1)))-(G24+G25))</f>
        <v>0</v>
      </c>
      <c r="H26" s="24">
        <f>IF($E26&gt;$N$47,1-(H24+H25),VLOOKUP($E26,$N$3:$S$47,4)+((VLOOKUP($E26,$L$4:$S$48,6)-VLOOKUP($E26,$N$3:$S$47,4))*($E26-VLOOKUP($E26,$N$3:$S$47,1))/(VLOOKUP($E26,$L$4:$S$48,3)-VLOOKUP($E26,$N$3:$S$47,1)))-(H24+H25))</f>
        <v>0</v>
      </c>
      <c r="I26" s="24">
        <f>IF($E26&gt;$N$47,1-(I24+I25),VLOOKUP($E26,$N$3:$S$47,5)+((VLOOKUP($E26,$L$4:$S$48,7)-VLOOKUP($E26,$N$3:$S$47,5))*($E26-VLOOKUP($E26,$N$3:$S$47,1))/(VLOOKUP($E26,$L$4:$S$48,3)-VLOOKUP($E26,$N$3:$S$47,1)))-(I24+I25))</f>
        <v>0</v>
      </c>
      <c r="J26" s="26">
        <f>IF($E26&gt;$N$47,1-(J24+J25),VLOOKUP($E26,$N$3:$S$47,6)+((VLOOKUP($E26,$L$4:$S$48,8)-VLOOKUP($E26,$N$3:$S$47,6))*($E26-VLOOKUP($E26,$N$3:$S$47,1))/(VLOOKUP($E26,$L$4:$S$48,3)-VLOOKUP($E26,$N$3:$S$47,1)))-(J24+J25))</f>
        <v>0</v>
      </c>
      <c r="L26" s="23">
        <v>660</v>
      </c>
      <c r="M26" s="25">
        <f t="shared" si="0"/>
        <v>210.30173727522097</v>
      </c>
      <c r="N26" s="23">
        <v>690</v>
      </c>
      <c r="O26" s="31">
        <v>1</v>
      </c>
      <c r="P26" s="31">
        <v>1</v>
      </c>
      <c r="Q26" s="24">
        <v>0.9908827060545136</v>
      </c>
      <c r="R26" s="24">
        <v>0.9749429974756338</v>
      </c>
      <c r="S26" s="26">
        <v>0.943063580317874</v>
      </c>
      <c r="AE26" s="10"/>
      <c r="AF26" s="23"/>
      <c r="AG26" s="10"/>
      <c r="AH26" s="23"/>
      <c r="AI26" s="24"/>
      <c r="AJ26" s="24"/>
      <c r="AK26" s="24"/>
      <c r="AL26" s="31"/>
      <c r="AM26" s="31"/>
      <c r="AN26" s="4"/>
    </row>
    <row r="27" spans="1:40" ht="12.75">
      <c r="A27" s="1"/>
      <c r="B27" s="8" t="s">
        <v>121</v>
      </c>
      <c r="C27" s="9"/>
      <c r="D27" s="9"/>
      <c r="E27" s="10">
        <f>3.281*D27</f>
        <v>0</v>
      </c>
      <c r="F27" s="38">
        <f>IF($E27&gt;$N$47,1-(F24+F25+F26),VLOOKUP($E27,$N$3:$S$47,2)+((VLOOKUP($E27,$L$4:$S$48,4)-VLOOKUP($E27,$N$3:$S$47,2))*($E27-VLOOKUP($E27,$N$3:$S$47,1))/(VLOOKUP($E27,$L$4:$S$48,3)-VLOOKUP($E27,$N$3:$S$47,1)))-(F24+F25+F26))</f>
        <v>0</v>
      </c>
      <c r="G27" s="24">
        <f>IF($E27&gt;$N$47,1-(G24+G25+G26),VLOOKUP($E27,$N$3:$S$47,3)+((VLOOKUP($E27,$L$4:$S$48,5)-VLOOKUP($E27,$N$3:$S$47,3))*($E27-VLOOKUP($E27,$N$3:$S$47,1))/(VLOOKUP($E27,$L$4:$S$48,3)-VLOOKUP($E27,$N$3:$S$47,1)))-(G24+G25+G26))</f>
        <v>0</v>
      </c>
      <c r="H27" s="24">
        <f>IF($E27&gt;$N$47,1-(H24+H25+H26),VLOOKUP($E27,$N$3:$S$47,4)+((VLOOKUP($E27,$L$4:$S$48,6)-VLOOKUP($E27,$N$3:$S$47,4))*($E27-VLOOKUP($E27,$N$3:$S$47,1))/(VLOOKUP($E27,$L$4:$S$48,3)-VLOOKUP($E27,$N$3:$S$47,1)))-(H24+H25+H26))</f>
        <v>0</v>
      </c>
      <c r="I27" s="24">
        <f>IF($E27&gt;$N$47,1-(I24+I25+I26),VLOOKUP($E27,$N$3:$S$47,5)+((VLOOKUP($E27,$L$4:$S$48,7)-VLOOKUP($E27,$N$3:$S$47,5))*($E27-VLOOKUP($E27,$N$3:$S$47,1))/(VLOOKUP($E27,$L$4:$S$48,3)-VLOOKUP($E27,$N$3:$S$47,1)))-(I24+I25+I26))</f>
        <v>0</v>
      </c>
      <c r="J27" s="26">
        <f>IF($E27&gt;$N$47,1-(J24+J25+J26),VLOOKUP($E27,$N$3:$S$47,6)+((VLOOKUP($E27,$L$4:$S$48,8)-VLOOKUP($E27,$N$3:$S$47,6))*($E27-VLOOKUP($E27,$N$3:$S$47,1))/(VLOOKUP($E27,$L$4:$S$48,3)-VLOOKUP($E27,$N$3:$S$47,1)))-(J24+J25+J26))</f>
        <v>0</v>
      </c>
      <c r="L27" s="23">
        <v>690</v>
      </c>
      <c r="M27" s="25">
        <f t="shared" si="0"/>
        <v>219.4452910697958</v>
      </c>
      <c r="N27" s="23">
        <v>720</v>
      </c>
      <c r="O27" s="31">
        <v>1</v>
      </c>
      <c r="P27" s="31">
        <v>1</v>
      </c>
      <c r="Q27" s="24">
        <v>0.9912695846863919</v>
      </c>
      <c r="R27" s="24">
        <v>0.9783941897890935</v>
      </c>
      <c r="S27" s="26">
        <v>0.9526433999944962</v>
      </c>
      <c r="AE27" s="10"/>
      <c r="AF27" s="23"/>
      <c r="AG27" s="10"/>
      <c r="AH27" s="23"/>
      <c r="AI27" s="24"/>
      <c r="AJ27" s="24"/>
      <c r="AK27" s="24"/>
      <c r="AL27" s="31"/>
      <c r="AM27" s="31"/>
      <c r="AN27" s="4"/>
    </row>
    <row r="28" spans="1:40" ht="12.75">
      <c r="A28" s="1"/>
      <c r="B28" s="11"/>
      <c r="C28" s="4"/>
      <c r="D28" s="4"/>
      <c r="E28" s="15" t="s">
        <v>7</v>
      </c>
      <c r="F28" s="39">
        <f>SUM(F24:F27)</f>
        <v>0</v>
      </c>
      <c r="G28" s="29">
        <f>SUM(G24:G27)</f>
        <v>0</v>
      </c>
      <c r="H28" s="29">
        <f>SUM(H24:H27)</f>
        <v>0</v>
      </c>
      <c r="I28" s="29">
        <f>SUM(I24:I27)</f>
        <v>0</v>
      </c>
      <c r="J28" s="30">
        <f>SUM(J24:J27)</f>
        <v>0</v>
      </c>
      <c r="L28" s="23">
        <v>720</v>
      </c>
      <c r="M28" s="25">
        <f t="shared" si="0"/>
        <v>228.5888448643706</v>
      </c>
      <c r="N28" s="23">
        <v>750</v>
      </c>
      <c r="O28" s="31">
        <v>1</v>
      </c>
      <c r="P28" s="31">
        <v>1</v>
      </c>
      <c r="Q28" s="24">
        <v>0.9913172863556161</v>
      </c>
      <c r="R28" s="24">
        <v>0.9810357449964353</v>
      </c>
      <c r="S28" s="26">
        <v>0.9604726622780734</v>
      </c>
      <c r="AE28" s="10"/>
      <c r="AF28" s="23"/>
      <c r="AG28" s="10"/>
      <c r="AH28" s="23"/>
      <c r="AI28" s="24"/>
      <c r="AJ28" s="24"/>
      <c r="AK28" s="24"/>
      <c r="AL28" s="31"/>
      <c r="AM28" s="31"/>
      <c r="AN28" s="4"/>
    </row>
    <row r="29" spans="1:40" ht="12.75">
      <c r="A29" s="1"/>
      <c r="B29" s="12"/>
      <c r="C29" s="13"/>
      <c r="D29" s="13"/>
      <c r="E29" s="14" t="s">
        <v>8</v>
      </c>
      <c r="F29" s="35">
        <f>$C24*F24+$C25*F25+$C26*F26+$C27*F27</f>
        <v>0</v>
      </c>
      <c r="G29" s="35">
        <f>$C24*G24+$C25*G25+$C26*G26+$C27*G27</f>
        <v>0</v>
      </c>
      <c r="H29" s="36">
        <f>$C24*H24+$C25*H25+$C26*H26+$C27*H27</f>
        <v>0</v>
      </c>
      <c r="I29" s="36">
        <f>$C24*I24+$C25*I25+$C26*I26+$C27*I27</f>
        <v>0</v>
      </c>
      <c r="J29" s="35">
        <f>$C24*J24+$C25*J25+$C26*J26+$C27*J27</f>
        <v>0</v>
      </c>
      <c r="L29" s="23">
        <v>750</v>
      </c>
      <c r="M29" s="25">
        <f t="shared" si="0"/>
        <v>237.73239865894544</v>
      </c>
      <c r="N29" s="23">
        <v>780</v>
      </c>
      <c r="O29" s="31">
        <v>1</v>
      </c>
      <c r="P29" s="31">
        <v>1</v>
      </c>
      <c r="Q29" s="24">
        <v>0.9913198697679505</v>
      </c>
      <c r="R29" s="24">
        <v>0.982814811863213</v>
      </c>
      <c r="S29" s="26">
        <v>0.9658046960537374</v>
      </c>
      <c r="AE29" s="10"/>
      <c r="AF29" s="23"/>
      <c r="AG29" s="10"/>
      <c r="AH29" s="23"/>
      <c r="AI29" s="24"/>
      <c r="AJ29" s="24"/>
      <c r="AK29" s="24"/>
      <c r="AL29" s="31"/>
      <c r="AM29" s="31"/>
      <c r="AN29" s="4"/>
    </row>
    <row r="30" spans="12:40" ht="12.75">
      <c r="L30" s="23">
        <v>780</v>
      </c>
      <c r="M30" s="25">
        <f t="shared" si="0"/>
        <v>246.87595245352026</v>
      </c>
      <c r="N30" s="23">
        <v>810</v>
      </c>
      <c r="O30" s="31">
        <v>1</v>
      </c>
      <c r="P30" s="31">
        <v>1</v>
      </c>
      <c r="Q30" s="24">
        <v>0.9967215106935633</v>
      </c>
      <c r="R30" s="24">
        <v>0.9878622786604182</v>
      </c>
      <c r="S30" s="26">
        <v>0.9701438145941274</v>
      </c>
      <c r="AE30" s="10"/>
      <c r="AF30" s="23"/>
      <c r="AG30" s="10"/>
      <c r="AH30" s="23"/>
      <c r="AI30" s="24"/>
      <c r="AJ30" s="24"/>
      <c r="AK30" s="24"/>
      <c r="AL30" s="31"/>
      <c r="AM30" s="31"/>
      <c r="AN30" s="4"/>
    </row>
    <row r="31" spans="12:40" ht="12.75">
      <c r="L31" s="23">
        <v>810</v>
      </c>
      <c r="M31" s="25">
        <f t="shared" si="0"/>
        <v>256.01950624809507</v>
      </c>
      <c r="N31" s="23">
        <v>840</v>
      </c>
      <c r="O31" s="31">
        <v>1</v>
      </c>
      <c r="P31" s="31">
        <v>1</v>
      </c>
      <c r="Q31" s="24">
        <v>0.9993836205739643</v>
      </c>
      <c r="R31" s="24">
        <v>0.9909406044687501</v>
      </c>
      <c r="S31" s="26">
        <v>0.9740545722583209</v>
      </c>
      <c r="AE31" s="10"/>
      <c r="AF31" s="23"/>
      <c r="AG31" s="10"/>
      <c r="AH31" s="23"/>
      <c r="AI31" s="24"/>
      <c r="AJ31" s="24"/>
      <c r="AK31" s="24"/>
      <c r="AL31" s="31"/>
      <c r="AM31" s="31"/>
      <c r="AN31" s="4"/>
    </row>
    <row r="32" spans="12:40" ht="12.75">
      <c r="L32" s="23">
        <v>840</v>
      </c>
      <c r="M32" s="25">
        <f t="shared" si="0"/>
        <v>265.1630600426699</v>
      </c>
      <c r="N32" s="23">
        <v>870</v>
      </c>
      <c r="O32" s="31">
        <v>1</v>
      </c>
      <c r="P32" s="31">
        <v>1</v>
      </c>
      <c r="Q32" s="24">
        <v>0.9999069958373357</v>
      </c>
      <c r="R32" s="24">
        <v>0.9929002137751647</v>
      </c>
      <c r="S32" s="26">
        <v>0.9788866496508223</v>
      </c>
      <c r="AE32" s="10"/>
      <c r="AF32" s="23"/>
      <c r="AG32" s="10"/>
      <c r="AH32" s="23"/>
      <c r="AI32" s="24"/>
      <c r="AJ32" s="24"/>
      <c r="AK32" s="24"/>
      <c r="AL32" s="31"/>
      <c r="AM32" s="31"/>
      <c r="AN32" s="4"/>
    </row>
    <row r="33" spans="2:40" ht="12.75">
      <c r="B33" s="3"/>
      <c r="L33" s="23">
        <v>870</v>
      </c>
      <c r="M33" s="25">
        <f t="shared" si="0"/>
        <v>274.30661383724475</v>
      </c>
      <c r="N33" s="23">
        <v>900</v>
      </c>
      <c r="O33" s="31">
        <v>1</v>
      </c>
      <c r="P33" s="31">
        <v>1</v>
      </c>
      <c r="Q33" s="24">
        <v>0.999960751540577</v>
      </c>
      <c r="R33" s="24">
        <v>0.9945430850196546</v>
      </c>
      <c r="S33" s="26">
        <v>0.9837077519778096</v>
      </c>
      <c r="AE33" s="10"/>
      <c r="AF33" s="23"/>
      <c r="AG33" s="10"/>
      <c r="AH33" s="23"/>
      <c r="AI33" s="24"/>
      <c r="AJ33" s="24"/>
      <c r="AK33" s="24"/>
      <c r="AL33" s="31"/>
      <c r="AM33" s="31"/>
      <c r="AN33" s="4"/>
    </row>
    <row r="34" spans="2:40" ht="12.75">
      <c r="B34" s="3"/>
      <c r="L34" s="23">
        <v>900</v>
      </c>
      <c r="M34" s="25">
        <f t="shared" si="0"/>
        <v>283.45016763181957</v>
      </c>
      <c r="N34" s="23">
        <v>930</v>
      </c>
      <c r="O34" s="31">
        <v>1</v>
      </c>
      <c r="P34" s="31">
        <v>1</v>
      </c>
      <c r="Q34" s="24">
        <v>1</v>
      </c>
      <c r="R34" s="24">
        <v>0.9958780207234826</v>
      </c>
      <c r="S34" s="26">
        <v>0.9876340621704477</v>
      </c>
      <c r="AE34" s="10"/>
      <c r="AF34" s="23"/>
      <c r="AG34" s="10"/>
      <c r="AH34" s="23"/>
      <c r="AI34" s="24"/>
      <c r="AJ34" s="24"/>
      <c r="AK34" s="24"/>
      <c r="AL34" s="31"/>
      <c r="AM34" s="31"/>
      <c r="AN34" s="4"/>
    </row>
    <row r="35" spans="2:40" ht="12.75">
      <c r="B35" s="3"/>
      <c r="L35" s="23">
        <v>930</v>
      </c>
      <c r="M35" s="25">
        <f t="shared" si="0"/>
        <v>292.5937214263944</v>
      </c>
      <c r="N35" s="23">
        <v>960</v>
      </c>
      <c r="O35" s="31">
        <v>1</v>
      </c>
      <c r="P35" s="31">
        <v>1</v>
      </c>
      <c r="Q35" s="24">
        <v>1</v>
      </c>
      <c r="R35" s="24">
        <v>0.9963788086476063</v>
      </c>
      <c r="S35" s="26">
        <v>0.9891364259428189</v>
      </c>
      <c r="AE35" s="10"/>
      <c r="AF35" s="23"/>
      <c r="AG35" s="10"/>
      <c r="AH35" s="23"/>
      <c r="AI35" s="24"/>
      <c r="AJ35" s="24"/>
      <c r="AK35" s="24"/>
      <c r="AL35" s="31"/>
      <c r="AM35" s="31"/>
      <c r="AN35" s="4"/>
    </row>
    <row r="36" spans="2:40" ht="12.75">
      <c r="B36" s="3"/>
      <c r="L36" s="23">
        <v>960</v>
      </c>
      <c r="M36" s="25">
        <f t="shared" si="0"/>
        <v>301.7372752209692</v>
      </c>
      <c r="N36" s="23">
        <v>990</v>
      </c>
      <c r="O36" s="31">
        <v>1</v>
      </c>
      <c r="P36" s="31">
        <v>1</v>
      </c>
      <c r="Q36" s="24">
        <v>1</v>
      </c>
      <c r="R36" s="24">
        <v>0.9965100592243976</v>
      </c>
      <c r="S36" s="26">
        <v>0.989530177673193</v>
      </c>
      <c r="AE36" s="10"/>
      <c r="AF36" s="23"/>
      <c r="AG36" s="10"/>
      <c r="AH36" s="23"/>
      <c r="AI36" s="24"/>
      <c r="AJ36" s="24"/>
      <c r="AK36" s="24"/>
      <c r="AL36" s="31"/>
      <c r="AM36" s="31"/>
      <c r="AN36" s="4"/>
    </row>
    <row r="37" spans="2:40" ht="12.75">
      <c r="B37" s="3"/>
      <c r="L37" s="23">
        <v>990</v>
      </c>
      <c r="M37" s="25">
        <f t="shared" si="0"/>
        <v>310.880829015544</v>
      </c>
      <c r="N37" s="23">
        <v>1020</v>
      </c>
      <c r="O37" s="31">
        <v>1</v>
      </c>
      <c r="P37" s="31">
        <v>1</v>
      </c>
      <c r="Q37" s="24">
        <v>1</v>
      </c>
      <c r="R37" s="24">
        <v>0.9965318546663124</v>
      </c>
      <c r="S37" s="26">
        <v>0.9895955639989374</v>
      </c>
      <c r="AE37" s="10"/>
      <c r="AF37" s="23"/>
      <c r="AG37" s="10"/>
      <c r="AH37" s="23"/>
      <c r="AI37" s="24"/>
      <c r="AJ37" s="24"/>
      <c r="AK37" s="24"/>
      <c r="AL37" s="31"/>
      <c r="AM37" s="31"/>
      <c r="AN37" s="4"/>
    </row>
    <row r="38" spans="2:40" ht="12.75">
      <c r="B38" s="3"/>
      <c r="L38" s="23">
        <v>1020</v>
      </c>
      <c r="M38" s="25">
        <f t="shared" si="0"/>
        <v>320.0243828101189</v>
      </c>
      <c r="N38" s="23">
        <v>1050</v>
      </c>
      <c r="O38" s="31">
        <v>1</v>
      </c>
      <c r="P38" s="31">
        <v>1</v>
      </c>
      <c r="Q38" s="24">
        <v>1</v>
      </c>
      <c r="R38" s="24">
        <v>0.9965341698223688</v>
      </c>
      <c r="S38" s="26">
        <v>0.9896025094671065</v>
      </c>
      <c r="AE38" s="10"/>
      <c r="AF38" s="23"/>
      <c r="AG38" s="10"/>
      <c r="AH38" s="23"/>
      <c r="AI38" s="24"/>
      <c r="AJ38" s="24"/>
      <c r="AK38" s="24"/>
      <c r="AL38" s="31"/>
      <c r="AM38" s="31"/>
      <c r="AN38" s="4"/>
    </row>
    <row r="39" spans="2:40" ht="12.75">
      <c r="B39" s="3"/>
      <c r="L39" s="23">
        <v>1050</v>
      </c>
      <c r="M39" s="25">
        <f t="shared" si="0"/>
        <v>329.1679366046937</v>
      </c>
      <c r="N39" s="23">
        <v>1080</v>
      </c>
      <c r="O39" s="31">
        <v>1</v>
      </c>
      <c r="P39" s="31">
        <v>1</v>
      </c>
      <c r="Q39" s="24">
        <v>1</v>
      </c>
      <c r="R39" s="24">
        <v>0.996534313839085</v>
      </c>
      <c r="S39" s="26">
        <v>0.9896029415172549</v>
      </c>
      <c r="AE39" s="10"/>
      <c r="AF39" s="23"/>
      <c r="AG39" s="10"/>
      <c r="AH39" s="23"/>
      <c r="AI39" s="24"/>
      <c r="AJ39" s="24"/>
      <c r="AK39" s="24"/>
      <c r="AL39" s="31"/>
      <c r="AM39" s="31"/>
      <c r="AN39" s="4"/>
    </row>
    <row r="40" spans="2:40" ht="12.75">
      <c r="B40" s="3"/>
      <c r="L40" s="23">
        <v>1080</v>
      </c>
      <c r="M40" s="25">
        <f t="shared" si="0"/>
        <v>341.35934166412676</v>
      </c>
      <c r="N40" s="23">
        <v>1120</v>
      </c>
      <c r="O40" s="31">
        <v>1</v>
      </c>
      <c r="P40" s="31">
        <v>1</v>
      </c>
      <c r="Q40" s="24">
        <v>1</v>
      </c>
      <c r="R40" s="24">
        <v>0.9977791409177316</v>
      </c>
      <c r="S40" s="26">
        <v>0.9933374227531947</v>
      </c>
      <c r="AE40" s="10"/>
      <c r="AF40" s="23"/>
      <c r="AG40" s="10"/>
      <c r="AH40" s="23"/>
      <c r="AI40" s="24"/>
      <c r="AJ40" s="24"/>
      <c r="AK40" s="24"/>
      <c r="AL40" s="31"/>
      <c r="AM40" s="31"/>
      <c r="AN40" s="4"/>
    </row>
    <row r="41" spans="2:40" ht="12.75">
      <c r="B41" s="3"/>
      <c r="L41" s="23">
        <v>1120</v>
      </c>
      <c r="M41" s="25">
        <f t="shared" si="0"/>
        <v>350.5028954587016</v>
      </c>
      <c r="N41" s="23">
        <v>1150</v>
      </c>
      <c r="O41" s="31">
        <v>1</v>
      </c>
      <c r="P41" s="31">
        <v>1</v>
      </c>
      <c r="Q41" s="24">
        <v>1</v>
      </c>
      <c r="R41" s="24">
        <v>0.9992752472314373</v>
      </c>
      <c r="S41" s="26">
        <v>0.9978257416943118</v>
      </c>
      <c r="AE41" s="10"/>
      <c r="AF41" s="23"/>
      <c r="AG41" s="10"/>
      <c r="AH41" s="23"/>
      <c r="AI41" s="24"/>
      <c r="AJ41" s="24"/>
      <c r="AK41" s="24"/>
      <c r="AL41" s="31"/>
      <c r="AM41" s="31"/>
      <c r="AN41" s="4"/>
    </row>
    <row r="42" spans="2:40" ht="12.75">
      <c r="B42" s="3"/>
      <c r="L42" s="23">
        <v>1150</v>
      </c>
      <c r="M42" s="25">
        <f t="shared" si="0"/>
        <v>356.59859798841813</v>
      </c>
      <c r="N42" s="23">
        <v>1170</v>
      </c>
      <c r="O42" s="31">
        <v>1</v>
      </c>
      <c r="P42" s="31">
        <v>1</v>
      </c>
      <c r="Q42" s="24">
        <v>1</v>
      </c>
      <c r="R42" s="24">
        <v>0.9998486018213155</v>
      </c>
      <c r="S42" s="26">
        <v>0.9995458054639463</v>
      </c>
      <c r="AE42" s="10"/>
      <c r="AF42" s="23"/>
      <c r="AG42" s="10"/>
      <c r="AH42" s="23"/>
      <c r="AI42" s="24"/>
      <c r="AJ42" s="24"/>
      <c r="AK42" s="24"/>
      <c r="AL42" s="31"/>
      <c r="AM42" s="31"/>
      <c r="AN42" s="4"/>
    </row>
    <row r="43" spans="2:40" ht="12.75">
      <c r="B43" s="3"/>
      <c r="L43" s="23">
        <v>1170</v>
      </c>
      <c r="M43" s="25">
        <f t="shared" si="0"/>
        <v>365.74215178299295</v>
      </c>
      <c r="N43" s="23">
        <v>1200</v>
      </c>
      <c r="O43" s="31">
        <v>1</v>
      </c>
      <c r="P43" s="31">
        <v>1</v>
      </c>
      <c r="Q43" s="24">
        <v>1</v>
      </c>
      <c r="R43" s="24">
        <v>0.9999794452096316</v>
      </c>
      <c r="S43" s="26">
        <v>0.9999383356288946</v>
      </c>
      <c r="AE43" s="10"/>
      <c r="AF43" s="23"/>
      <c r="AG43" s="10"/>
      <c r="AH43" s="23"/>
      <c r="AI43" s="24"/>
      <c r="AJ43" s="24"/>
      <c r="AK43" s="24"/>
      <c r="AL43" s="31"/>
      <c r="AM43" s="31"/>
      <c r="AN43" s="4"/>
    </row>
    <row r="44" spans="2:40" ht="12.75">
      <c r="B44" s="3"/>
      <c r="L44" s="23">
        <v>1200</v>
      </c>
      <c r="M44" s="25">
        <f t="shared" si="0"/>
        <v>374.8857055775678</v>
      </c>
      <c r="N44" s="23">
        <v>1230</v>
      </c>
      <c r="O44" s="31">
        <v>1</v>
      </c>
      <c r="P44" s="31">
        <v>1</v>
      </c>
      <c r="Q44" s="24">
        <v>1</v>
      </c>
      <c r="R44" s="24">
        <v>0.9999983589543769</v>
      </c>
      <c r="S44" s="26">
        <v>0.9999950768631307</v>
      </c>
      <c r="AE44" s="10"/>
      <c r="AF44" s="23"/>
      <c r="AG44" s="10"/>
      <c r="AH44" s="23"/>
      <c r="AI44" s="24"/>
      <c r="AJ44" s="24"/>
      <c r="AK44" s="24"/>
      <c r="AL44" s="31"/>
      <c r="AM44" s="31"/>
      <c r="AN44" s="4"/>
    </row>
    <row r="45" spans="2:40" ht="12.75">
      <c r="B45" s="3"/>
      <c r="L45" s="23">
        <v>1230</v>
      </c>
      <c r="M45" s="25">
        <f t="shared" si="0"/>
        <v>384.02925937214263</v>
      </c>
      <c r="N45" s="23">
        <v>1260</v>
      </c>
      <c r="O45" s="31">
        <v>1</v>
      </c>
      <c r="P45" s="31">
        <v>1</v>
      </c>
      <c r="Q45" s="24">
        <v>1</v>
      </c>
      <c r="R45" s="24">
        <v>0.9999999282910306</v>
      </c>
      <c r="S45" s="26">
        <v>0.9999997848730917</v>
      </c>
      <c r="AE45" s="10"/>
      <c r="AF45" s="23"/>
      <c r="AG45" s="10"/>
      <c r="AH45" s="23"/>
      <c r="AI45" s="24"/>
      <c r="AJ45" s="24"/>
      <c r="AK45" s="24"/>
      <c r="AL45" s="31"/>
      <c r="AM45" s="31"/>
      <c r="AN45" s="4"/>
    </row>
    <row r="46" spans="2:40" ht="12.75">
      <c r="B46" s="3"/>
      <c r="L46" s="23">
        <v>1260</v>
      </c>
      <c r="M46" s="25">
        <f t="shared" si="0"/>
        <v>393.17281316671745</v>
      </c>
      <c r="N46" s="23">
        <v>1290</v>
      </c>
      <c r="O46" s="31">
        <v>1</v>
      </c>
      <c r="P46" s="31">
        <v>1</v>
      </c>
      <c r="Q46" s="24">
        <v>1</v>
      </c>
      <c r="R46" s="24">
        <v>0.9999999980240899</v>
      </c>
      <c r="S46" s="26">
        <v>0.9999999940722697</v>
      </c>
      <c r="AE46" s="10"/>
      <c r="AF46" s="23"/>
      <c r="AG46" s="10"/>
      <c r="AH46" s="23"/>
      <c r="AI46" s="24"/>
      <c r="AJ46" s="24"/>
      <c r="AK46" s="24"/>
      <c r="AL46" s="31"/>
      <c r="AM46" s="31"/>
      <c r="AN46" s="4"/>
    </row>
    <row r="47" spans="2:40" ht="12.75">
      <c r="B47" s="3"/>
      <c r="L47" s="23">
        <v>1290</v>
      </c>
      <c r="M47" s="27">
        <f t="shared" si="0"/>
        <v>402.31636696129226</v>
      </c>
      <c r="N47" s="28">
        <v>1320</v>
      </c>
      <c r="O47" s="32">
        <v>1</v>
      </c>
      <c r="P47" s="32">
        <v>1</v>
      </c>
      <c r="Q47" s="29">
        <v>1</v>
      </c>
      <c r="R47" s="29">
        <v>1</v>
      </c>
      <c r="S47" s="30">
        <v>1</v>
      </c>
      <c r="AE47" s="10"/>
      <c r="AF47" s="23"/>
      <c r="AG47" s="10"/>
      <c r="AH47" s="23"/>
      <c r="AI47" s="24"/>
      <c r="AJ47" s="24"/>
      <c r="AK47" s="24"/>
      <c r="AL47" s="31"/>
      <c r="AM47" s="31"/>
      <c r="AN47" s="4"/>
    </row>
    <row r="48" spans="12:40" ht="12.75">
      <c r="L48" s="23">
        <v>1320</v>
      </c>
      <c r="AE48" s="10"/>
      <c r="AF48" s="23"/>
      <c r="AG48" s="4"/>
      <c r="AH48" s="4"/>
      <c r="AI48" s="4"/>
      <c r="AJ48" s="4"/>
      <c r="AK48" s="4"/>
      <c r="AL48" s="4"/>
      <c r="AM48" s="4"/>
      <c r="AN48" s="4"/>
    </row>
    <row r="49" spans="31:40" ht="12.75">
      <c r="AE49" s="4"/>
      <c r="AF49" s="4"/>
      <c r="AG49" s="4"/>
      <c r="AH49" s="4"/>
      <c r="AI49" s="4"/>
      <c r="AJ49" s="4"/>
      <c r="AK49" s="4"/>
      <c r="AL49" s="4"/>
      <c r="AM49" s="4"/>
      <c r="AN49" s="4"/>
    </row>
    <row r="50" spans="31:40" ht="12.75">
      <c r="AE50" s="4"/>
      <c r="AF50" s="4"/>
      <c r="AG50" s="4"/>
      <c r="AH50" s="4"/>
      <c r="AI50" s="4"/>
      <c r="AJ50" s="4"/>
      <c r="AK50" s="4"/>
      <c r="AL50" s="4"/>
      <c r="AM50" s="4"/>
      <c r="AN50" s="4"/>
    </row>
  </sheetData>
  <mergeCells count="6">
    <mergeCell ref="D1:E1"/>
    <mergeCell ref="Q1:S1"/>
    <mergeCell ref="M1:N1"/>
    <mergeCell ref="O1:P1"/>
    <mergeCell ref="H1:J1"/>
    <mergeCell ref="F1:G1"/>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EC65"/>
  <sheetViews>
    <sheetView zoomScale="70" zoomScaleNormal="70" workbookViewId="0" topLeftCell="A1">
      <selection activeCell="BP6" sqref="BP6"/>
    </sheetView>
  </sheetViews>
  <sheetFormatPr defaultColWidth="9.140625" defaultRowHeight="12.75"/>
  <cols>
    <col min="2" max="2" width="12.00390625" style="0" customWidth="1"/>
    <col min="3" max="3" width="10.8515625" style="0" customWidth="1"/>
    <col min="4" max="4" width="8.8515625" style="0" customWidth="1"/>
    <col min="5" max="5" width="9.00390625" style="0" customWidth="1"/>
    <col min="7" max="7" width="9.28125" style="0" customWidth="1"/>
    <col min="8" max="8" width="12.7109375" style="0" customWidth="1"/>
    <col min="9" max="9" width="13.00390625" style="0" customWidth="1"/>
    <col min="10" max="10" width="11.421875" style="0" customWidth="1"/>
    <col min="11" max="11" width="10.8515625" style="0" customWidth="1"/>
    <col min="12" max="12" width="11.140625" style="0" customWidth="1"/>
    <col min="13" max="13" width="3.140625" style="0" customWidth="1"/>
    <col min="14" max="38" width="6.7109375" style="0" customWidth="1"/>
    <col min="39" max="39" width="3.00390625" style="0" customWidth="1"/>
    <col min="40" max="40" width="12.28125" style="0" customWidth="1"/>
    <col min="43" max="43" width="13.00390625" style="0" customWidth="1"/>
    <col min="44" max="44" width="12.28125" style="0" customWidth="1"/>
    <col min="45" max="45" width="12.421875" style="0" customWidth="1"/>
    <col min="46" max="46" width="11.8515625" style="0" customWidth="1"/>
    <col min="47" max="47" width="12.00390625" style="0" customWidth="1"/>
    <col min="48" max="52" width="1.7109375" style="0" customWidth="1"/>
    <col min="53" max="53" width="8.57421875" style="0" customWidth="1"/>
    <col min="54" max="54" width="8.28125" style="0" customWidth="1"/>
    <col min="55" max="55" width="8.57421875" style="0" customWidth="1"/>
    <col min="56" max="56" width="8.00390625" style="0" customWidth="1"/>
    <col min="57" max="57" width="8.28125" style="0" customWidth="1"/>
    <col min="58" max="58" width="8.421875" style="0" customWidth="1"/>
    <col min="59" max="60" width="8.28125" style="0" customWidth="1"/>
    <col min="61" max="61" width="8.57421875" style="0" customWidth="1"/>
    <col min="62" max="62" width="8.28125" style="0" customWidth="1"/>
    <col min="63" max="63" width="8.57421875" style="0" customWidth="1"/>
    <col min="64" max="64" width="8.421875" style="0" customWidth="1"/>
    <col min="65" max="65" width="7.8515625" style="0" customWidth="1"/>
    <col min="66" max="66" width="8.421875" style="0" customWidth="1"/>
    <col min="67" max="68" width="8.57421875" style="0" customWidth="1"/>
    <col min="69" max="69" width="8.140625" style="0" customWidth="1"/>
    <col min="70" max="70" width="8.28125" style="0" customWidth="1"/>
    <col min="71" max="72" width="8.140625" style="0" customWidth="1"/>
    <col min="73" max="73" width="10.140625" style="0" customWidth="1"/>
    <col min="74" max="74" width="10.00390625" style="0" customWidth="1"/>
    <col min="75" max="75" width="9.57421875" style="0" customWidth="1"/>
    <col min="76" max="76" width="9.7109375" style="0" customWidth="1"/>
    <col min="77" max="77" width="9.57421875" style="0" customWidth="1"/>
    <col min="78" max="78" width="9.7109375" style="0" customWidth="1"/>
    <col min="79" max="79" width="9.57421875" style="0" customWidth="1"/>
    <col min="80" max="81" width="9.7109375" style="0" customWidth="1"/>
    <col min="82" max="82" width="9.57421875" style="0" customWidth="1"/>
    <col min="83" max="84" width="9.7109375" style="0" customWidth="1"/>
    <col min="85" max="85" width="9.57421875" style="0" customWidth="1"/>
    <col min="86" max="86" width="9.7109375" style="0" customWidth="1"/>
    <col min="87" max="87" width="10.00390625" style="0" customWidth="1"/>
    <col min="88" max="88" width="9.57421875" style="0" customWidth="1"/>
    <col min="89" max="90" width="9.7109375" style="0" customWidth="1"/>
    <col min="95" max="95" width="10.00390625" style="0" customWidth="1"/>
    <col min="97" max="97" width="9.57421875" style="0" customWidth="1"/>
    <col min="115" max="115" width="9.7109375" style="0" customWidth="1"/>
  </cols>
  <sheetData>
    <row r="1" spans="1:133" ht="33" customHeight="1">
      <c r="A1" s="16" t="s">
        <v>9</v>
      </c>
      <c r="B1" s="40" t="s">
        <v>3</v>
      </c>
      <c r="C1" s="125" t="s">
        <v>57</v>
      </c>
      <c r="D1" s="125"/>
      <c r="E1" s="125"/>
      <c r="F1" s="125"/>
      <c r="G1" s="125"/>
      <c r="H1" s="116" t="s">
        <v>58</v>
      </c>
      <c r="I1" s="116"/>
      <c r="J1" s="116" t="s">
        <v>59</v>
      </c>
      <c r="K1" s="116"/>
      <c r="L1" s="116"/>
      <c r="M1" s="16"/>
      <c r="N1" s="114" t="s">
        <v>79</v>
      </c>
      <c r="O1" s="115"/>
      <c r="P1" s="115"/>
      <c r="Q1" s="115"/>
      <c r="R1" s="115"/>
      <c r="S1" s="115"/>
      <c r="T1" s="115"/>
      <c r="U1" s="115"/>
      <c r="V1" s="115"/>
      <c r="W1" s="120"/>
      <c r="X1" s="114" t="s">
        <v>80</v>
      </c>
      <c r="Y1" s="115"/>
      <c r="Z1" s="115"/>
      <c r="AA1" s="115"/>
      <c r="AB1" s="115"/>
      <c r="AC1" s="115"/>
      <c r="AD1" s="115"/>
      <c r="AE1" s="115"/>
      <c r="AF1" s="115"/>
      <c r="AG1" s="115"/>
      <c r="AH1" s="115"/>
      <c r="AI1" s="115"/>
      <c r="AJ1" s="115"/>
      <c r="AK1" s="115"/>
      <c r="AL1" s="120"/>
      <c r="AN1" s="16" t="s">
        <v>20</v>
      </c>
      <c r="AO1" s="114" t="s">
        <v>2</v>
      </c>
      <c r="AP1" s="115"/>
      <c r="AQ1" s="115" t="s">
        <v>16</v>
      </c>
      <c r="AR1" s="115"/>
      <c r="AS1" s="112" t="s">
        <v>17</v>
      </c>
      <c r="AT1" s="112"/>
      <c r="AU1" s="113"/>
      <c r="AV1" s="122"/>
      <c r="AW1" s="123"/>
      <c r="AX1" s="127"/>
      <c r="AY1" s="127"/>
      <c r="AZ1" s="128"/>
      <c r="BA1" s="122" t="s">
        <v>63</v>
      </c>
      <c r="BB1" s="123"/>
      <c r="BC1" s="123"/>
      <c r="BD1" s="124"/>
      <c r="BE1" s="122" t="s">
        <v>84</v>
      </c>
      <c r="BF1" s="123"/>
      <c r="BG1" s="123"/>
      <c r="BH1" s="124"/>
      <c r="BI1" s="122" t="s">
        <v>60</v>
      </c>
      <c r="BJ1" s="123"/>
      <c r="BK1" s="123"/>
      <c r="BL1" s="124"/>
      <c r="BM1" s="122" t="s">
        <v>61</v>
      </c>
      <c r="BN1" s="123"/>
      <c r="BO1" s="123"/>
      <c r="BP1" s="124"/>
      <c r="BQ1" s="122" t="s">
        <v>62</v>
      </c>
      <c r="BR1" s="123"/>
      <c r="BS1" s="123"/>
      <c r="BT1" s="124"/>
      <c r="BU1" s="129"/>
      <c r="BV1" s="129"/>
      <c r="BW1" s="129"/>
      <c r="BX1" s="129"/>
      <c r="BY1" s="129"/>
      <c r="BZ1" s="129"/>
      <c r="CA1" s="121"/>
      <c r="CB1" s="121"/>
      <c r="CC1" s="121"/>
      <c r="CD1" s="121"/>
      <c r="CE1" s="126"/>
      <c r="CF1" s="126"/>
      <c r="CG1" s="121"/>
      <c r="CH1" s="126"/>
      <c r="CI1" s="126"/>
      <c r="CJ1" s="121"/>
      <c r="CK1" s="126"/>
      <c r="CL1" s="126"/>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78"/>
      <c r="EB1" s="78"/>
      <c r="EC1" s="78"/>
    </row>
    <row r="2" spans="1:133" ht="48" customHeight="1">
      <c r="A2" s="1"/>
      <c r="B2" s="40" t="s">
        <v>56</v>
      </c>
      <c r="C2" s="58" t="s">
        <v>78</v>
      </c>
      <c r="D2" s="58" t="s">
        <v>47</v>
      </c>
      <c r="E2" s="58" t="s">
        <v>48</v>
      </c>
      <c r="F2" s="58" t="s">
        <v>49</v>
      </c>
      <c r="G2" s="58" t="s">
        <v>50</v>
      </c>
      <c r="H2" s="16" t="s">
        <v>68</v>
      </c>
      <c r="I2" s="16" t="s">
        <v>69</v>
      </c>
      <c r="J2" s="16" t="s">
        <v>70</v>
      </c>
      <c r="K2" s="16" t="s">
        <v>71</v>
      </c>
      <c r="L2" s="16" t="s">
        <v>72</v>
      </c>
      <c r="M2" s="16"/>
      <c r="N2" s="119" t="s">
        <v>51</v>
      </c>
      <c r="O2" s="117"/>
      <c r="P2" s="117"/>
      <c r="Q2" s="117"/>
      <c r="R2" s="118"/>
      <c r="S2" s="117" t="s">
        <v>52</v>
      </c>
      <c r="T2" s="117"/>
      <c r="U2" s="117"/>
      <c r="V2" s="117"/>
      <c r="W2" s="118"/>
      <c r="X2" s="119" t="s">
        <v>53</v>
      </c>
      <c r="Y2" s="117"/>
      <c r="Z2" s="117"/>
      <c r="AA2" s="117"/>
      <c r="AB2" s="118"/>
      <c r="AC2" s="119" t="s">
        <v>54</v>
      </c>
      <c r="AD2" s="117"/>
      <c r="AE2" s="117"/>
      <c r="AF2" s="117"/>
      <c r="AG2" s="118"/>
      <c r="AH2" s="117" t="s">
        <v>55</v>
      </c>
      <c r="AI2" s="117"/>
      <c r="AJ2" s="117"/>
      <c r="AK2" s="117"/>
      <c r="AL2" s="118"/>
      <c r="AN2" s="17">
        <v>3.281</v>
      </c>
      <c r="AO2" s="18" t="s">
        <v>0</v>
      </c>
      <c r="AP2" s="22" t="s">
        <v>13</v>
      </c>
      <c r="AQ2" s="20" t="s">
        <v>15</v>
      </c>
      <c r="AR2" s="20" t="s">
        <v>14</v>
      </c>
      <c r="AS2" s="19" t="s">
        <v>10</v>
      </c>
      <c r="AT2" s="20" t="s">
        <v>11</v>
      </c>
      <c r="AU2" s="21" t="s">
        <v>12</v>
      </c>
      <c r="AV2" s="44"/>
      <c r="AW2" s="43"/>
      <c r="AX2" s="91"/>
      <c r="AY2" s="43"/>
      <c r="AZ2" s="45"/>
      <c r="BA2" s="44" t="s">
        <v>46</v>
      </c>
      <c r="BB2" s="43" t="s">
        <v>43</v>
      </c>
      <c r="BC2" s="43" t="s">
        <v>44</v>
      </c>
      <c r="BD2" s="45" t="s">
        <v>45</v>
      </c>
      <c r="BE2" s="43" t="s">
        <v>46</v>
      </c>
      <c r="BF2" s="43" t="s">
        <v>43</v>
      </c>
      <c r="BG2" s="43" t="s">
        <v>44</v>
      </c>
      <c r="BH2" s="45" t="s">
        <v>45</v>
      </c>
      <c r="BI2" s="43" t="s">
        <v>46</v>
      </c>
      <c r="BJ2" s="43" t="s">
        <v>43</v>
      </c>
      <c r="BK2" s="43" t="s">
        <v>44</v>
      </c>
      <c r="BL2" s="45" t="s">
        <v>45</v>
      </c>
      <c r="BM2" s="43" t="s">
        <v>46</v>
      </c>
      <c r="BN2" s="43" t="s">
        <v>43</v>
      </c>
      <c r="BO2" s="43" t="s">
        <v>44</v>
      </c>
      <c r="BP2" s="45" t="s">
        <v>45</v>
      </c>
      <c r="BQ2" s="44" t="s">
        <v>46</v>
      </c>
      <c r="BR2" s="43" t="s">
        <v>43</v>
      </c>
      <c r="BS2" s="43" t="s">
        <v>44</v>
      </c>
      <c r="BT2" s="45" t="s">
        <v>45</v>
      </c>
      <c r="BU2" s="98"/>
      <c r="BV2" s="98"/>
      <c r="BW2" s="98"/>
      <c r="BX2" s="98"/>
      <c r="BY2" s="98"/>
      <c r="BZ2" s="98"/>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78"/>
      <c r="EB2" s="78"/>
      <c r="EC2" s="78"/>
    </row>
    <row r="3" spans="1:133" ht="12.75">
      <c r="A3" s="4"/>
      <c r="B3" s="4"/>
      <c r="C3" s="4"/>
      <c r="D3" s="4"/>
      <c r="E3" s="4"/>
      <c r="F3" s="4"/>
      <c r="G3" s="4"/>
      <c r="N3" s="65" t="s">
        <v>77</v>
      </c>
      <c r="O3" s="60" t="s">
        <v>64</v>
      </c>
      <c r="P3" s="60" t="s">
        <v>65</v>
      </c>
      <c r="Q3" s="60" t="s">
        <v>66</v>
      </c>
      <c r="R3" s="77" t="s">
        <v>67</v>
      </c>
      <c r="S3" s="60" t="s">
        <v>77</v>
      </c>
      <c r="T3" s="60" t="s">
        <v>64</v>
      </c>
      <c r="U3" s="60" t="s">
        <v>65</v>
      </c>
      <c r="V3" s="60" t="s">
        <v>66</v>
      </c>
      <c r="W3" s="77" t="s">
        <v>67</v>
      </c>
      <c r="X3" s="65" t="s">
        <v>77</v>
      </c>
      <c r="Y3" s="60" t="s">
        <v>64</v>
      </c>
      <c r="Z3" s="60" t="s">
        <v>65</v>
      </c>
      <c r="AA3" s="60" t="s">
        <v>66</v>
      </c>
      <c r="AB3" s="77" t="s">
        <v>67</v>
      </c>
      <c r="AC3" s="65" t="s">
        <v>77</v>
      </c>
      <c r="AD3" s="60" t="s">
        <v>64</v>
      </c>
      <c r="AE3" s="60" t="s">
        <v>65</v>
      </c>
      <c r="AF3" s="60" t="s">
        <v>66</v>
      </c>
      <c r="AG3" s="77" t="s">
        <v>67</v>
      </c>
      <c r="AH3" s="60" t="s">
        <v>77</v>
      </c>
      <c r="AI3" s="60" t="s">
        <v>64</v>
      </c>
      <c r="AJ3" s="60" t="s">
        <v>65</v>
      </c>
      <c r="AK3" s="60" t="s">
        <v>66</v>
      </c>
      <c r="AL3" s="77" t="s">
        <v>67</v>
      </c>
      <c r="AO3" s="25">
        <f aca="true" t="shared" si="0" ref="AO3:AO47">AP3/3.281</f>
        <v>0</v>
      </c>
      <c r="AP3" s="23">
        <v>0</v>
      </c>
      <c r="AQ3" s="31">
        <v>0</v>
      </c>
      <c r="AR3" s="31">
        <v>0</v>
      </c>
      <c r="AS3" s="24">
        <v>0</v>
      </c>
      <c r="AT3" s="24">
        <v>0</v>
      </c>
      <c r="AU3" s="26">
        <v>0</v>
      </c>
      <c r="AV3" s="92"/>
      <c r="AW3" s="31"/>
      <c r="AX3" s="31"/>
      <c r="AY3" s="31"/>
      <c r="AZ3" s="93"/>
      <c r="BA3" s="52">
        <v>0</v>
      </c>
      <c r="BB3" s="53">
        <v>0</v>
      </c>
      <c r="BC3" s="53">
        <v>0</v>
      </c>
      <c r="BD3" s="54">
        <v>0</v>
      </c>
      <c r="BE3" s="53">
        <v>0</v>
      </c>
      <c r="BF3" s="53">
        <v>0</v>
      </c>
      <c r="BG3" s="53">
        <v>0</v>
      </c>
      <c r="BH3" s="54">
        <v>0</v>
      </c>
      <c r="BI3" s="53">
        <v>0</v>
      </c>
      <c r="BJ3" s="53">
        <v>0</v>
      </c>
      <c r="BK3" s="53">
        <v>0</v>
      </c>
      <c r="BL3" s="54">
        <v>0</v>
      </c>
      <c r="BM3" s="53">
        <v>0</v>
      </c>
      <c r="BN3" s="53">
        <v>0</v>
      </c>
      <c r="BO3" s="53">
        <v>0</v>
      </c>
      <c r="BP3" s="54">
        <v>0</v>
      </c>
      <c r="BQ3" s="52">
        <v>0</v>
      </c>
      <c r="BR3" s="53">
        <v>0</v>
      </c>
      <c r="BS3" s="53">
        <v>0</v>
      </c>
      <c r="BT3" s="54">
        <v>0</v>
      </c>
      <c r="BU3" s="99"/>
      <c r="BV3" s="99"/>
      <c r="BW3" s="99"/>
      <c r="BX3" s="99"/>
      <c r="BY3" s="99"/>
      <c r="BZ3" s="99"/>
      <c r="CA3" s="78"/>
      <c r="CB3" s="78"/>
      <c r="CC3" s="78"/>
      <c r="CD3" s="78"/>
      <c r="CE3" s="78"/>
      <c r="CF3" s="78"/>
      <c r="CG3" s="78"/>
      <c r="CH3" s="78"/>
      <c r="CI3" s="78"/>
      <c r="CJ3" s="78"/>
      <c r="CK3" s="78"/>
      <c r="CL3" s="78"/>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78"/>
      <c r="EB3" s="78"/>
      <c r="EC3" s="78"/>
    </row>
    <row r="4" spans="1:133" ht="12.75">
      <c r="A4" s="73">
        <v>1</v>
      </c>
      <c r="B4" s="56"/>
      <c r="C4" s="74"/>
      <c r="D4" s="74"/>
      <c r="E4" s="74"/>
      <c r="F4" s="74"/>
      <c r="G4" s="76"/>
      <c r="H4" s="63"/>
      <c r="I4" s="63"/>
      <c r="J4" s="63"/>
      <c r="K4" s="63"/>
      <c r="L4" s="64"/>
      <c r="M4" s="4"/>
      <c r="N4" s="66"/>
      <c r="O4" s="63"/>
      <c r="P4" s="63"/>
      <c r="Q4" s="63"/>
      <c r="R4" s="64"/>
      <c r="S4" s="63"/>
      <c r="T4" s="63"/>
      <c r="U4" s="63"/>
      <c r="V4" s="63"/>
      <c r="W4" s="64"/>
      <c r="X4" s="66"/>
      <c r="Y4" s="63"/>
      <c r="Z4" s="63"/>
      <c r="AA4" s="63"/>
      <c r="AB4" s="64"/>
      <c r="AC4" s="66"/>
      <c r="AD4" s="63"/>
      <c r="AE4" s="63"/>
      <c r="AF4" s="63"/>
      <c r="AG4" s="64"/>
      <c r="AH4" s="63"/>
      <c r="AI4" s="63"/>
      <c r="AJ4" s="63"/>
      <c r="AK4" s="63"/>
      <c r="AL4" s="64"/>
      <c r="AN4" s="23">
        <v>0</v>
      </c>
      <c r="AO4" s="25">
        <f t="shared" si="0"/>
        <v>9.143553794574824</v>
      </c>
      <c r="AP4" s="23">
        <v>30</v>
      </c>
      <c r="AQ4" s="31">
        <v>0.639</v>
      </c>
      <c r="AR4" s="31">
        <v>0.305</v>
      </c>
      <c r="AS4" s="24">
        <v>0</v>
      </c>
      <c r="AT4" s="24">
        <v>0</v>
      </c>
      <c r="AU4" s="26">
        <v>0</v>
      </c>
      <c r="AV4" s="92"/>
      <c r="AW4" s="31"/>
      <c r="AX4" s="31"/>
      <c r="AY4" s="31"/>
      <c r="AZ4" s="93"/>
      <c r="BA4" s="52">
        <v>0.13367880000000001</v>
      </c>
      <c r="BB4" s="53">
        <v>0.4947777</v>
      </c>
      <c r="BC4" s="53">
        <v>0.5032125</v>
      </c>
      <c r="BD4" s="54">
        <v>0.6565085999999999</v>
      </c>
      <c r="BE4" s="53">
        <v>0.063806</v>
      </c>
      <c r="BF4" s="53">
        <v>0.2361615</v>
      </c>
      <c r="BG4" s="53">
        <v>0.2401875</v>
      </c>
      <c r="BH4" s="54">
        <v>0.31335699999999994</v>
      </c>
      <c r="BI4" s="53">
        <v>0</v>
      </c>
      <c r="BJ4" s="53">
        <v>0</v>
      </c>
      <c r="BK4" s="53">
        <v>0</v>
      </c>
      <c r="BL4" s="54">
        <v>0</v>
      </c>
      <c r="BM4" s="53">
        <v>0</v>
      </c>
      <c r="BN4" s="53">
        <v>0</v>
      </c>
      <c r="BO4" s="53">
        <v>0</v>
      </c>
      <c r="BP4" s="54">
        <v>0</v>
      </c>
      <c r="BQ4" s="52">
        <v>0</v>
      </c>
      <c r="BR4" s="53">
        <v>0</v>
      </c>
      <c r="BS4" s="53">
        <v>0</v>
      </c>
      <c r="BT4" s="54">
        <v>0</v>
      </c>
      <c r="BU4" s="99"/>
      <c r="BV4" s="99"/>
      <c r="BW4" s="99"/>
      <c r="BX4" s="99"/>
      <c r="BY4" s="99"/>
      <c r="BZ4" s="99"/>
      <c r="CA4" s="78"/>
      <c r="CB4" s="78"/>
      <c r="CC4" s="78"/>
      <c r="CD4" s="78"/>
      <c r="CE4" s="78"/>
      <c r="CF4" s="78"/>
      <c r="CG4" s="78"/>
      <c r="CH4" s="78"/>
      <c r="CI4" s="78"/>
      <c r="CJ4" s="78"/>
      <c r="CK4" s="78"/>
      <c r="CL4" s="78"/>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78"/>
      <c r="EB4" s="78"/>
      <c r="EC4" s="78"/>
    </row>
    <row r="5" spans="1:133" ht="12.75">
      <c r="A5" s="65"/>
      <c r="B5" s="57"/>
      <c r="C5" s="62"/>
      <c r="D5" s="62"/>
      <c r="E5" s="62"/>
      <c r="F5" s="62"/>
      <c r="G5" s="67"/>
      <c r="H5" s="4"/>
      <c r="I5" s="4"/>
      <c r="J5" s="4"/>
      <c r="K5" s="4"/>
      <c r="L5" s="46"/>
      <c r="M5" s="4"/>
      <c r="N5" s="11"/>
      <c r="O5" s="4"/>
      <c r="P5" s="4"/>
      <c r="Q5" s="4"/>
      <c r="R5" s="46"/>
      <c r="S5" s="4"/>
      <c r="T5" s="4"/>
      <c r="U5" s="4"/>
      <c r="V5" s="4"/>
      <c r="W5" s="46"/>
      <c r="X5" s="11"/>
      <c r="Y5" s="4"/>
      <c r="Z5" s="4"/>
      <c r="AA5" s="4"/>
      <c r="AB5" s="46"/>
      <c r="AC5" s="11"/>
      <c r="AD5" s="4"/>
      <c r="AE5" s="4"/>
      <c r="AF5" s="4"/>
      <c r="AG5" s="46"/>
      <c r="AH5" s="4"/>
      <c r="AI5" s="4"/>
      <c r="AJ5" s="4"/>
      <c r="AK5" s="4"/>
      <c r="AL5" s="46"/>
      <c r="AN5" s="23">
        <v>30</v>
      </c>
      <c r="AO5" s="25">
        <f t="shared" si="0"/>
        <v>18.28710758914965</v>
      </c>
      <c r="AP5" s="23">
        <v>60</v>
      </c>
      <c r="AQ5" s="31">
        <v>0.8490000000000001</v>
      </c>
      <c r="AR5" s="31">
        <v>0.659</v>
      </c>
      <c r="AS5" s="24">
        <v>0.060284144879948584</v>
      </c>
      <c r="AT5" s="24">
        <v>0.04021256927536592</v>
      </c>
      <c r="AU5" s="26">
        <v>6.941806620061916E-05</v>
      </c>
      <c r="AV5" s="92"/>
      <c r="AW5" s="31"/>
      <c r="AX5" s="31"/>
      <c r="AY5" s="31"/>
      <c r="AZ5" s="93"/>
      <c r="BA5" s="52">
        <v>0.17893380000000003</v>
      </c>
      <c r="BB5" s="53">
        <v>0.6679647000000001</v>
      </c>
      <c r="BC5" s="53">
        <v>0.6816915</v>
      </c>
      <c r="BD5" s="54">
        <v>0.8788146</v>
      </c>
      <c r="BE5" s="53">
        <v>0.14009300000000002</v>
      </c>
      <c r="BF5" s="53">
        <v>0.5281053</v>
      </c>
      <c r="BG5" s="53">
        <v>0.5410521</v>
      </c>
      <c r="BH5" s="54">
        <v>0.6881014</v>
      </c>
      <c r="BI5" s="53">
        <v>0.01299123322162892</v>
      </c>
      <c r="BJ5" s="53">
        <v>0.0497163342824936</v>
      </c>
      <c r="BK5" s="53">
        <v>0.0512354947334683</v>
      </c>
      <c r="BL5" s="54">
        <v>0.06381679576991357</v>
      </c>
      <c r="BM5" s="53">
        <v>0.010953903870609676</v>
      </c>
      <c r="BN5" s="53">
        <v>0.040453844691018113</v>
      </c>
      <c r="BO5" s="53">
        <v>0.0414752439506124</v>
      </c>
      <c r="BP5" s="54">
        <v>0.0526945507784395</v>
      </c>
      <c r="BQ5" s="52">
        <v>2.681619897329918E-05</v>
      </c>
      <c r="BR5" s="53">
        <v>9.50194490154075E-05</v>
      </c>
      <c r="BS5" s="53">
        <v>9.679655151014335E-05</v>
      </c>
      <c r="BT5" s="54">
        <v>0.0001259174302813031</v>
      </c>
      <c r="BU5" s="99"/>
      <c r="BV5" s="99"/>
      <c r="BW5" s="99"/>
      <c r="BX5" s="99"/>
      <c r="BY5" s="99"/>
      <c r="BZ5" s="99"/>
      <c r="CA5" s="78"/>
      <c r="CB5" s="78"/>
      <c r="CC5" s="78"/>
      <c r="CD5" s="78"/>
      <c r="CE5" s="78"/>
      <c r="CF5" s="78"/>
      <c r="CG5" s="78"/>
      <c r="CH5" s="78"/>
      <c r="CI5" s="78"/>
      <c r="CJ5" s="78"/>
      <c r="CK5" s="78"/>
      <c r="CL5" s="78"/>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78"/>
      <c r="EB5" s="78"/>
      <c r="EC5" s="78"/>
    </row>
    <row r="6" spans="1:133" ht="12.75">
      <c r="A6" s="65"/>
      <c r="B6" s="57" t="s">
        <v>120</v>
      </c>
      <c r="C6" s="62"/>
      <c r="D6" s="62"/>
      <c r="E6" s="62">
        <v>50</v>
      </c>
      <c r="F6" s="62">
        <v>75</v>
      </c>
      <c r="G6" s="67"/>
      <c r="H6" s="4"/>
      <c r="I6" s="4"/>
      <c r="J6" s="4"/>
      <c r="K6" s="4"/>
      <c r="L6" s="46"/>
      <c r="M6" s="4"/>
      <c r="N6" s="11"/>
      <c r="O6" s="4"/>
      <c r="P6" s="4"/>
      <c r="Q6" s="4"/>
      <c r="R6" s="46"/>
      <c r="S6" s="4"/>
      <c r="T6" s="4"/>
      <c r="U6" s="4"/>
      <c r="V6" s="4"/>
      <c r="W6" s="46"/>
      <c r="X6" s="11"/>
      <c r="Y6" s="4"/>
      <c r="Z6" s="4"/>
      <c r="AA6" s="4"/>
      <c r="AB6" s="46"/>
      <c r="AC6" s="11"/>
      <c r="AD6" s="4"/>
      <c r="AE6" s="4"/>
      <c r="AF6" s="4"/>
      <c r="AG6" s="46"/>
      <c r="AH6" s="4"/>
      <c r="AI6" s="4"/>
      <c r="AJ6" s="4"/>
      <c r="AK6" s="4"/>
      <c r="AL6" s="46"/>
      <c r="AN6" s="23">
        <v>60</v>
      </c>
      <c r="AO6" s="25">
        <f t="shared" si="0"/>
        <v>27.430661383724473</v>
      </c>
      <c r="AP6" s="23">
        <v>90</v>
      </c>
      <c r="AQ6" s="31">
        <v>0.9159999999999999</v>
      </c>
      <c r="AR6" s="31">
        <v>0.805</v>
      </c>
      <c r="AS6" s="24">
        <v>0.2292837872218782</v>
      </c>
      <c r="AT6" s="24">
        <v>0.15371776006091267</v>
      </c>
      <c r="AU6" s="26">
        <v>0.0025857057389816764</v>
      </c>
      <c r="AV6" s="92"/>
      <c r="AW6" s="31"/>
      <c r="AX6" s="31"/>
      <c r="AY6" s="31"/>
      <c r="AZ6" s="93"/>
      <c r="BA6" s="52">
        <v>0.1937944</v>
      </c>
      <c r="BB6" s="53">
        <v>0.7265963999999999</v>
      </c>
      <c r="BC6" s="53">
        <v>0.7428155999999998</v>
      </c>
      <c r="BD6" s="54">
        <v>0.9518311999999998</v>
      </c>
      <c r="BE6" s="53">
        <v>0.1724758</v>
      </c>
      <c r="BF6" s="53">
        <v>0.6558699</v>
      </c>
      <c r="BG6" s="53">
        <v>0.6742479</v>
      </c>
      <c r="BH6" s="54">
        <v>0.8472122</v>
      </c>
      <c r="BI6" s="53">
        <v>0.050475353893068904</v>
      </c>
      <c r="BJ6" s="53">
        <v>0.1976079212959162</v>
      </c>
      <c r="BK6" s="53">
        <v>0.20541386844201065</v>
      </c>
      <c r="BL6" s="54">
        <v>0.2479926059941484</v>
      </c>
      <c r="BM6" s="53">
        <v>0.04258780054254155</v>
      </c>
      <c r="BN6" s="53">
        <v>0.1603607282368697</v>
      </c>
      <c r="BO6" s="53">
        <v>0.1656272216318434</v>
      </c>
      <c r="BP6" s="54">
        <v>0.204973114736329</v>
      </c>
      <c r="BQ6" s="52">
        <v>0.0010147107393071422</v>
      </c>
      <c r="BR6" s="53">
        <v>0.003666134914226284</v>
      </c>
      <c r="BS6" s="53">
        <v>0.003762524433217588</v>
      </c>
      <c r="BT6" s="54">
        <v>0.004768719815329632</v>
      </c>
      <c r="BU6" s="99"/>
      <c r="BV6" s="99"/>
      <c r="BW6" s="99"/>
      <c r="BX6" s="99"/>
      <c r="BY6" s="99"/>
      <c r="BZ6" s="99"/>
      <c r="CA6" s="78"/>
      <c r="CB6" s="78"/>
      <c r="CC6" s="78"/>
      <c r="CD6" s="78"/>
      <c r="CE6" s="78"/>
      <c r="CF6" s="78"/>
      <c r="CG6" s="78"/>
      <c r="CH6" s="78"/>
      <c r="CI6" s="78"/>
      <c r="CJ6" s="78"/>
      <c r="CK6" s="78"/>
      <c r="CL6" s="78"/>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78"/>
      <c r="EB6" s="78"/>
      <c r="EC6" s="78"/>
    </row>
    <row r="7" spans="1:133" ht="12.75">
      <c r="A7" s="68"/>
      <c r="B7" s="69" t="s">
        <v>121</v>
      </c>
      <c r="C7" s="70"/>
      <c r="D7" s="70">
        <v>10000</v>
      </c>
      <c r="E7" s="70"/>
      <c r="F7" s="70"/>
      <c r="G7" s="71"/>
      <c r="H7" s="50"/>
      <c r="I7" s="50"/>
      <c r="J7" s="50"/>
      <c r="K7" s="50"/>
      <c r="L7" s="51"/>
      <c r="M7" s="50"/>
      <c r="N7" s="11"/>
      <c r="O7" s="4"/>
      <c r="P7" s="4"/>
      <c r="Q7" s="4"/>
      <c r="R7" s="46"/>
      <c r="S7" s="4"/>
      <c r="T7" s="4"/>
      <c r="U7" s="4"/>
      <c r="V7" s="4"/>
      <c r="W7" s="46"/>
      <c r="X7" s="11"/>
      <c r="Y7" s="4"/>
      <c r="Z7" s="4"/>
      <c r="AA7" s="4"/>
      <c r="AB7" s="46"/>
      <c r="AC7" s="11"/>
      <c r="AD7" s="4"/>
      <c r="AE7" s="4"/>
      <c r="AF7" s="4"/>
      <c r="AG7" s="46"/>
      <c r="AH7" s="4"/>
      <c r="AI7" s="4"/>
      <c r="AJ7" s="4"/>
      <c r="AK7" s="4"/>
      <c r="AL7" s="46"/>
      <c r="AN7" s="23">
        <v>90</v>
      </c>
      <c r="AO7" s="25">
        <f t="shared" si="0"/>
        <v>36.5742151782993</v>
      </c>
      <c r="AP7" s="23">
        <v>120</v>
      </c>
      <c r="AQ7" s="31">
        <v>0.939</v>
      </c>
      <c r="AR7" s="31">
        <v>0.872</v>
      </c>
      <c r="AS7" s="24">
        <v>0.41132977832842066</v>
      </c>
      <c r="AT7" s="24">
        <v>0.28062137363348166</v>
      </c>
      <c r="AU7" s="26">
        <v>0.019204564243603808</v>
      </c>
      <c r="AV7" s="92"/>
      <c r="AW7" s="31"/>
      <c r="AX7" s="31"/>
      <c r="AY7" s="31"/>
      <c r="AZ7" s="93"/>
      <c r="BA7" s="52">
        <v>0.19904070000000001</v>
      </c>
      <c r="BB7" s="53">
        <v>0.7478828999999999</v>
      </c>
      <c r="BC7" s="53">
        <v>0.7652336999999998</v>
      </c>
      <c r="BD7" s="54">
        <v>0.9776141999999998</v>
      </c>
      <c r="BE7" s="53">
        <v>0.1877585</v>
      </c>
      <c r="BF7" s="53">
        <v>0.7178783999999999</v>
      </c>
      <c r="BG7" s="53">
        <v>0.7395528</v>
      </c>
      <c r="BH7" s="54">
        <v>0.9223191999999999</v>
      </c>
      <c r="BI7" s="53">
        <v>0.09200004446447124</v>
      </c>
      <c r="BJ7" s="53">
        <v>0.36609148606502123</v>
      </c>
      <c r="BK7" s="53">
        <v>0.3828540959735576</v>
      </c>
      <c r="BL7" s="54">
        <v>0.4520661620245825</v>
      </c>
      <c r="BM7" s="53">
        <v>0.07875533041072372</v>
      </c>
      <c r="BN7" s="53">
        <v>0.30081764773898906</v>
      </c>
      <c r="BO7" s="53">
        <v>0.31235317964444764</v>
      </c>
      <c r="BP7" s="54">
        <v>0.3791863954487517</v>
      </c>
      <c r="BQ7" s="52">
        <v>0.00764397339680091</v>
      </c>
      <c r="BR7" s="53">
        <v>0.02808920937261897</v>
      </c>
      <c r="BS7" s="53">
        <v>0.029009894273439533</v>
      </c>
      <c r="BT7" s="54">
        <v>0.035950684027552145</v>
      </c>
      <c r="BU7" s="99"/>
      <c r="BV7" s="99"/>
      <c r="BW7" s="99"/>
      <c r="BX7" s="99"/>
      <c r="BY7" s="99"/>
      <c r="BZ7" s="99"/>
      <c r="CA7" s="78"/>
      <c r="CB7" s="78"/>
      <c r="CC7" s="78"/>
      <c r="CD7" s="78"/>
      <c r="CE7" s="78"/>
      <c r="CF7" s="78"/>
      <c r="CG7" s="78"/>
      <c r="CH7" s="78"/>
      <c r="CI7" s="78"/>
      <c r="CJ7" s="78"/>
      <c r="CK7" s="78"/>
      <c r="CL7" s="78"/>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78"/>
      <c r="EB7" s="78"/>
      <c r="EC7" s="78"/>
    </row>
    <row r="8" spans="1:133" ht="12.75">
      <c r="A8" s="11" t="s">
        <v>83</v>
      </c>
      <c r="B8" s="4"/>
      <c r="C8" s="4"/>
      <c r="D8" s="4"/>
      <c r="E8" s="4"/>
      <c r="F8" s="4"/>
      <c r="G8" s="4"/>
      <c r="H8" s="4"/>
      <c r="I8" s="4"/>
      <c r="J8" s="4"/>
      <c r="K8" s="4"/>
      <c r="L8" s="46"/>
      <c r="M8" s="4"/>
      <c r="N8" s="11"/>
      <c r="O8" s="4"/>
      <c r="P8" s="4"/>
      <c r="Q8" s="4"/>
      <c r="R8" s="46"/>
      <c r="S8" s="4"/>
      <c r="T8" s="4"/>
      <c r="U8" s="4"/>
      <c r="V8" s="4"/>
      <c r="W8" s="46"/>
      <c r="X8" s="11"/>
      <c r="Y8" s="4"/>
      <c r="Z8" s="4"/>
      <c r="AA8" s="4"/>
      <c r="AB8" s="46"/>
      <c r="AC8" s="11"/>
      <c r="AD8" s="4"/>
      <c r="AE8" s="4"/>
      <c r="AF8" s="4"/>
      <c r="AG8" s="46"/>
      <c r="AH8" s="4"/>
      <c r="AI8" s="4"/>
      <c r="AJ8" s="4"/>
      <c r="AK8" s="4"/>
      <c r="AL8" s="46"/>
      <c r="AN8" s="23">
        <v>120</v>
      </c>
      <c r="AO8" s="25">
        <f t="shared" si="0"/>
        <v>45.71776897287412</v>
      </c>
      <c r="AP8" s="23">
        <v>150</v>
      </c>
      <c r="AQ8" s="31">
        <v>0.958</v>
      </c>
      <c r="AR8" s="31">
        <v>0.905</v>
      </c>
      <c r="AS8" s="24">
        <v>0.5536885641237064</v>
      </c>
      <c r="AT8" s="24">
        <v>0.39131378203917333</v>
      </c>
      <c r="AU8" s="26">
        <v>0.0665642178701074</v>
      </c>
      <c r="AV8" s="92"/>
      <c r="AW8" s="31"/>
      <c r="AX8" s="31"/>
      <c r="AY8" s="31"/>
      <c r="AZ8" s="93"/>
      <c r="BA8" s="52">
        <v>0.20349430000000002</v>
      </c>
      <c r="BB8" s="53">
        <v>0.7664249999999999</v>
      </c>
      <c r="BC8" s="53">
        <v>0.7849385999999998</v>
      </c>
      <c r="BD8" s="54">
        <v>0.9995059999999998</v>
      </c>
      <c r="BE8" s="53">
        <v>0.1954937</v>
      </c>
      <c r="BF8" s="53">
        <v>0.7500830999999999</v>
      </c>
      <c r="BG8" s="53">
        <v>0.7737771</v>
      </c>
      <c r="BH8" s="54">
        <v>0.9603417999999999</v>
      </c>
      <c r="BI8" s="53">
        <v>0.12536894385488623</v>
      </c>
      <c r="BJ8" s="53">
        <v>0.5050194251226405</v>
      </c>
      <c r="BK8" s="53">
        <v>0.5304943927218484</v>
      </c>
      <c r="BL8" s="54">
        <v>0.6160919550179107</v>
      </c>
      <c r="BM8" s="53">
        <v>0.1110000289793017</v>
      </c>
      <c r="BN8" s="53">
        <v>0.4289109027460555</v>
      </c>
      <c r="BO8" s="53">
        <v>0.4472429485276235</v>
      </c>
      <c r="BP8" s="54">
        <v>0.5345985368503428</v>
      </c>
      <c r="BQ8" s="52">
        <v>0.026834105046260163</v>
      </c>
      <c r="BR8" s="53">
        <v>0.10007588288490442</v>
      </c>
      <c r="BS8" s="53">
        <v>0.10391392244911761</v>
      </c>
      <c r="BT8" s="54">
        <v>0.12628922332010772</v>
      </c>
      <c r="BU8" s="99"/>
      <c r="BV8" s="99"/>
      <c r="BW8" s="99"/>
      <c r="BX8" s="99"/>
      <c r="BY8" s="99"/>
      <c r="BZ8" s="99"/>
      <c r="CA8" s="78"/>
      <c r="CB8" s="78"/>
      <c r="CC8" s="78"/>
      <c r="CD8" s="78"/>
      <c r="CE8" s="78"/>
      <c r="CF8" s="78"/>
      <c r="CG8" s="78"/>
      <c r="CH8" s="78"/>
      <c r="CI8" s="78"/>
      <c r="CJ8" s="78"/>
      <c r="CK8" s="78"/>
      <c r="CL8" s="78"/>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78"/>
      <c r="EB8" s="78"/>
      <c r="EC8" s="78"/>
    </row>
    <row r="9" spans="1:133" ht="12.75">
      <c r="A9" s="75" t="s">
        <v>76</v>
      </c>
      <c r="B9" s="48"/>
      <c r="C9" s="48"/>
      <c r="D9" s="48"/>
      <c r="E9" s="48"/>
      <c r="F9" s="48"/>
      <c r="G9" s="48"/>
      <c r="H9" s="50">
        <f>SUM(N9:R12)</f>
        <v>0.80146111875</v>
      </c>
      <c r="I9" s="50">
        <f>SUM(S9:W12)</f>
        <v>0.8300043187499999</v>
      </c>
      <c r="J9" s="50">
        <f>SUM(X9:AB12)</f>
        <v>0.8434142624213915</v>
      </c>
      <c r="K9" s="50">
        <f>SUM(AC9:AG12)</f>
        <v>0.9148771720949254</v>
      </c>
      <c r="L9" s="51">
        <f>SUM(AH9:AL12)</f>
        <v>0.9612824047114726</v>
      </c>
      <c r="M9" s="50"/>
      <c r="N9" s="80">
        <v>0</v>
      </c>
      <c r="O9" s="50">
        <f>IF($D4&gt;$D10,(IF($D4*$AN$2&gt;$AP$47,VLOOKUP($D4*$AN$2,$AP$3:$BT$47,12),VLOOKUP($D4*$AN$2,$AP$3:$BT$47,12)+((VLOOKUP($D4*$AN$2,$AN$4:$BT$48,14)-VLOOKUP($D4*$AN$2,$AP$3:$BT$47,12))*($D4*$AN$2-VLOOKUP($D4*$AN$2,$AP$3:$BT$47,1))/(VLOOKUP($D4*$AN$2,$AN$4:$BT$48,3)-VLOOKUP($D4*$AN$2,$AP$3:$BT$47,1)))))-(IF($D10*$AN$2&gt;$AP$47,VLOOKUP($D10*$AN$2,$AP$3:$BT$47,12),VLOOKUP($D10*$AN$2,$AP$3:$BT$47,12)+((VLOOKUP($D10*$AN$2,$AN$4:$BT$48,14)-VLOOKUP($D10*$AN$2,$AP$3:$BT$47,12))*($D10*$AN$2-VLOOKUP($D10*$AN$2,$AP$3:$BT$47,1))/(VLOOKUP($D10*$AN$2,$AN$4:$BT$48,3)-VLOOKUP($D10*$AN$2,$AP$3:$BT$47,1))))),0)</f>
        <v>0</v>
      </c>
      <c r="P9" s="50">
        <f>IF($E4&gt;$E10,(IF($E4*$AN$2&gt;$AP$47,VLOOKUP($E4*$AN$2,$AP$3:$BT$47,13),VLOOKUP($E4*$AN$2,$AP$3:$BT$47,13)+((VLOOKUP($E4*$AN$2,$AN$4:$BT$48,15)-VLOOKUP($E4*$AN$2,$AP$3:$BT$47,13))*($E4*$AN$2-VLOOKUP($E4*$AN$2,$AP$3:$BT$47,1))/(VLOOKUP($E4*$AN$2,$AN$4:$BT$48,3)-VLOOKUP($E4*$AN$2,$AP$3:$BT$47,1)))))-(IF($E10*$AN$2&gt;$AP$47,VLOOKUP($E10*$AN$2,$AP$3:$BT$47,13),VLOOKUP($E10*$AN$2,$AP$3:$BT$47,13)+((VLOOKUP($E10*$AN$2,$AN$4:$BT$48,15)-VLOOKUP($E10*$AN$2,$AP$3:$BT$47,13))*($E10*$AN$2-VLOOKUP($E10*$AN$2,$AP$3:$BT$47,1))/(VLOOKUP($E10*$AN$2,$AN$4:$BT$48,3)-VLOOKUP($E10*$AN$2,$AP$3:$BT$47,1))))),0)</f>
        <v>0</v>
      </c>
      <c r="Q9" s="50">
        <f>IF($F4&gt;$F10,(IF($F4*$AN$2&gt;$AP$47,VLOOKUP($F4*$AN$2,$AP$3:$BT$47,14),VLOOKUP($F4*$AN$2,$AP$3:$BT$47,14)+((VLOOKUP($F4*$AN$2,$AN$4:$BT$48,16)-VLOOKUP($F4*$AN$2,$AP$3:$BT$47,14))*($F4*$AN$2-VLOOKUP(#REF!*$AN$2,$AP$3:$BT$47,1))/(VLOOKUP($F4*$AN$2,$AN$4:$BT$48,3)-VLOOKUP($F4*$AN$2,$AP$3:$BT$47,1)))))-(IF($F10*$AN$2&gt;$AP$47,VLOOKUP($F10*$AN$2,$AP$3:$BT$47,14),VLOOKUP($F10*$AN$2,$AP$3:$BT$47,14)+((VLOOKUP($F10*$AN$2,$AN$4:$BT$48,16)-VLOOKUP($F10*$AN$2,$AP$3:$BT$47,14))*($F10*$AN$2-VLOOKUP($F10*$AN$2,$AP$3:$BT$47,1))/(VLOOKUP($F10*$AN$2,$AN$4:$BT$48,3)-VLOOKUP($F10*$AN$2,$AP$3:$BT$47,1))))),0)</f>
        <v>0</v>
      </c>
      <c r="R9" s="51">
        <f>IF($G4&gt;$G10,(IF($G4*$AN$2&gt;$AP$47,VLOOKUP($G4*$AN$2,$AP$3:$BT$47,15),VLOOKUP($G4*$AN$2,$AP$3:$BT$47,15)+((VLOOKUP($G4*$AN$2,$AN$4:$BT$48,17)-VLOOKUP($G4*$AN$2,$AP$3:$BT$47,15))*($G4*$AN$2-VLOOKUP($G4*$AN$2,$AP$3:$BT$47,1))/(VLOOKUP($G4*$AN$2,$AN$4:$BT$48,3)-VLOOKUP($G4*$AN$2,$AP$3:$BT$47,1)))))-(IF($G10*$AN$2&gt;$AP$47,VLOOKUP($G10*$AN$2,$AP$3:$BT$47,15),VLOOKUP($G10*$AN$2,$AP$3:$BT$47,15)+((VLOOKUP($G10*$AN$2,$AN$4:$BT$48,17)-VLOOKUP($G10*$AN$2,$AP$3:$BT$47,15))*($G10*$AN$2-VLOOKUP($G10*$AN$2,$AP$3:$BT$47,1))/(VLOOKUP($G10*$AN$2,$AN$4:$BT$48,3)-VLOOKUP($G10*$AN$2,$AP$3:$BT$47,1))))),0)</f>
        <v>0</v>
      </c>
      <c r="S9" s="59">
        <v>0</v>
      </c>
      <c r="T9" s="50">
        <f>IF($D4&gt;$D10,(IF($D4*$AN$2&gt;$AP$47,VLOOKUP($D4*$AN$2,$AP$3:$BT$47,16),VLOOKUP($D4*$AN$2,$AP$3:$BT$47,16)+((VLOOKUP($D4*$AN$2,$AN$4:$BT$48,18)-VLOOKUP($D4*$AN$2,$AP$3:$BT$47,16))*($D4*$AN$2-VLOOKUP($D4*$AN$2,$AP$3:$BT$47,1))/(VLOOKUP($D4*$AN$2,$AN$4:$BT$48,3)-VLOOKUP($D4*$AN$2,$AP$3:$BT$47,1)))))-(IF($D10*$AN$2&gt;$AP$47,VLOOKUP($D10*$AN$2,$AP$3:$BT$47,16),VLOOKUP($D10*$AN$2,$AP$3:$BT$47,16)+((VLOOKUP($D10*$AN$2,$AN$4:$BT$48,18)-VLOOKUP($D10*$AN$2,$AP$3:$BT$47,16))*($D10*$AN$2-VLOOKUP($D10*$AN$2,$AP$3:$BT$47,1))/(VLOOKUP($D10*$AN$2,$AN$4:$BT$48,3)-VLOOKUP($D10*$AN$2,$AP$3:$BT$47,1))))),0)</f>
        <v>0</v>
      </c>
      <c r="U9" s="50">
        <f>IF($E4&gt;$E10,(IF($E4*$AN$2&gt;$AP$47,VLOOKUP($E4*$AN$2,$AP$3:$BT$47,17),VLOOKUP($E4*$AN$2,$AP$3:$BT$47,17)+((VLOOKUP($E4*$AN$2,$AN$4:$BT$48,19)-VLOOKUP($E4*$AN$2,$AP$3:$BT$47,17))*($E4*$AN$2-VLOOKUP($E4*$AN$2,$AP$3:$BT$47,1))/(VLOOKUP($E4*$AN$2,$AN$4:$BT$48,3)-VLOOKUP($E4*$AN$2,$AP$3:$BT$47,1)))))-(IF($E10*$AN$2&gt;$AP$47,VLOOKUP($E10*$AN$2,$AP$3:$BT$47,17),VLOOKUP($E10*$AN$2,$AP$3:$BT$47,17)+((VLOOKUP($E10*$AN$2,$AN$4:$BT$48,19)-VLOOKUP($E10*$AN$2,$AP$3:$BT$47,17))*($E10*$AN$2-VLOOKUP($E10*$AN$2,$AP$3:$BT$47,1))/(VLOOKUP($E10*$AN$2,$AN$4:$BT$48,3)-VLOOKUP($E10*$AN$2,$AP$3:$BT$47,1))))),0)</f>
        <v>0</v>
      </c>
      <c r="V9" s="50">
        <f>IF($F4&gt;$F10,(IF($F4*$AN$2&gt;$AP$47,VLOOKUP($F4*$AN$2,$AP$3:$BT$47,18),VLOOKUP($F4*$AN$2,$AP$3:$BT$47,18)+((VLOOKUP($F4*$AN$2,$AN$4:$BT$48,20)-VLOOKUP($F4*$AN$2,$AP$3:$BT$47,18))*($F4*$AN$2-VLOOKUP($F4*$AN$2,$AP$3:$BT$47,1))/(VLOOKUP($F4*$AN$2,$AN$4:$BT$48,3)-VLOOKUP($F4*$AN$2,$AP$3:$BT$47,1)))))-(IF($F10*$AN$2&gt;$AP$47,VLOOKUP($F10*$AN$2,$AP$3:$BT$47,18),VLOOKUP($F10*$AN$2,$AP$3:$BT$47,18)+((VLOOKUP($F10*$AN$2,$AN$4:$BT$48,20)-VLOOKUP($F10*$AN$2,$AP$3:$BT$47,18))*($F10*$AN$2-VLOOKUP($F10*$AN$2,$AP$3:$BT$47,1))/(VLOOKUP($F10*$AN$2,$AN$4:$BT$48,3)-VLOOKUP($F10*$AN$2,$AP$3:$BT$47,1))))),0)</f>
        <v>0</v>
      </c>
      <c r="W9" s="51">
        <f>IF($G4&gt;$G10,(IF($G4*$AN$2&gt;$AP$47,VLOOKUP($G4*$AN$2,$AP$3:$BT$47,19),VLOOKUP($G4*$AN$2,$AP$3:$BT$47,19)+((VLOOKUP($G4*$AN$2,$AN$4:$BT$48,21)-VLOOKUP($G4*$AN$2,$AP$3:$BT$47,19))*($G4*$AN$2-VLOOKUP($G4*$AN$2,$AP$3:$BT$47,1))/(VLOOKUP($G4*$AN$2,$AN$4:$BT$48,3)-VLOOKUP($G4*$AN$2,$AP$3:$BT$47,1)))))-(IF($G10*$AN$2&gt;$AP$47,VLOOKUP($G10*$AN$2,$AP$3:$BT$47,19),VLOOKUP($G10*$AN$2,$AP$3:$BT$47,19)+((VLOOKUP($G10*$AN$2,$AN$4:$BT$48,21)-VLOOKUP($G10*$AN$2,$AP$3:$BT$47,19))*($G10*$AN$2-VLOOKUP($G10*$AN$2,$AP$3:$BT$47,1))/(VLOOKUP($G10*$AN$2,$AN$4:$BT$48,3)-VLOOKUP($G10*$AN$2,$AP$3:$BT$47,1))))),0)</f>
        <v>0</v>
      </c>
      <c r="X9" s="80">
        <v>0</v>
      </c>
      <c r="Y9" s="50">
        <f>IF($D4&gt;$D10,(IF($D4*$AN$2&gt;$AP$47,VLOOKUP($D4*$AN$2,$AP$3:$BT$47,20),VLOOKUP($D4*$AN$2,$AP$3:$BT$47,20)+((VLOOKUP($D4*$AN$2,$AN$4:$BT$48,22)-VLOOKUP($D4*$AN$2,$AP$3:$BT$47,20))*($D4*$AN$2-VLOOKUP($D4*$AN$2,$AP$3:$BT$47,1))/(VLOOKUP($D4*$AN$2,$AN$4:$BT$48,3)-VLOOKUP($D4*$AN$2,$AP$3:$BT$47,1)))))-(IF($D10*$AN$2&gt;$AP$47,VLOOKUP($D10*$AN$2,$AP$3:$BT$47,20),VLOOKUP($D10*$AN$2,$AP$3:$BT$47,20)+((VLOOKUP($D10*$AN$2,$AN$4:$BT$48,22)-VLOOKUP($D10*$AN$2,$AP$3:$BT$47,20))*($D10*$AN$2-VLOOKUP($D10*$AN$2,$AP$3:$BT$47,1))/(VLOOKUP($D10*$AN$2,$AN$4:$BT$48,3)-VLOOKUP($D10*$AN$2,$AP$3:$BT$47,1))))),0)</f>
        <v>0</v>
      </c>
      <c r="Z9" s="50">
        <f>IF($E4&gt;$E10,(IF($E4*$AN$2&gt;$AP$47,VLOOKUP($E4*$AN$2,$AP$3:$BT$47,21),VLOOKUP($E4*$AN$2,$AP$3:$BT$47,21)+((VLOOKUP($E4*$AN$2,$AN$4:$BT$48,23)-VLOOKUP($E4*$AN$2,$AP$3:$BT$47,21))*($E4*$AN$2-VLOOKUP($E4*$AN$2,$AP$3:$BT$47,1))/(VLOOKUP($E4*$AN$2,$AN$4:$BT$48,3)-VLOOKUP($E4*$AN$2,$AP$3:$BT$47,1)))))-(IF($E10*$AN$2&gt;$AP$47,VLOOKUP($E10*$AN$2,$AP$3:$BT$47,21),VLOOKUP($E10*$AN$2,$AP$3:$BT$47,21)+((VLOOKUP($E10*$AN$2,$AN$4:$BT$48,23)-VLOOKUP($E10*$AN$2,$AP$3:$BT$47,21))*($E10*$AN$2-VLOOKUP($E10*$AN$2,$AP$3:$BT$47,1))/(VLOOKUP($E10*$AN$2,$AN$4:$BT$48,3)-VLOOKUP($E10*$AN$2,$AP$3:$BT$47,1))))),0)</f>
        <v>0</v>
      </c>
      <c r="AA9" s="50">
        <f>IF($F4&gt;$F10,(IF($F4*$AN$2&gt;$AP$47,VLOOKUP($F4*$AN$2,$AP$3:$BT$47,22),VLOOKUP($F4*$AN$2,$AP$3:$BT$47,22)+((VLOOKUP($F4*$AN$2,$AN$4:$BT$48,24)-VLOOKUP($F4*$AN$2,$AP$3:$BT$47,22))*($F4*$AN$2-VLOOKUP($F4*$AN$2,$AP$3:$BT$47,1))/(VLOOKUP($F4*$AN$2,$AN$4:$BT$48,3)-VLOOKUP($F4*$AN$2,$AP$3:$BT$47,1)))))-(IF($F10*$AN$2&gt;$AP$47,VLOOKUP($F10*$AN$2,$AP$3:$BT$47,22),VLOOKUP($F10*$AN$2,$AP$3:$BT$47,22)+((VLOOKUP($F10*$AN$2,$AN$4:$BT$48,24)-VLOOKUP($F10*$AN$2,$AP$3:$BT$47,22))*($F10*$AN$2-VLOOKUP($F10*$AN$2,$AP$3:$BT$47,1))/(VLOOKUP($F10*$AN$2,$AN$4:$BT$48,3)-VLOOKUP($F10*$AN$2,$AP$3:$BT$47,1))))),0)</f>
        <v>0</v>
      </c>
      <c r="AB9" s="51">
        <f>IF($G4&gt;$G10,(IF($G4*$AN$2&gt;$AP$47,VLOOKUP($G4*$AN$2,$AP$3:$BT$47,23),VLOOKUP($G4*$AN$2,$AP$3:$BT$47,23)+((VLOOKUP($G4*$AN$2,$AN$4:$BT$48,25)-VLOOKUP($G4*$AN$2,$AP$3:$BT$47,23))*($G4*$AN$2-VLOOKUP($G4*$AN$2,$AP$3:$BT$47,1))/(VLOOKUP($G4*$AN$2,$AN$4:$BT$48,3)-VLOOKUP($G4*$AN$2,$AP$3:$BT$47,1)))))-(IF($G10*$AN$2&gt;$AP$47,VLOOKUP($G10*$AN$2,$AP$3:$BT$47,23),VLOOKUP($G10*$AN$2,$AP$3:$BT$47,23)+((VLOOKUP($G10*$AN$2,$AN$4:$BT$48,25)-VLOOKUP($G10*$AN$2,$AP$3:$BT$47,23))*($G10*$AN$2-VLOOKUP($G10*$AN$2,$AP$3:$BT$47,1))/(VLOOKUP($G10*$AN$2,$AN$4:$BT$48,3)-VLOOKUP($G10*$AN$2,$AP$3:$BT$47,1))))),0)</f>
        <v>0</v>
      </c>
      <c r="AC9" s="80">
        <v>0</v>
      </c>
      <c r="AD9" s="50">
        <f>IF($D4&gt;$D10,(IF($D4*$AN$2&gt;$AP$47,VLOOKUP($D4*$AN$2,$AP$3:$BT$47,24),VLOOKUP($D4*$AN$2,$AP$3:$BT$47,24)+((VLOOKUP($D4*$AN$2,$AN$4:$BT$48,26)-VLOOKUP($D4*$AN$2,$AP$3:$BT$47,24))*($D4*$AN$2-VLOOKUP($D4*$AN$2,$AP$3:$BT$47,1))/(VLOOKUP($D4*$AN$2,$AN$4:$BT$48,3)-VLOOKUP($D4*$AN$2,$AP$3:$BT$47,1)))))-(IF($D10*$AN$2&gt;$AP$47,VLOOKUP($D10*$AN$2,$AP$3:$BT$47,24),VLOOKUP($D10*$AN$2,$AP$3:$BT$47,24)+((VLOOKUP($D10*$AN$2,$AN$4:$BT$48,26)-VLOOKUP($D10*$AN$2,$AP$3:$BT$47,24))*($D10*$AN$2-VLOOKUP($D10*$AN$2,$AP$3:$BT$47,1))/(VLOOKUP($D10*$AN$2,$AN$4:$BT$48,3)-VLOOKUP($D10*$AN$2,$AP$3:$BT$47,1))))),0)</f>
        <v>0</v>
      </c>
      <c r="AE9" s="50">
        <f>IF($E4&gt;$E10,(IF($E4*$AN$2&gt;$AP$47,VLOOKUP($E4*$AN$2,$AP$3:$BT$47,25),VLOOKUP($E4*$AN$2,$AP$3:$BT$47,25)+((VLOOKUP($E4*$AN$2,$AN$4:$BT$48,27)-VLOOKUP($E4*$AN$2,$AP$3:$BT$47,25))*($E4*$AN$2-VLOOKUP($E4*$AN$2,$AP$3:$BT$47,1))/(VLOOKUP($E4*$AN$2,$AN$4:$BT$48,3)-VLOOKUP($E4*$AN$2,$AP$3:$BT$47,1)))))-(IF($E10*$AN$2&gt;$AP$47,VLOOKUP($E10*$AN$2,$AP$3:$BT$47,25),VLOOKUP($E10*$AN$2,$AP$3:$BT$47,25)+((VLOOKUP($E10*$AN$2,$AN$4:$BT$48,27)-VLOOKUP($E10*$AN$2,$AP$3:$BT$47,25))*($E10*$AN$2-VLOOKUP($E10*$AN$2,$AP$3:$BT$47,1))/(VLOOKUP($E10*$AN$2,$AN$4:$BT$48,3)-VLOOKUP($E10*$AN$2,$AP$3:$BT$47,1))))),0)</f>
        <v>0</v>
      </c>
      <c r="AF9" s="50">
        <f>IF($F4&gt;$F10,(IF($F4*$AN$2&gt;$AP$47,VLOOKUP($F4*$AN$2,$AP$3:$BT$47,26),VLOOKUP($F4*$AN$2,$AP$3:$BT$47,26)+((VLOOKUP($F4*$AN$2,$AN$4:$BT$48,28)-VLOOKUP($F4*$AN$2,$AP$3:$BT$47,26))*($F4*$AN$2-VLOOKUP($F4*$AN$2,$AP$3:$BT$47,1))/(VLOOKUP($F4*$AN$2,$AN$4:$BT$48,3)-VLOOKUP($F4*$AN$2,$AP$3:$BT$47,1)))))-(IF($F10*$AN$2&gt;$AP$47,VLOOKUP($F10*$AN$2,$AP$3:$BT$47,26),VLOOKUP($F10*$AN$2,$AP$3:$BT$47,26)+((VLOOKUP($F10*$AN$2,$AN$4:$BT$48,28)-VLOOKUP($F10*$AN$2,$AP$3:$BT$47,26))*($F10*$AN$2-VLOOKUP($F10*$AN$2,$AP$3:$BT$47,1))/(VLOOKUP($F10*$AN$2,$AN$4:$BT$48,3)-VLOOKUP($F10*$AN$2,$AP$3:$BT$47,1))))),0)</f>
        <v>0</v>
      </c>
      <c r="AG9" s="51">
        <f>IF($G4&gt;$G10,(IF($G4*$AN$2&gt;$AP$47,VLOOKUP($G4*$AN$2,$AP$3:$BT$47,27),VLOOKUP($G4*$AN$2,$AP$3:$BT$47,27)+((VLOOKUP($G4*$AN$2,$AN$4:$BT$48,29)-VLOOKUP($G4*$AN$2,$AP$3:$BT$47,27))*($G4*$AN$2-VLOOKUP($G4*$AN$2,$AP$3:$BT$47,1))/(VLOOKUP($G4*$AN$2,$AN$4:$BT$48,3)-VLOOKUP($G4*$AN$2,$AP$3:$BT$47,1)))))-(IF($G10*$AN$2&gt;$AP$47,VLOOKUP($G10*$AN$2,$AP$3:$BT$47,27),VLOOKUP($G10*$AN$2,$AP$3:$BT$47,27)+((VLOOKUP($G10*$AN$2,$AN$4:$BT$48,29)-VLOOKUP($G10*$AN$2,$AP$3:$BT$47,27))*($G10*$AN$2-VLOOKUP($G10*$AN$2,$AP$3:$BT$47,1))/(VLOOKUP($G10*$AN$2,$AN$4:$BT$48,3)-VLOOKUP($G10*$AN$2,$AP$3:$BT$47,1))))),0)</f>
        <v>0</v>
      </c>
      <c r="AH9" s="59">
        <v>0</v>
      </c>
      <c r="AI9" s="50">
        <f>IF($D4&gt;$D10,(IF($D4*$AN$2&gt;$AP$47,VLOOKUP($D4*$AN$2,$AP$3:$BT$47,28),VLOOKUP($D4*$AN$2,$AP$3:$BT$47,28)+((VLOOKUP($D4*$AN$2,$AN$4:$BT$48,30)-VLOOKUP($D4*$AN$2,$AP$3:$BT$47,28))*($D4*$AN$2-VLOOKUP($D4*$AN$2,$AP$3:$BT$47,1))/(VLOOKUP($D4*$AN$2,$AN$4:$BT$48,3)-VLOOKUP($D4*$AN$2,$AP$3:$BT$47,1)))))-(IF($D10*$AN$2&gt;$AP$47,VLOOKUP($D10*$AN$2,$AP$3:$BT$47,28),VLOOKUP($D10*$AN$2,$AP$3:$BT$47,28)+((VLOOKUP($D10*$AN$2,$AN$4:$BT$48,30)-VLOOKUP($D10*$AN$2,$AP$3:$BT$47,28))*($D10*$AN$2-VLOOKUP($D10*$AN$2,$AP$3:$BT$47,1))/(VLOOKUP($D10*$AN$2,$AN$4:$BT$48,3)-VLOOKUP($D10*$AN$2,$AP$3:$BT$47,1))))),0)</f>
        <v>0</v>
      </c>
      <c r="AJ9" s="50">
        <f>IF($E4&gt;$E10,(IF($E4*$AN$2&gt;$AP$47,VLOOKUP($E4*$AN$2,$AP$3:$BT$47,29),VLOOKUP($E4*$AN$2,$AP$3:$BT$47,29)+((VLOOKUP($E4*$AN$2,$AN$4:$BT$48,31)-VLOOKUP($E4*$AN$2,$AP$3:$BT$47,29))*($E4*$AN$2-VLOOKUP($E4*$AN$2,$AP$3:$BT$47,1))/(VLOOKUP($E4*$AN$2,$AN$4:$BT$48,3)-VLOOKUP($E4*$AN$2,$AP$3:$BT$47,1)))))-(IF($E10*$AN$2&gt;$AP$47,VLOOKUP($E10*$AN$2,$AP$3:$BT$47,29),VLOOKUP($E10*$AN$2,$AP$3:$BT$47,29)+((VLOOKUP($E10*$AN$2,$AN$4:$BT$48,31)-VLOOKUP($E10*$AN$2,$AP$3:$BT$47,29))*($E10*$AN$2-VLOOKUP($E10*$AN$2,$AP$3:$BT$47,1))/(VLOOKUP($E10*$AN$2,$AN$4:$BT$48,3)-VLOOKUP($E10*$AN$2,$AP$3:$BT$47,1))))),0)</f>
        <v>0</v>
      </c>
      <c r="AK9" s="50">
        <f>IF($F4&gt;$F10,(IF($F4*$AN$2&gt;$AP$47,VLOOKUP($F4*$AN$2,$AP$3:$BT$47,30),VLOOKUP($F4*$AN$2,$AP$3:$BT$47,30)+((VLOOKUP($F4*$AN$2,$AN$4:$BT$48,32)-VLOOKUP($F4*$AN$2,$AP$3:$BT$47,30))*($F4*$AN$2-VLOOKUP($F4*$AN$2,$AP$3:$BT$47,1))/(VLOOKUP($F4*$AN$2,$AN$4:$BT$48,3)-VLOOKUP($F4*$AN$2,$AP$3:$BT$47,1)))))-(IF($F10*$AN$2&gt;$AP$47,VLOOKUP($F10*$AN$2,$AP$3:$BT$47,30),VLOOKUP($F10*$AN$2,$AP$3:$BT$47,30)+((VLOOKUP($F10*$AN$2,$AN$4:$BT$48,32)-VLOOKUP($F10*$AN$2,$AP$3:$BT$47,30))*($F10*$AN$2-VLOOKUP($F10*$AN$2,$AP$3:$BT$47,1))/(VLOOKUP($F10*$AN$2,$AN$4:$BT$48,3)-VLOOKUP($F10*$AN$2,$AP$3:$BT$47,1))))),0)</f>
        <v>0</v>
      </c>
      <c r="AL9" s="51">
        <f>IF($G4&gt;$G10,(IF($G4*$AN$2&gt;$AP$47,VLOOKUP($G4*$AN$2,$AP$3:$BT$47,31),VLOOKUP($G4*$AN$2,$AP$3:$BT$47,31)+((VLOOKUP($G4*$AN$2,$AN$4:$BT$48,33)-VLOOKUP($G4*$AN$2,$AP$3:$BT$47,31))*($G4*$AN$2-VLOOKUP($G4*$AN$2,$AP$3:$BT$47,1))/(VLOOKUP($G4*$AN$2,$AN$4:$BT$48,3)-VLOOKUP($G4*$AN$2,$AP$3:$BT$47,1)))))-(IF($G10*$AN$2&gt;$AP$47,VLOOKUP($G10*$AN$2,$AP$3:$BT$47,31),VLOOKUP($G10*$AN$2,$AP$3:$BT$47,31)+((VLOOKUP($G10*$AN$2,$AN$4:$BT$48,33)-VLOOKUP($G10*$AN$2,$AP$3:$BT$47,31))*($G10*$AN$2-VLOOKUP($G10*$AN$2,$AP$3:$BT$47,1))/(VLOOKUP($G10*$AN$2,$AN$4:$BT$48,3)-VLOOKUP($G10*$AN$2,$AP$3:$BT$47,1))))),0)</f>
        <v>0</v>
      </c>
      <c r="AN9" s="23">
        <v>150</v>
      </c>
      <c r="AO9" s="25">
        <f t="shared" si="0"/>
        <v>54.86132276744895</v>
      </c>
      <c r="AP9" s="23">
        <v>180</v>
      </c>
      <c r="AQ9" s="31">
        <v>0.968</v>
      </c>
      <c r="AR9" s="31">
        <v>0.926</v>
      </c>
      <c r="AS9" s="24">
        <v>0.6644123424181659</v>
      </c>
      <c r="AT9" s="24">
        <v>0.5095439677476216</v>
      </c>
      <c r="AU9" s="26">
        <v>0.19980721840653304</v>
      </c>
      <c r="AV9" s="92"/>
      <c r="AW9" s="31"/>
      <c r="AX9" s="31"/>
      <c r="AY9" s="31"/>
      <c r="AZ9" s="93"/>
      <c r="BA9" s="52">
        <v>0.2059013</v>
      </c>
      <c r="BB9" s="53">
        <v>0.7766879999999999</v>
      </c>
      <c r="BC9" s="53">
        <v>0.7959335999999998</v>
      </c>
      <c r="BD9" s="54">
        <v>1.0113399999999997</v>
      </c>
      <c r="BE9" s="53">
        <v>0.2005484</v>
      </c>
      <c r="BF9" s="53">
        <v>0.7716353999999999</v>
      </c>
      <c r="BG9" s="53">
        <v>0.7968666</v>
      </c>
      <c r="BH9" s="54">
        <v>0.9851931999999999</v>
      </c>
      <c r="BI9" s="53">
        <v>0.15202015729036264</v>
      </c>
      <c r="BJ9" s="53">
        <v>0.6186552387862444</v>
      </c>
      <c r="BK9" s="53">
        <v>0.6522351869566066</v>
      </c>
      <c r="BL9" s="54">
        <v>0.7471224742515741</v>
      </c>
      <c r="BM9" s="53">
        <v>0.1461853322461359</v>
      </c>
      <c r="BN9" s="53">
        <v>0.5716856750075776</v>
      </c>
      <c r="BO9" s="53">
        <v>0.5986958164201457</v>
      </c>
      <c r="BP9" s="54">
        <v>0.7042824993791077</v>
      </c>
      <c r="BQ9" s="52">
        <v>0.0816635997669993</v>
      </c>
      <c r="BR9" s="53">
        <v>0.30932069092730724</v>
      </c>
      <c r="BS9" s="53">
        <v>0.32296541533100137</v>
      </c>
      <c r="BT9" s="54">
        <v>0.3846074284600761</v>
      </c>
      <c r="BU9" s="99"/>
      <c r="BV9" s="99"/>
      <c r="BW9" s="99"/>
      <c r="BX9" s="99"/>
      <c r="BY9" s="99"/>
      <c r="BZ9" s="99"/>
      <c r="CA9" s="78"/>
      <c r="CB9" s="78"/>
      <c r="CC9" s="78"/>
      <c r="CD9" s="78"/>
      <c r="CE9" s="78"/>
      <c r="CF9" s="78"/>
      <c r="CG9" s="78"/>
      <c r="CH9" s="78"/>
      <c r="CI9" s="78"/>
      <c r="CJ9" s="78"/>
      <c r="CK9" s="78"/>
      <c r="CL9" s="78"/>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78"/>
      <c r="EB9" s="78"/>
      <c r="EC9" s="78"/>
    </row>
    <row r="10" spans="1:133" ht="12.75">
      <c r="A10" s="72"/>
      <c r="B10" s="4"/>
      <c r="C10" s="48">
        <v>0</v>
      </c>
      <c r="D10" s="48">
        <f>MAX(C4)</f>
        <v>0</v>
      </c>
      <c r="E10" s="48">
        <f>MAX(C4:D4)</f>
        <v>0</v>
      </c>
      <c r="F10" s="48">
        <f>MAX(C4:E4)</f>
        <v>0</v>
      </c>
      <c r="G10" s="48">
        <f>MAX(C4:F4)</f>
        <v>0</v>
      </c>
      <c r="H10" s="4"/>
      <c r="I10" s="4"/>
      <c r="J10" s="4"/>
      <c r="K10" s="4"/>
      <c r="L10" s="46"/>
      <c r="M10" s="4"/>
      <c r="N10" s="80">
        <v>0</v>
      </c>
      <c r="O10" s="50">
        <f>IF($D5&gt;$D11,(IF($D5*$AN$2&gt;$AP$47,VLOOKUP($D5*$AN$2,$AP$3:$BT$47,12),VLOOKUP($D5*$AN$2,$AP$3:$BT$47,12)+((VLOOKUP($D5*$AN$2,$AN$4:$BT$48,14)-VLOOKUP($D5*$AN$2,$AP$3:$BT$47,12))*($D5*$AN$2-VLOOKUP($D5*$AN$2,$AP$3:$BT$47,1))/(VLOOKUP($D5*$AN$2,$AN$4:$BT$48,3)-VLOOKUP($D5*$AN$2,$AP$3:$BT$47,1)))))-(IF($D11*$AN$2&gt;$AP$47,VLOOKUP($D11*$AN$2,$AP$3:$BT$47,12),VLOOKUP($D11*$AN$2,$AP$3:$BT$47,12)+((VLOOKUP($D11*$AN$2,$AN$4:$BT$48,14)-VLOOKUP($D11*$AN$2,$AP$3:$BT$47,12))*($D11*$AN$2-VLOOKUP($D11*$AN$2,$AP$3:$BT$47,1))/(VLOOKUP($D11*$AN$2,$AN$4:$BT$48,3)-VLOOKUP($D11*$AN$2,$AP$3:$BT$47,1))))),0)</f>
        <v>0</v>
      </c>
      <c r="P10" s="50">
        <f>IF($E5&gt;$E11,(IF($E5*$AN$2&gt;$AP$47,VLOOKUP($E5*$AN$2,$AP$3:$BT$47,13),VLOOKUP($E5*$AN$2,$AP$3:$BT$47,13)+((VLOOKUP($E5*$AN$2,$AN$4:$BT$48,15)-VLOOKUP($E5*$AN$2,$AP$3:$BT$47,13))*($E5*$AN$2-VLOOKUP($E5*$AN$2,$AP$3:$BT$47,1))/(VLOOKUP($E5*$AN$2,$AN$4:$BT$48,3)-VLOOKUP($E5*$AN$2,$AP$3:$BT$47,1)))))-(IF($E11*$AN$2&gt;$AP$47,VLOOKUP($E11*$AN$2,$AP$3:$BT$47,13),VLOOKUP($E11*$AN$2,$AP$3:$BT$47,13)+((VLOOKUP($E11*$AN$2,$AN$4:$BT$48,15)-VLOOKUP($E11*$AN$2,$AP$3:$BT$47,13))*($E11*$AN$2-VLOOKUP($E11*$AN$2,$AP$3:$BT$47,1))/(VLOOKUP($E11*$AN$2,$AN$4:$BT$48,3)-VLOOKUP($E11*$AN$2,$AP$3:$BT$47,1))))),0)</f>
        <v>0</v>
      </c>
      <c r="Q10" s="50">
        <f>IF($F5&gt;$F11,(IF($F5*$AN$2&gt;$AP$47,VLOOKUP($F5*$AN$2,$AP$3:$BT$47,14),VLOOKUP($F5*$AN$2,$AP$3:$BT$47,14)+((VLOOKUP($F5*$AN$2,$AN$4:$BT$48,16)-VLOOKUP($F5*$AN$2,$AP$3:$BT$47,14))*($F5*$AN$2-VLOOKUP($F5*$AN$2,$AP$3:$BT$47,1))/(VLOOKUP($F5*$AN$2,$AN$4:$BT$48,3)-VLOOKUP($F5*$AN$2,$AP$3:$BT$47,1)))))-(IF($F11*$AN$2&gt;$AP$47,VLOOKUP($F11*$AN$2,$AP$3:$BT$47,14),VLOOKUP($F11*$AN$2,$AP$3:$BT$47,14)+((VLOOKUP($F11*$AN$2,$AN$4:$BT$48,16)-VLOOKUP($F11*$AN$2,$AP$3:$BT$47,14))*($F11*$AN$2-VLOOKUP($F11*$AN$2,$AP$3:$BT$47,1))/(VLOOKUP($F11*$AN$2,$AN$4:$BT$48,3)-VLOOKUP($F11*$AN$2,$AP$3:$BT$47,1))))),0)</f>
        <v>0</v>
      </c>
      <c r="R10" s="51">
        <f>IF($G5&gt;$G11,(IF($G5*$AN$2&gt;$AP$47,VLOOKUP($G5*$AN$2,$AP$3:$BT$47,15),VLOOKUP($G5*$AN$2,$AP$3:$BT$47,15)+((VLOOKUP($G5*$AN$2,$AN$4:$BT$48,17)-VLOOKUP($G5*$AN$2,$AP$3:$BT$47,15))*($G5*$AN$2-VLOOKUP($G5*$AN$2,$AP$3:$BT$47,1))/(VLOOKUP($G5*$AN$2,$AN$4:$BT$48,3)-VLOOKUP($G5*$AN$2,$AP$3:$BT$47,1)))))-(IF($G11*$AN$2&gt;$AP$47,VLOOKUP($G11*$AN$2,$AP$3:$BT$47,15),VLOOKUP($G11*$AN$2,$AP$3:$BT$47,15)+((VLOOKUP($G11*$AN$2,$AN$4:$BT$48,17)-VLOOKUP($G11*$AN$2,$AP$3:$BT$47,15))*($G11*$AN$2-VLOOKUP($G11*$AN$2,$AP$3:$BT$47,1))/(VLOOKUP($G11*$AN$2,$AN$4:$BT$48,3)-VLOOKUP($G11*$AN$2,$AP$3:$BT$47,1))))),0)</f>
        <v>0</v>
      </c>
      <c r="S10" s="59">
        <v>0</v>
      </c>
      <c r="T10" s="50">
        <f>IF($D5&gt;$D11,(IF($D5*$AN$2&gt;$AP$47,VLOOKUP($D5*$AN$2,$AP$3:$BT$47,16),VLOOKUP($D5*$AN$2,$AP$3:$BT$47,16)+((VLOOKUP($D5*$AN$2,$AN$4:$BT$48,18)-VLOOKUP($D5*$AN$2,$AP$3:$BT$47,16))*($D5*$AN$2-VLOOKUP($D5*$AN$2,$AP$3:$BT$47,1))/(VLOOKUP($D5*$AN$2,$AN$4:$BT$48,3)-VLOOKUP($D5*$AN$2,$AP$3:$BT$47,1)))))-(IF($D11*$AN$2&gt;$AP$47,VLOOKUP($D11*$AN$2,$AP$3:$BT$47,16),VLOOKUP($D11*$AN$2,$AP$3:$BT$47,16)+((VLOOKUP($D11*$AN$2,$AN$4:$BT$48,18)-VLOOKUP($D11*$AN$2,$AP$3:$BT$47,16))*($D11*$AN$2-VLOOKUP($D11*$AN$2,$AP$3:$BT$47,1))/(VLOOKUP($D11*$AN$2,$AN$4:$BT$48,3)-VLOOKUP($D11*$AN$2,$AP$3:$BT$47,1))))),0)</f>
        <v>0</v>
      </c>
      <c r="U10" s="50">
        <f>IF($E5&gt;$E11,(IF($E5*$AN$2&gt;$AP$47,VLOOKUP($E5*$AN$2,$AP$3:$BT$47,17),VLOOKUP($E5*$AN$2,$AP$3:$BT$47,17)+((VLOOKUP($E5*$AN$2,$AN$4:$BT$48,19)-VLOOKUP($E5*$AN$2,$AP$3:$BT$47,17))*($E5*$AN$2-VLOOKUP($E5*$AN$2,$AP$3:$BT$47,1))/(VLOOKUP($E5*$AN$2,$AN$4:$BT$48,3)-VLOOKUP($E5*$AN$2,$AP$3:$BT$47,1)))))-(IF($E11*$AN$2&gt;$AP$47,VLOOKUP($E11*$AN$2,$AP$3:$BT$47,17),VLOOKUP($E11*$AN$2,$AP$3:$BT$47,17)+((VLOOKUP($E11*$AN$2,$AN$4:$BT$48,19)-VLOOKUP($E11*$AN$2,$AP$3:$BT$47,17))*($E11*$AN$2-VLOOKUP($E11*$AN$2,$AP$3:$BT$47,1))/(VLOOKUP($E11*$AN$2,$AN$4:$BT$48,3)-VLOOKUP($E11*$AN$2,$AP$3:$BT$47,1))))),0)</f>
        <v>0</v>
      </c>
      <c r="V10" s="50">
        <f>IF($F5&gt;$F11,(IF($F5*$AN$2&gt;$AP$47,VLOOKUP($F5*$AN$2,$AP$3:$BT$47,18),VLOOKUP($F5*$AN$2,$AP$3:$BT$47,18)+((VLOOKUP($F5*$AN$2,$AN$4:$BT$48,20)-VLOOKUP($F5*$AN$2,$AP$3:$BT$47,18))*($F5*$AN$2-VLOOKUP($F5*$AN$2,$AP$3:$BT$47,1))/(VLOOKUP($F5*$AN$2,$AN$4:$BT$48,3)-VLOOKUP($F5*$AN$2,$AP$3:$BT$47,1)))))-(IF($F11*$AN$2&gt;$AP$47,VLOOKUP($F11*$AN$2,$AP$3:$BT$47,18),VLOOKUP($F11*$AN$2,$AP$3:$BT$47,18)+((VLOOKUP($F11*$AN$2,$AN$4:$BT$48,20)-VLOOKUP($F11*$AN$2,$AP$3:$BT$47,18))*($F11*$AN$2-VLOOKUP($F11*$AN$2,$AP$3:$BT$47,1))/(VLOOKUP($F11*$AN$2,$AN$4:$BT$48,3)-VLOOKUP($F11*$AN$2,$AP$3:$BT$47,1))))),0)</f>
        <v>0</v>
      </c>
      <c r="W10" s="51">
        <f>IF($G5&gt;$G11,(IF($G5*$AN$2&gt;$AP$47,VLOOKUP($G5*$AN$2,$AP$3:$BT$47,19),VLOOKUP($G5*$AN$2,$AP$3:$BT$47,19)+((VLOOKUP($G5*$AN$2,$AN$4:$BT$48,21)-VLOOKUP($G5*$AN$2,$AP$3:$BT$47,19))*($G5*$AN$2-VLOOKUP($G5*$AN$2,$AP$3:$BT$47,1))/(VLOOKUP($G5*$AN$2,$AN$4:$BT$48,3)-VLOOKUP($G5*$AN$2,$AP$3:$BT$47,1)))))-(IF($G11*$AN$2&gt;$AP$47,VLOOKUP($G11*$AN$2,$AP$3:$BT$47,19),VLOOKUP($G11*$AN$2,$AP$3:$BT$47,19)+((VLOOKUP($G11*$AN$2,$AN$4:$BT$48,21)-VLOOKUP($G11*$AN$2,$AP$3:$BT$47,19))*($G11*$AN$2-VLOOKUP($G11*$AN$2,$AP$3:$BT$47,1))/(VLOOKUP($G11*$AN$2,$AN$4:$BT$48,3)-VLOOKUP($G11*$AN$2,$AP$3:$BT$47,1))))),0)</f>
        <v>0</v>
      </c>
      <c r="X10" s="80">
        <v>0</v>
      </c>
      <c r="Y10" s="50">
        <f>IF($D5&gt;$D11,(IF($D5*$AN$2&gt;$AP$47,VLOOKUP($D5*$AN$2,$AP$3:$BT$47,20),VLOOKUP($D5*$AN$2,$AP$3:$BT$47,20)+((VLOOKUP($D5*$AN$2,$AN$4:$BT$48,22)-VLOOKUP($D5*$AN$2,$AP$3:$BT$47,20))*($D5*$AN$2-VLOOKUP($D5*$AN$2,$AP$3:$BT$47,1))/(VLOOKUP($D5*$AN$2,$AN$4:$BT$48,3)-VLOOKUP($D5*$AN$2,$AP$3:$BT$47,1)))))-(IF($D11*$AN$2&gt;$AP$47,VLOOKUP($D11*$AN$2,$AP$3:$BT$47,20),VLOOKUP($D11*$AN$2,$AP$3:$BT$47,20)+((VLOOKUP($D11*$AN$2,$AN$4:$BT$48,22)-VLOOKUP($D11*$AN$2,$AP$3:$BT$47,20))*($D11*$AN$2-VLOOKUP($D11*$AN$2,$AP$3:$BT$47,1))/(VLOOKUP($D11*$AN$2,$AN$4:$BT$48,3)-VLOOKUP($D11*$AN$2,$AP$3:$BT$47,1))))),0)</f>
        <v>0</v>
      </c>
      <c r="Z10" s="50">
        <f>IF($E5&gt;$E11,(IF($E5*$AN$2&gt;$AP$47,VLOOKUP($E5*$AN$2,$AP$3:$BT$47,21),VLOOKUP($E5*$AN$2,$AP$3:$BT$47,21)+((VLOOKUP($E5*$AN$2,$AN$4:$BT$48,23)-VLOOKUP($E5*$AN$2,$AP$3:$BT$47,21))*($E5*$AN$2-VLOOKUP($E5*$AN$2,$AP$3:$BT$47,1))/(VLOOKUP($E5*$AN$2,$AN$4:$BT$48,3)-VLOOKUP($E5*$AN$2,$AP$3:$BT$47,1)))))-(IF($E11*$AN$2&gt;$AP$47,VLOOKUP($E11*$AN$2,$AP$3:$BT$47,21),VLOOKUP($E11*$AN$2,$AP$3:$BT$47,21)+((VLOOKUP($E11*$AN$2,$AN$4:$BT$48,23)-VLOOKUP($E11*$AN$2,$AP$3:$BT$47,21))*($E11*$AN$2-VLOOKUP($E11*$AN$2,$AP$3:$BT$47,1))/(VLOOKUP($E11*$AN$2,$AN$4:$BT$48,3)-VLOOKUP($E11*$AN$2,$AP$3:$BT$47,1))))),0)</f>
        <v>0</v>
      </c>
      <c r="AA10" s="50">
        <f>IF($F5&gt;$F11,(IF($F5*$AN$2&gt;$AP$47,VLOOKUP($F5*$AN$2,$AP$3:$BT$47,22),VLOOKUP($F5*$AN$2,$AP$3:$BT$47,22)+((VLOOKUP($F5*$AN$2,$AN$4:$BT$48,24)-VLOOKUP($F5*$AN$2,$AP$3:$BT$47,22))*($F5*$AN$2-VLOOKUP($F5*$AN$2,$AP$3:$BT$47,1))/(VLOOKUP($F5*$AN$2,$AN$4:$BT$48,3)-VLOOKUP($F5*$AN$2,$AP$3:$BT$47,1)))))-(IF($F11*$AN$2&gt;$AP$47,VLOOKUP($F11*$AN$2,$AP$3:$BT$47,22),VLOOKUP($F11*$AN$2,$AP$3:$BT$47,22)+((VLOOKUP($F11*$AN$2,$AN$4:$BT$48,24)-VLOOKUP($F11*$AN$2,$AP$3:$BT$47,22))*($F11*$AN$2-VLOOKUP($F11*$AN$2,$AP$3:$BT$47,1))/(VLOOKUP($F11*$AN$2,$AN$4:$BT$48,3)-VLOOKUP($F11*$AN$2,$AP$3:$BT$47,1))))),0)</f>
        <v>0</v>
      </c>
      <c r="AB10" s="51">
        <f>IF($G5&gt;$G11,(IF($G5*$AN$2&gt;$AP$47,VLOOKUP($G5*$AN$2,$AP$3:$BT$47,23),VLOOKUP($G5*$AN$2,$AP$3:$BT$47,23)+((VLOOKUP($G5*$AN$2,$AN$4:$BT$48,25)-VLOOKUP($G5*$AN$2,$AP$3:$BT$47,23))*($G5*$AN$2-VLOOKUP($G5*$AN$2,$AP$3:$BT$47,1))/(VLOOKUP($G5*$AN$2,$AN$4:$BT$48,3)-VLOOKUP($G5*$AN$2,$AP$3:$BT$47,1)))))-(IF($G11*$AN$2&gt;$AP$47,VLOOKUP($G11*$AN$2,$AP$3:$BT$47,23),VLOOKUP($G11*$AN$2,$AP$3:$BT$47,23)+((VLOOKUP($G11*$AN$2,$AN$4:$BT$48,25)-VLOOKUP($G11*$AN$2,$AP$3:$BT$47,23))*($G11*$AN$2-VLOOKUP($G11*$AN$2,$AP$3:$BT$47,1))/(VLOOKUP($G11*$AN$2,$AN$4:$BT$48,3)-VLOOKUP($G11*$AN$2,$AP$3:$BT$47,1))))),0)</f>
        <v>0</v>
      </c>
      <c r="AC10" s="80">
        <v>0</v>
      </c>
      <c r="AD10" s="50">
        <f>IF($D5&gt;$D11,(IF($D5*$AN$2&gt;$AP$47,VLOOKUP($D5*$AN$2,$AP$3:$BT$47,24),VLOOKUP($D5*$AN$2,$AP$3:$BT$47,24)+((VLOOKUP($D5*$AN$2,$AN$4:$BT$48,26)-VLOOKUP($D5*$AN$2,$AP$3:$BT$47,24))*($D5*$AN$2-VLOOKUP($D5*$AN$2,$AP$3:$BT$47,1))/(VLOOKUP($D5*$AN$2,$AN$4:$BT$48,3)-VLOOKUP($D5*$AN$2,$AP$3:$BT$47,1)))))-(IF($D11*$AN$2&gt;$AP$47,VLOOKUP($D11*$AN$2,$AP$3:$BT$47,24),VLOOKUP($D11*$AN$2,$AP$3:$BT$47,24)+((VLOOKUP($D11*$AN$2,$AN$4:$BT$48,26)-VLOOKUP($D11*$AN$2,$AP$3:$BT$47,24))*($D11*$AN$2-VLOOKUP($D11*$AN$2,$AP$3:$BT$47,1))/(VLOOKUP($D11*$AN$2,$AN$4:$BT$48,3)-VLOOKUP($D11*$AN$2,$AP$3:$BT$47,1))))),0)</f>
        <v>0</v>
      </c>
      <c r="AE10" s="50">
        <f>IF($E5&gt;$E11,(IF($E5*$AN$2&gt;$AP$47,VLOOKUP($E5*$AN$2,$AP$3:$BT$47,25),VLOOKUP($E5*$AN$2,$AP$3:$BT$47,25)+((VLOOKUP($E5*$AN$2,$AN$4:$BT$48,27)-VLOOKUP($E5*$AN$2,$AP$3:$BT$47,25))*($E5*$AN$2-VLOOKUP($E5*$AN$2,$AP$3:$BT$47,1))/(VLOOKUP($E5*$AN$2,$AN$4:$BT$48,3)-VLOOKUP($E5*$AN$2,$AP$3:$BT$47,1)))))-(IF($E11*$AN$2&gt;$AP$47,VLOOKUP($E11*$AN$2,$AP$3:$BT$47,25),VLOOKUP($E11*$AN$2,$AP$3:$BT$47,25)+((VLOOKUP($E11*$AN$2,$AN$4:$BT$48,27)-VLOOKUP($E11*$AN$2,$AP$3:$BT$47,25))*($E11*$AN$2-VLOOKUP($E11*$AN$2,$AP$3:$BT$47,1))/(VLOOKUP($E11*$AN$2,$AN$4:$BT$48,3)-VLOOKUP($E11*$AN$2,$AP$3:$BT$47,1))))),0)</f>
        <v>0</v>
      </c>
      <c r="AF10" s="50">
        <f>IF($F5&gt;$F11,(IF($F5*$AN$2&gt;$AP$47,VLOOKUP($F5*$AN$2,$AP$3:$BT$47,26),VLOOKUP($F5*$AN$2,$AP$3:$BT$47,26)+((VLOOKUP($F5*$AN$2,$AN$4:$BT$48,28)-VLOOKUP($F5*$AN$2,$AP$3:$BT$47,26))*($F5*$AN$2-VLOOKUP($F5*$AN$2,$AP$3:$BT$47,1))/(VLOOKUP($F5*$AN$2,$AN$4:$BT$48,3)-VLOOKUP($F5*$AN$2,$AP$3:$BT$47,1)))))-(IF($F11*$AN$2&gt;$AP$47,VLOOKUP($F11*$AN$2,$AP$3:$BT$47,26),VLOOKUP($F11*$AN$2,$AP$3:$BT$47,26)+((VLOOKUP($F11*$AN$2,$AN$4:$BT$48,28)-VLOOKUP($F11*$AN$2,$AP$3:$BT$47,26))*($F11*$AN$2-VLOOKUP($F11*$AN$2,$AP$3:$BT$47,1))/(VLOOKUP($F11*$AN$2,$AN$4:$BT$48,3)-VLOOKUP($F11*$AN$2,$AP$3:$BT$47,1))))),0)</f>
        <v>0</v>
      </c>
      <c r="AG10" s="51">
        <f>IF($G5&gt;$G11,(IF($G5*$AN$2&gt;$AP$47,VLOOKUP($G5*$AN$2,$AP$3:$BT$47,27),VLOOKUP($G5*$AN$2,$AP$3:$BT$47,27)+((VLOOKUP($G5*$AN$2,$AN$4:$BT$48,29)-VLOOKUP($G5*$AN$2,$AP$3:$BT$47,27))*($G5*$AN$2-VLOOKUP($G5*$AN$2,$AP$3:$BT$47,1))/(VLOOKUP($G5*$AN$2,$AN$4:$BT$48,3)-VLOOKUP($G5*$AN$2,$AP$3:$BT$47,1)))))-(IF($G11*$AN$2&gt;$AP$47,VLOOKUP($G11*$AN$2,$AP$3:$BT$47,27),VLOOKUP($G11*$AN$2,$AP$3:$BT$47,27)+((VLOOKUP($G11*$AN$2,$AN$4:$BT$48,29)-VLOOKUP($G11*$AN$2,$AP$3:$BT$47,27))*($G11*$AN$2-VLOOKUP($G11*$AN$2,$AP$3:$BT$47,1))/(VLOOKUP($G11*$AN$2,$AN$4:$BT$48,3)-VLOOKUP($G11*$AN$2,$AP$3:$BT$47,1))))),0)</f>
        <v>0</v>
      </c>
      <c r="AH10" s="59">
        <v>0</v>
      </c>
      <c r="AI10" s="50">
        <f>IF($D5&gt;$D11,(IF($D5*$AN$2&gt;$AP$47,VLOOKUP($D5*$AN$2,$AP$3:$BT$47,28),VLOOKUP($D5*$AN$2,$AP$3:$BT$47,28)+((VLOOKUP($D5*$AN$2,$AN$4:$BT$48,30)-VLOOKUP($D5*$AN$2,$AP$3:$BT$47,28))*($D5*$AN$2-VLOOKUP($D5*$AN$2,$AP$3:$BT$47,1))/(VLOOKUP($D5*$AN$2,$AN$4:$BT$48,3)-VLOOKUP($D5*$AN$2,$AP$3:$BT$47,1)))))-(IF($D11*$AN$2&gt;$AP$47,VLOOKUP($D11*$AN$2,$AP$3:$BT$47,28),VLOOKUP($D11*$AN$2,$AP$3:$BT$47,28)+((VLOOKUP($D11*$AN$2,$AN$4:$BT$48,30)-VLOOKUP($D11*$AN$2,$AP$3:$BT$47,28))*($D11*$AN$2-VLOOKUP($D11*$AN$2,$AP$3:$BT$47,1))/(VLOOKUP($D11*$AN$2,$AN$4:$BT$48,3)-VLOOKUP($D11*$AN$2,$AP$3:$BT$47,1))))),0)</f>
        <v>0</v>
      </c>
      <c r="AJ10" s="50">
        <f>IF($E5&gt;$E11,(IF($E5*$AN$2&gt;$AP$47,VLOOKUP($E5*$AN$2,$AP$3:$BT$47,29),VLOOKUP($E5*$AN$2,$AP$3:$BT$47,29)+((VLOOKUP($E5*$AN$2,$AN$4:$BT$48,31)-VLOOKUP($E5*$AN$2,$AP$3:$BT$47,29))*($E5*$AN$2-VLOOKUP($E5*$AN$2,$AP$3:$BT$47,1))/(VLOOKUP($E5*$AN$2,$AN$4:$BT$48,3)-VLOOKUP($E5*$AN$2,$AP$3:$BT$47,1)))))-(IF($E11*$AN$2&gt;$AP$47,VLOOKUP($E11*$AN$2,$AP$3:$BT$47,29),VLOOKUP($E11*$AN$2,$AP$3:$BT$47,29)+((VLOOKUP($E11*$AN$2,$AN$4:$BT$48,31)-VLOOKUP($E11*$AN$2,$AP$3:$BT$47,29))*($E11*$AN$2-VLOOKUP($E11*$AN$2,$AP$3:$BT$47,1))/(VLOOKUP($E11*$AN$2,$AN$4:$BT$48,3)-VLOOKUP($E11*$AN$2,$AP$3:$BT$47,1))))),0)</f>
        <v>0</v>
      </c>
      <c r="AK10" s="50">
        <f>IF($F5&gt;$F11,(IF($F5*$AN$2&gt;$AP$47,VLOOKUP($F5*$AN$2,$AP$3:$BT$47,30),VLOOKUP($F5*$AN$2,$AP$3:$BT$47,30)+((VLOOKUP($F5*$AN$2,$AN$4:$BT$48,32)-VLOOKUP($F5*$AN$2,$AP$3:$BT$47,30))*($F5*$AN$2-VLOOKUP($F5*$AN$2,$AP$3:$BT$47,1))/(VLOOKUP($F5*$AN$2,$AN$4:$BT$48,3)-VLOOKUP($F5*$AN$2,$AP$3:$BT$47,1)))))-(IF($F11*$AN$2&gt;$AP$47,VLOOKUP($F11*$AN$2,$AP$3:$BT$47,30),VLOOKUP($F11*$AN$2,$AP$3:$BT$47,30)+((VLOOKUP($F11*$AN$2,$AN$4:$BT$48,32)-VLOOKUP($F11*$AN$2,$AP$3:$BT$47,30))*($F11*$AN$2-VLOOKUP($F11*$AN$2,$AP$3:$BT$47,1))/(VLOOKUP($F11*$AN$2,$AN$4:$BT$48,3)-VLOOKUP($F11*$AN$2,$AP$3:$BT$47,1))))),0)</f>
        <v>0</v>
      </c>
      <c r="AL10" s="51">
        <f>IF($G5&gt;$G11,(IF($G5*$AN$2&gt;$AP$47,VLOOKUP($G5*$AN$2,$AP$3:$BT$47,31),VLOOKUP($G5*$AN$2,$AP$3:$BT$47,31)+((VLOOKUP($G5*$AN$2,$AN$4:$BT$48,33)-VLOOKUP($G5*$AN$2,$AP$3:$BT$47,31))*($G5*$AN$2-VLOOKUP($G5*$AN$2,$AP$3:$BT$47,1))/(VLOOKUP($G5*$AN$2,$AN$4:$BT$48,3)-VLOOKUP($G5*$AN$2,$AP$3:$BT$47,1)))))-(IF($G11*$AN$2&gt;$AP$47,VLOOKUP($G11*$AN$2,$AP$3:$BT$47,31),VLOOKUP($G11*$AN$2,$AP$3:$BT$47,31)+((VLOOKUP($G11*$AN$2,$AN$4:$BT$48,33)-VLOOKUP($G11*$AN$2,$AP$3:$BT$47,31))*($G11*$AN$2-VLOOKUP($G11*$AN$2,$AP$3:$BT$47,1))/(VLOOKUP($G11*$AN$2,$AN$4:$BT$48,3)-VLOOKUP($G11*$AN$2,$AP$3:$BT$47,1))))),0)</f>
        <v>0</v>
      </c>
      <c r="AN10" s="23">
        <v>180</v>
      </c>
      <c r="AO10" s="25">
        <f t="shared" si="0"/>
        <v>64.00487656202377</v>
      </c>
      <c r="AP10" s="23">
        <v>210</v>
      </c>
      <c r="AQ10" s="31">
        <v>0.976</v>
      </c>
      <c r="AR10" s="31">
        <v>0.946</v>
      </c>
      <c r="AS10" s="24">
        <v>0.7421972801769068</v>
      </c>
      <c r="AT10" s="24">
        <v>0.5941772278711102</v>
      </c>
      <c r="AU10" s="26">
        <v>0.2981371232595172</v>
      </c>
      <c r="AV10" s="92"/>
      <c r="AW10" s="31"/>
      <c r="AX10" s="31"/>
      <c r="AY10" s="31"/>
      <c r="AZ10" s="93"/>
      <c r="BA10" s="52">
        <v>0.20787730000000001</v>
      </c>
      <c r="BB10" s="53">
        <v>0.7853015999999999</v>
      </c>
      <c r="BC10" s="53">
        <v>0.8052287999999999</v>
      </c>
      <c r="BD10" s="54">
        <v>1.0210567999999998</v>
      </c>
      <c r="BE10" s="53">
        <v>0.20548839999999996</v>
      </c>
      <c r="BF10" s="53">
        <v>0.7931693999999998</v>
      </c>
      <c r="BG10" s="53">
        <v>0.8201045999999999</v>
      </c>
      <c r="BH10" s="54">
        <v>1.0094851999999999</v>
      </c>
      <c r="BI10" s="53">
        <v>0.17123303691677164</v>
      </c>
      <c r="BJ10" s="53">
        <v>0.7024062812710806</v>
      </c>
      <c r="BK10" s="53">
        <v>0.7426135061384876</v>
      </c>
      <c r="BL10" s="54">
        <v>0.8416000596533407</v>
      </c>
      <c r="BM10" s="53">
        <v>0.17190537999766406</v>
      </c>
      <c r="BN10" s="53">
        <v>0.6781543162429262</v>
      </c>
      <c r="BO10" s="53">
        <v>0.7123921380700402</v>
      </c>
      <c r="BP10" s="54">
        <v>0.8283887120241914</v>
      </c>
      <c r="BQ10" s="52">
        <v>0.12274583401457607</v>
      </c>
      <c r="BR10" s="53">
        <v>0.46869380071302397</v>
      </c>
      <c r="BS10" s="53">
        <v>0.4907555649721335</v>
      </c>
      <c r="BT10" s="54">
        <v>0.5783075080299696</v>
      </c>
      <c r="BU10" s="99"/>
      <c r="BV10" s="99"/>
      <c r="BW10" s="99"/>
      <c r="BX10" s="99"/>
      <c r="BY10" s="99"/>
      <c r="BZ10" s="99"/>
      <c r="CA10" s="78"/>
      <c r="CB10" s="78"/>
      <c r="CC10" s="78"/>
      <c r="CD10" s="78"/>
      <c r="CE10" s="78"/>
      <c r="CF10" s="78"/>
      <c r="CG10" s="78"/>
      <c r="CH10" s="78"/>
      <c r="CI10" s="78"/>
      <c r="CJ10" s="78"/>
      <c r="CK10" s="78"/>
      <c r="CL10" s="78"/>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78"/>
      <c r="EB10" s="78"/>
      <c r="EC10" s="78"/>
    </row>
    <row r="11" spans="1:133" ht="12.75">
      <c r="A11" s="11"/>
      <c r="B11" s="4"/>
      <c r="C11" s="48">
        <v>0</v>
      </c>
      <c r="D11" s="48">
        <f>MAX(C4:C5,D4:G4)</f>
        <v>0</v>
      </c>
      <c r="E11" s="48">
        <f>MAX(C4:D5,E4:G4)</f>
        <v>0</v>
      </c>
      <c r="F11" s="48">
        <f>MAX(C4:E5,F4:G4)</f>
        <v>0</v>
      </c>
      <c r="G11" s="48">
        <f>MAX(C4:F5)</f>
        <v>0</v>
      </c>
      <c r="H11" s="4"/>
      <c r="I11" s="4"/>
      <c r="J11" s="4"/>
      <c r="K11" s="4"/>
      <c r="L11" s="46"/>
      <c r="M11" s="4"/>
      <c r="N11" s="80">
        <v>0</v>
      </c>
      <c r="O11" s="50">
        <f>IF($D6&gt;$D12,(IF($D6*$AN$2&gt;$AP$47,VLOOKUP($D6*$AN$2,$AP$3:$BT$47,12),VLOOKUP($D6*$AN$2,$AP$3:$BT$47,12)+((VLOOKUP($D6*$AN$2,$AN$4:$BT$48,14)-VLOOKUP($D6*$AN$2,$AP$3:$BT$47,12))*($D6*$AN$2-VLOOKUP($D6*$AN$2,$AP$3:$BT$47,1))/(VLOOKUP($D6*$AN$2,$AN$4:$BT$48,3)-VLOOKUP($D6*$AN$2,$AP$3:$BT$47,1)))))-(IF($D12*$AN$2&gt;$AP$47,VLOOKUP($D12*$AN$2,$AP$3:$BT$47,12),VLOOKUP($D12*$AN$2,$AP$3:$BT$47,12)+((VLOOKUP($D12*$AN$2,$AN$4:$BT$48,14)-VLOOKUP($D12*$AN$2,$AP$3:$BT$47,12))*($D12*$AN$2-VLOOKUP($D12*$AN$2,$AP$3:$BT$47,1))/(VLOOKUP($D12*$AN$2,$AN$4:$BT$48,3)-VLOOKUP($D12*$AN$2,$AP$3:$BT$47,1))))),0)</f>
        <v>0</v>
      </c>
      <c r="P11" s="50">
        <f>IF($E6&gt;$E12,(IF($E6*$AN$2&gt;$AP$47,VLOOKUP($E6*$AN$2,$AP$3:$BT$47,13),VLOOKUP($E6*$AN$2,$AP$3:$BT$47,13)+((VLOOKUP($E6*$AN$2,$AN$4:$BT$48,15)-VLOOKUP($E6*$AN$2,$AP$3:$BT$47,13))*($E6*$AN$2-VLOOKUP($E6*$AN$2,$AP$3:$BT$47,1))/(VLOOKUP($E6*$AN$2,$AN$4:$BT$48,3)-VLOOKUP($E6*$AN$2,$AP$3:$BT$47,1)))))-(IF($E12*$AN$2&gt;$AP$47,VLOOKUP($E12*$AN$2,$AP$3:$BT$47,13),VLOOKUP($E12*$AN$2,$AP$3:$BT$47,13)+((VLOOKUP($E12*$AN$2,$AN$4:$BT$48,15)-VLOOKUP($E12*$AN$2,$AP$3:$BT$47,13))*($E12*$AN$2-VLOOKUP($E12*$AN$2,$AP$3:$BT$47,1))/(VLOOKUP($E12*$AN$2,$AN$4:$BT$48,3)-VLOOKUP($E12*$AN$2,$AP$3:$BT$47,1))))),0)</f>
        <v>0.7712315049999999</v>
      </c>
      <c r="Q11" s="50">
        <f>IF($F6&gt;$F12,(IF($F6*$AN$2&gt;$AP$47,VLOOKUP($F6*$AN$2,$AP$3:$BT$47,14),VLOOKUP($F6*$AN$2,$AP$3:$BT$47,14)+((VLOOKUP($F6*$AN$2,$AN$4:$BT$48,16)-VLOOKUP($F6*$AN$2,$AP$3:$BT$47,14))*($F6*$AN$2-VLOOKUP($F6*$AN$2,$AP$3:$BT$47,1))/(VLOOKUP($F6*$AN$2,$AN$4:$BT$48,3)-VLOOKUP($F6*$AN$2,$AP$3:$BT$47,1)))))-(IF($F12*$AN$2&gt;$AP$47,VLOOKUP($F12*$AN$2,$AP$3:$BT$47,14),VLOOKUP($F12*$AN$2,$AP$3:$BT$47,14)+((VLOOKUP($F12*$AN$2,$AN$4:$BT$48,16)-VLOOKUP($F12*$AN$2,$AP$3:$BT$47,14))*($F12*$AN$2-VLOOKUP($F12*$AN$2,$AP$3:$BT$47,1))/(VLOOKUP($F12*$AN$2,$AN$4:$BT$48,3)-VLOOKUP($F12*$AN$2,$AP$3:$BT$47,1))))),0)</f>
        <v>0.02623805875000018</v>
      </c>
      <c r="R11" s="51">
        <f>IF($G6&gt;$G12,(IF($G6*$AN$2&gt;$AP$47,VLOOKUP($G6*$AN$2,$AP$3:$BT$47,15),VLOOKUP($G6*$AN$2,$AP$3:$BT$47,15)+((VLOOKUP($G6*$AN$2,$AN$4:$BT$48,17)-VLOOKUP($G6*$AN$2,$AP$3:$BT$47,15))*($G6*$AN$2-VLOOKUP($G6*$AN$2,$AP$3:$BT$47,1))/(VLOOKUP($G6*$AN$2,$AN$4:$BT$48,3)-VLOOKUP($G6*$AN$2,$AP$3:$BT$47,1)))))-(IF($G12*$AN$2&gt;$AP$47,VLOOKUP($G12*$AN$2,$AP$3:$BT$47,15),VLOOKUP($G12*$AN$2,$AP$3:$BT$47,15)+((VLOOKUP($G12*$AN$2,$AN$4:$BT$48,17)-VLOOKUP($G12*$AN$2,$AP$3:$BT$47,15))*($G12*$AN$2-VLOOKUP($G12*$AN$2,$AP$3:$BT$47,1))/(VLOOKUP($G12*$AN$2,$AN$4:$BT$48,3)-VLOOKUP($G12*$AN$2,$AP$3:$BT$47,1))))),0)</f>
        <v>0</v>
      </c>
      <c r="S11" s="59">
        <v>0</v>
      </c>
      <c r="T11" s="50">
        <f>IF($D6&gt;$D12,(IF($D6*$AN$2&gt;$AP$47,VLOOKUP($D6*$AN$2,$AP$3:$BT$47,16),VLOOKUP($D6*$AN$2,$AP$3:$BT$47,16)+((VLOOKUP($D6*$AN$2,$AN$4:$BT$48,18)-VLOOKUP($D6*$AN$2,$AP$3:$BT$47,16))*($D6*$AN$2-VLOOKUP($D6*$AN$2,$AP$3:$BT$47,1))/(VLOOKUP($D6*$AN$2,$AN$4:$BT$48,3)-VLOOKUP($D6*$AN$2,$AP$3:$BT$47,1)))))-(IF($D12*$AN$2&gt;$AP$47,VLOOKUP($D12*$AN$2,$AP$3:$BT$47,16),VLOOKUP($D12*$AN$2,$AP$3:$BT$47,16)+((VLOOKUP($D12*$AN$2,$AN$4:$BT$48,18)-VLOOKUP($D12*$AN$2,$AP$3:$BT$47,16))*($D12*$AN$2-VLOOKUP($D12*$AN$2,$AP$3:$BT$47,1))/(VLOOKUP($D12*$AN$2,$AN$4:$BT$48,3)-VLOOKUP($D12*$AN$2,$AP$3:$BT$47,1))))),0)</f>
        <v>0</v>
      </c>
      <c r="U11" s="50">
        <f>IF($E6&gt;$E12,(IF($E6*$AN$2&gt;$AP$47,VLOOKUP($E6*$AN$2,$AP$3:$BT$47,17),VLOOKUP($E6*$AN$2,$AP$3:$BT$47,17)+((VLOOKUP($E6*$AN$2,$AN$4:$BT$48,19)-VLOOKUP($E6*$AN$2,$AP$3:$BT$47,17))*($E6*$AN$2-VLOOKUP($E6*$AN$2,$AP$3:$BT$47,1))/(VLOOKUP($E6*$AN$2,$AN$4:$BT$48,3)-VLOOKUP($E6*$AN$2,$AP$3:$BT$47,1)))))-(IF($E12*$AN$2&gt;$AP$47,VLOOKUP($E12*$AN$2,$AP$3:$BT$47,17),VLOOKUP($E12*$AN$2,$AP$3:$BT$47,17)+((VLOOKUP($E12*$AN$2,$AN$4:$BT$48,19)-VLOOKUP($E12*$AN$2,$AP$3:$BT$47,17))*($E12*$AN$2-VLOOKUP($E12*$AN$2,$AP$3:$BT$47,1))/(VLOOKUP($E12*$AN$2,$AN$4:$BT$48,3)-VLOOKUP($E12*$AN$2,$AP$3:$BT$47,1))))),0)</f>
        <v>0.7601767604999999</v>
      </c>
      <c r="V11" s="50">
        <f>IF($F6&gt;$F12,(IF($F6*$AN$2&gt;$AP$47,VLOOKUP($F6*$AN$2,$AP$3:$BT$47,18),VLOOKUP($F6*$AN$2,$AP$3:$BT$47,18)+((VLOOKUP($F6*$AN$2,$AN$4:$BT$48,20)-VLOOKUP($F6*$AN$2,$AP$3:$BT$47,18))*($F6*$AN$2-VLOOKUP($F6*$AN$2,$AP$3:$BT$47,1))/(VLOOKUP($F6*$AN$2,$AN$4:$BT$48,3)-VLOOKUP($F6*$AN$2,$AP$3:$BT$47,1)))))-(IF($F12*$AN$2&gt;$AP$47,VLOOKUP($F12*$AN$2,$AP$3:$BT$47,18),VLOOKUP($F12*$AN$2,$AP$3:$BT$47,18)+((VLOOKUP($F12*$AN$2,$AN$4:$BT$48,20)-VLOOKUP($F12*$AN$2,$AP$3:$BT$47,18))*($F12*$AN$2-VLOOKUP($F12*$AN$2,$AP$3:$BT$47,1))/(VLOOKUP($F12*$AN$2,$AN$4:$BT$48,3)-VLOOKUP($F12*$AN$2,$AP$3:$BT$47,1))))),0)</f>
        <v>0.060938555249999915</v>
      </c>
      <c r="W11" s="51">
        <f>IF($G6&gt;$G12,(IF($G6*$AN$2&gt;$AP$47,VLOOKUP($G6*$AN$2,$AP$3:$BT$47,19),VLOOKUP($G6*$AN$2,$AP$3:$BT$47,19)+((VLOOKUP($G6*$AN$2,$AN$4:$BT$48,21)-VLOOKUP($G6*$AN$2,$AP$3:$BT$47,19))*($G6*$AN$2-VLOOKUP($G6*$AN$2,$AP$3:$BT$47,1))/(VLOOKUP($G6*$AN$2,$AN$4:$BT$48,3)-VLOOKUP($G6*$AN$2,$AP$3:$BT$47,1)))))-(IF($G12*$AN$2&gt;$AP$47,VLOOKUP($G12*$AN$2,$AP$3:$BT$47,19),VLOOKUP($G12*$AN$2,$AP$3:$BT$47,19)+((VLOOKUP($G12*$AN$2,$AN$4:$BT$48,21)-VLOOKUP($G12*$AN$2,$AP$3:$BT$47,19))*($G12*$AN$2-VLOOKUP($G12*$AN$2,$AP$3:$BT$47,1))/(VLOOKUP($G12*$AN$2,$AN$4:$BT$48,3)-VLOOKUP($G12*$AN$2,$AP$3:$BT$47,1))))),0)</f>
        <v>0</v>
      </c>
      <c r="X11" s="80">
        <v>0</v>
      </c>
      <c r="Y11" s="50">
        <f>IF($D6&gt;$D12,(IF($D6*$AN$2&gt;$AP$47,VLOOKUP($D6*$AN$2,$AP$3:$BT$47,20),VLOOKUP($D6*$AN$2,$AP$3:$BT$47,20)+((VLOOKUP($D6*$AN$2,$AN$4:$BT$48,22)-VLOOKUP($D6*$AN$2,$AP$3:$BT$47,20))*($D6*$AN$2-VLOOKUP($D6*$AN$2,$AP$3:$BT$47,1))/(VLOOKUP($D6*$AN$2,$AN$4:$BT$48,3)-VLOOKUP($D6*$AN$2,$AP$3:$BT$47,1)))))-(IF($D12*$AN$2&gt;$AP$47,VLOOKUP($D12*$AN$2,$AP$3:$BT$47,20),VLOOKUP($D12*$AN$2,$AP$3:$BT$47,20)+((VLOOKUP($D12*$AN$2,$AN$4:$BT$48,22)-VLOOKUP($D12*$AN$2,$AP$3:$BT$47,20))*($D12*$AN$2-VLOOKUP($D12*$AN$2,$AP$3:$BT$47,1))/(VLOOKUP($D12*$AN$2,$AN$4:$BT$48,3)-VLOOKUP($D12*$AN$2,$AP$3:$BT$47,1))))),0)</f>
        <v>0</v>
      </c>
      <c r="Z11" s="50">
        <f>IF($E6&gt;$E12,(IF($E6*$AN$2&gt;$AP$47,VLOOKUP($E6*$AN$2,$AP$3:$BT$47,21),VLOOKUP($E6*$AN$2,$AP$3:$BT$47,21)+((VLOOKUP($E6*$AN$2,$AN$4:$BT$48,23)-VLOOKUP($E6*$AN$2,$AP$3:$BT$47,21))*($E6*$AN$2-VLOOKUP($E6*$AN$2,$AP$3:$BT$47,1))/(VLOOKUP($E6*$AN$2,$AN$4:$BT$48,3)-VLOOKUP($E6*$AN$2,$AP$3:$BT$47,1)))))-(IF($E12*$AN$2&gt;$AP$47,VLOOKUP($E12*$AN$2,$AP$3:$BT$47,21),VLOOKUP($E12*$AN$2,$AP$3:$BT$47,21)+((VLOOKUP($E12*$AN$2,$AN$4:$BT$48,23)-VLOOKUP($E12*$AN$2,$AP$3:$BT$47,21))*($E12*$AN$2-VLOOKUP($E12*$AN$2,$AP$3:$BT$47,1))/(VLOOKUP($E12*$AN$2,$AN$4:$BT$48,3)-VLOOKUP($E12*$AN$2,$AP$3:$BT$47,1))))),0)</f>
        <v>0.5582388645217617</v>
      </c>
      <c r="AA11" s="50">
        <f>IF($F6&gt;$F12,(IF($F6*$AN$2&gt;$AP$47,VLOOKUP($F6*$AN$2,$AP$3:$BT$47,22),VLOOKUP($F6*$AN$2,$AP$3:$BT$47,22)+((VLOOKUP($F6*$AN$2,$AN$4:$BT$48,24)-VLOOKUP($F6*$AN$2,$AP$3:$BT$47,22))*($F6*$AN$2-VLOOKUP($F6*$AN$2,$AP$3:$BT$47,1))/(VLOOKUP($F6*$AN$2,$AN$4:$BT$48,3)-VLOOKUP($F6*$AN$2,$AP$3:$BT$47,1)))))-(IF($F12*$AN$2&gt;$AP$47,VLOOKUP($F12*$AN$2,$AP$3:$BT$47,22),VLOOKUP($F12*$AN$2,$AP$3:$BT$47,22)+((VLOOKUP($F12*$AN$2,$AN$4:$BT$48,24)-VLOOKUP($F12*$AN$2,$AP$3:$BT$47,22))*($F12*$AN$2-VLOOKUP($F12*$AN$2,$AP$3:$BT$47,1))/(VLOOKUP($F12*$AN$2,$AN$4:$BT$48,3)-VLOOKUP($F12*$AN$2,$AP$3:$BT$47,1))))),0)</f>
        <v>0.22777208297671558</v>
      </c>
      <c r="AB11" s="51">
        <f>IF($G6&gt;$G12,(IF($G6*$AN$2&gt;$AP$47,VLOOKUP($G6*$AN$2,$AP$3:$BT$47,23),VLOOKUP($G6*$AN$2,$AP$3:$BT$47,23)+((VLOOKUP($G6*$AN$2,$AN$4:$BT$48,25)-VLOOKUP($G6*$AN$2,$AP$3:$BT$47,23))*($G6*$AN$2-VLOOKUP($G6*$AN$2,$AP$3:$BT$47,1))/(VLOOKUP($G6*$AN$2,$AN$4:$BT$48,3)-VLOOKUP($G6*$AN$2,$AP$3:$BT$47,1)))))-(IF($G12*$AN$2&gt;$AP$47,VLOOKUP($G12*$AN$2,$AP$3:$BT$47,23),VLOOKUP($G12*$AN$2,$AP$3:$BT$47,23)+((VLOOKUP($G12*$AN$2,$AN$4:$BT$48,25)-VLOOKUP($G12*$AN$2,$AP$3:$BT$47,23))*($G12*$AN$2-VLOOKUP($G12*$AN$2,$AP$3:$BT$47,1))/(VLOOKUP($G12*$AN$2,$AN$4:$BT$48,3)-VLOOKUP($G12*$AN$2,$AP$3:$BT$47,1))))),0)</f>
        <v>0</v>
      </c>
      <c r="AC11" s="80">
        <v>0</v>
      </c>
      <c r="AD11" s="50">
        <f>IF($D6&gt;$D12,(IF($D6*$AN$2&gt;$AP$47,VLOOKUP($D6*$AN$2,$AP$3:$BT$47,24),VLOOKUP($D6*$AN$2,$AP$3:$BT$47,24)+((VLOOKUP($D6*$AN$2,$AN$4:$BT$48,26)-VLOOKUP($D6*$AN$2,$AP$3:$BT$47,24))*($D6*$AN$2-VLOOKUP($D6*$AN$2,$AP$3:$BT$47,1))/(VLOOKUP($D6*$AN$2,$AN$4:$BT$48,3)-VLOOKUP($D6*$AN$2,$AP$3:$BT$47,1)))))-(IF($D12*$AN$2&gt;$AP$47,VLOOKUP($D12*$AN$2,$AP$3:$BT$47,24),VLOOKUP($D12*$AN$2,$AP$3:$BT$47,24)+((VLOOKUP($D12*$AN$2,$AN$4:$BT$48,26)-VLOOKUP($D12*$AN$2,$AP$3:$BT$47,24))*($D12*$AN$2-VLOOKUP($D12*$AN$2,$AP$3:$BT$47,1))/(VLOOKUP($D12*$AN$2,$AN$4:$BT$48,3)-VLOOKUP($D12*$AN$2,$AP$3:$BT$47,1))))),0)</f>
        <v>0</v>
      </c>
      <c r="AE11" s="50">
        <f>IF($E6&gt;$E12,(IF($E6*$AN$2&gt;$AP$47,VLOOKUP($E6*$AN$2,$AP$3:$BT$47,25),VLOOKUP($E6*$AN$2,$AP$3:$BT$47,25)+((VLOOKUP($E6*$AN$2,$AN$4:$BT$48,27)-VLOOKUP($E6*$AN$2,$AP$3:$BT$47,25))*($E6*$AN$2-VLOOKUP($E6*$AN$2,$AP$3:$BT$47,1))/(VLOOKUP($E6*$AN$2,$AN$4:$BT$48,3)-VLOOKUP($E6*$AN$2,$AP$3:$BT$47,1)))))-(IF($E12*$AN$2&gt;$AP$47,VLOOKUP($E12*$AN$2,$AP$3:$BT$47,25),VLOOKUP($E12*$AN$2,$AP$3:$BT$47,25)+((VLOOKUP($E12*$AN$2,$AN$4:$BT$48,27)-VLOOKUP($E12*$AN$2,$AP$3:$BT$47,25))*($E12*$AN$2-VLOOKUP($E12*$AN$2,$AP$3:$BT$47,1))/(VLOOKUP($E12*$AN$2,$AN$4:$BT$48,3)-VLOOKUP($E12*$AN$2,$AP$3:$BT$47,1))))),0)</f>
        <v>0.49577708775520174</v>
      </c>
      <c r="AF11" s="50">
        <f>IF($F6&gt;$F12,(IF($F6*$AN$2&gt;$AP$47,VLOOKUP($F6*$AN$2,$AP$3:$BT$47,26),VLOOKUP($F6*$AN$2,$AP$3:$BT$47,26)+((VLOOKUP($F6*$AN$2,$AN$4:$BT$48,28)-VLOOKUP($F6*$AN$2,$AP$3:$BT$47,26))*($F6*$AN$2-VLOOKUP($F6*$AN$2,$AP$3:$BT$47,1))/(VLOOKUP($F6*$AN$2,$AN$4:$BT$48,3)-VLOOKUP($F6*$AN$2,$AP$3:$BT$47,1)))))-(IF($F12*$AN$2&gt;$AP$47,VLOOKUP($F12*$AN$2,$AP$3:$BT$47,26),VLOOKUP($F12*$AN$2,$AP$3:$BT$47,26)+((VLOOKUP($F12*$AN$2,$AN$4:$BT$48,28)-VLOOKUP($F12*$AN$2,$AP$3:$BT$47,26))*($F12*$AN$2-VLOOKUP($F12*$AN$2,$AP$3:$BT$47,1))/(VLOOKUP($F12*$AN$2,$AN$4:$BT$48,3)-VLOOKUP($F12*$AN$2,$AP$3:$BT$47,1))))),0)</f>
        <v>0.3038761972988082</v>
      </c>
      <c r="AG11" s="51">
        <f>IF($G6&gt;$G12,(IF($G6*$AN$2&gt;$AP$47,VLOOKUP($G6*$AN$2,$AP$3:$BT$47,27),VLOOKUP($G6*$AN$2,$AP$3:$BT$47,27)+((VLOOKUP($G6*$AN$2,$AN$4:$BT$48,29)-VLOOKUP($G6*$AN$2,$AP$3:$BT$47,27))*($G6*$AN$2-VLOOKUP($G6*$AN$2,$AP$3:$BT$47,1))/(VLOOKUP($G6*$AN$2,$AN$4:$BT$48,3)-VLOOKUP($G6*$AN$2,$AP$3:$BT$47,1)))))-(IF($G12*$AN$2&gt;$AP$47,VLOOKUP($G12*$AN$2,$AP$3:$BT$47,27),VLOOKUP($G12*$AN$2,$AP$3:$BT$47,27)+((VLOOKUP($G12*$AN$2,$AN$4:$BT$48,29)-VLOOKUP($G12*$AN$2,$AP$3:$BT$47,27))*($G12*$AN$2-VLOOKUP($G12*$AN$2,$AP$3:$BT$47,1))/(VLOOKUP($G12*$AN$2,$AN$4:$BT$48,3)-VLOOKUP($G12*$AN$2,$AP$3:$BT$47,1))))),0)</f>
        <v>0</v>
      </c>
      <c r="AH11" s="59">
        <v>0</v>
      </c>
      <c r="AI11" s="50">
        <f>IF($D6&gt;$D12,(IF($D6*$AN$2&gt;$AP$47,VLOOKUP($D6*$AN$2,$AP$3:$BT$47,28),VLOOKUP($D6*$AN$2,$AP$3:$BT$47,28)+((VLOOKUP($D6*$AN$2,$AN$4:$BT$48,30)-VLOOKUP($D6*$AN$2,$AP$3:$BT$47,28))*($D6*$AN$2-VLOOKUP($D6*$AN$2,$AP$3:$BT$47,1))/(VLOOKUP($D6*$AN$2,$AN$4:$BT$48,3)-VLOOKUP($D6*$AN$2,$AP$3:$BT$47,1)))))-(IF($D12*$AN$2&gt;$AP$47,VLOOKUP($D12*$AN$2,$AP$3:$BT$47,28),VLOOKUP($D12*$AN$2,$AP$3:$BT$47,28)+((VLOOKUP($D12*$AN$2,$AN$4:$BT$48,30)-VLOOKUP($D12*$AN$2,$AP$3:$BT$47,28))*($D12*$AN$2-VLOOKUP($D12*$AN$2,$AP$3:$BT$47,1))/(VLOOKUP($D12*$AN$2,$AN$4:$BT$48,3)-VLOOKUP($D12*$AN$2,$AP$3:$BT$47,1))))),0)</f>
        <v>0</v>
      </c>
      <c r="AJ11" s="50">
        <f>IF($E6&gt;$E12,(IF($E6*$AN$2&gt;$AP$47,VLOOKUP($E6*$AN$2,$AP$3:$BT$47,29),VLOOKUP($E6*$AN$2,$AP$3:$BT$47,29)+((VLOOKUP($E6*$AN$2,$AN$4:$BT$48,31)-VLOOKUP($E6*$AN$2,$AP$3:$BT$47,29))*($E6*$AN$2-VLOOKUP($E6*$AN$2,$AP$3:$BT$47,1))/(VLOOKUP($E6*$AN$2,$AN$4:$BT$48,3)-VLOOKUP($E6*$AN$2,$AP$3:$BT$47,1)))))-(IF($E12*$AN$2&gt;$AP$47,VLOOKUP($E12*$AN$2,$AP$3:$BT$47,29),VLOOKUP($E12*$AN$2,$AP$3:$BT$47,29)+((VLOOKUP($E12*$AN$2,$AN$4:$BT$48,31)-VLOOKUP($E12*$AN$2,$AP$3:$BT$47,29))*($E12*$AN$2-VLOOKUP($E12*$AN$2,$AP$3:$BT$47,1))/(VLOOKUP($E12*$AN$2,$AN$4:$BT$48,3)-VLOOKUP($E12*$AN$2,$AP$3:$BT$47,1))))),0)</f>
        <v>0.1980722013180965</v>
      </c>
      <c r="AK11" s="50">
        <f>IF($F6&gt;$F12,(IF($F6*$AN$2&gt;$AP$47,VLOOKUP($F6*$AN$2,$AP$3:$BT$47,30),VLOOKUP($F6*$AN$2,$AP$3:$BT$47,30)+((VLOOKUP($F6*$AN$2,$AN$4:$BT$48,32)-VLOOKUP($F6*$AN$2,$AP$3:$BT$47,30))*($F6*$AN$2-VLOOKUP($F6*$AN$2,$AP$3:$BT$47,1))/(VLOOKUP($F6*$AN$2,$AN$4:$BT$48,3)-VLOOKUP($F6*$AN$2,$AP$3:$BT$47,1)))))-(IF($F12*$AN$2&gt;$AP$47,VLOOKUP($F12*$AN$2,$AP$3:$BT$47,30),VLOOKUP($F12*$AN$2,$AP$3:$BT$47,30)+((VLOOKUP($F12*$AN$2,$AN$4:$BT$48,32)-VLOOKUP($F12*$AN$2,$AP$3:$BT$47,30))*($F12*$AN$2-VLOOKUP($F12*$AN$2,$AP$3:$BT$47,1))/(VLOOKUP($F12*$AN$2,$AN$4:$BT$48,3)-VLOOKUP($F12*$AN$2,$AP$3:$BT$47,1))))),0)</f>
        <v>0.48808357830657867</v>
      </c>
      <c r="AL11" s="51">
        <f>IF($G6&gt;$G12,(IF($G6*$AN$2&gt;$AP$47,VLOOKUP($G6*$AN$2,$AP$3:$BT$47,31),VLOOKUP($G6*$AN$2,$AP$3:$BT$47,31)+((VLOOKUP($G6*$AN$2,$AN$4:$BT$48,33)-VLOOKUP($G6*$AN$2,$AP$3:$BT$47,31))*($G6*$AN$2-VLOOKUP($G6*$AN$2,$AP$3:$BT$47,1))/(VLOOKUP($G6*$AN$2,$AN$4:$BT$48,3)-VLOOKUP($G6*$AN$2,$AP$3:$BT$47,1)))))-(IF($G12*$AN$2&gt;$AP$47,VLOOKUP($G12*$AN$2,$AP$3:$BT$47,31),VLOOKUP($G12*$AN$2,$AP$3:$BT$47,31)+((VLOOKUP($G12*$AN$2,$AN$4:$BT$48,33)-VLOOKUP($G12*$AN$2,$AP$3:$BT$47,31))*($G12*$AN$2-VLOOKUP($G12*$AN$2,$AP$3:$BT$47,1))/(VLOOKUP($G12*$AN$2,$AN$4:$BT$48,3)-VLOOKUP($G12*$AN$2,$AP$3:$BT$47,1))))),0)</f>
        <v>0</v>
      </c>
      <c r="AN11" s="23">
        <v>210</v>
      </c>
      <c r="AO11" s="25">
        <f t="shared" si="0"/>
        <v>73.1484303565986</v>
      </c>
      <c r="AP11" s="23">
        <v>240</v>
      </c>
      <c r="AQ11" s="31">
        <v>0.9840000000000001</v>
      </c>
      <c r="AR11" s="31">
        <v>0.964</v>
      </c>
      <c r="AS11" s="24">
        <v>0.7937162421515479</v>
      </c>
      <c r="AT11" s="24">
        <v>0.660794836697159</v>
      </c>
      <c r="AU11" s="26">
        <v>0.3949520257883812</v>
      </c>
      <c r="AV11" s="92"/>
      <c r="AW11" s="31"/>
      <c r="AX11" s="31"/>
      <c r="AY11" s="31"/>
      <c r="AZ11" s="93"/>
      <c r="BA11" s="52">
        <v>0.20990370000000005</v>
      </c>
      <c r="BB11" s="53">
        <v>0.7943184000000001</v>
      </c>
      <c r="BC11" s="53">
        <v>0.8150232</v>
      </c>
      <c r="BD11" s="54">
        <v>1.0310232</v>
      </c>
      <c r="BE11" s="53">
        <v>0.21004779999999995</v>
      </c>
      <c r="BF11" s="53">
        <v>0.8134571999999998</v>
      </c>
      <c r="BG11" s="53">
        <v>0.8421419999999998</v>
      </c>
      <c r="BH11" s="54">
        <v>1.0319095999999999</v>
      </c>
      <c r="BI11" s="53">
        <v>0.18428278998494824</v>
      </c>
      <c r="BJ11" s="53">
        <v>0.7604733033126986</v>
      </c>
      <c r="BK11" s="53">
        <v>0.8056881712840408</v>
      </c>
      <c r="BL11" s="54">
        <v>0.9057823824813487</v>
      </c>
      <c r="BM11" s="53">
        <v>0.1925701622555044</v>
      </c>
      <c r="BN11" s="53">
        <v>0.7653167956309285</v>
      </c>
      <c r="BO11" s="53">
        <v>0.8060431725576996</v>
      </c>
      <c r="BP11" s="54">
        <v>0.9281552430020821</v>
      </c>
      <c r="BQ11" s="52">
        <v>0.1638050341770673</v>
      </c>
      <c r="BR11" s="53">
        <v>0.6304908658192615</v>
      </c>
      <c r="BS11" s="53">
        <v>0.6620017645651881</v>
      </c>
      <c r="BT11" s="54">
        <v>0.7720438094804793</v>
      </c>
      <c r="BU11" s="99"/>
      <c r="BV11" s="99"/>
      <c r="BW11" s="99"/>
      <c r="BX11" s="99"/>
      <c r="BY11" s="99"/>
      <c r="BZ11" s="99"/>
      <c r="CA11" s="78"/>
      <c r="CB11" s="78"/>
      <c r="CC11" s="78"/>
      <c r="CD11" s="78"/>
      <c r="CE11" s="78"/>
      <c r="CF11" s="78"/>
      <c r="CG11" s="78"/>
      <c r="CH11" s="78"/>
      <c r="CI11" s="78"/>
      <c r="CJ11" s="78"/>
      <c r="CK11" s="78"/>
      <c r="CL11" s="78"/>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78"/>
      <c r="EB11" s="78"/>
      <c r="EC11" s="78"/>
    </row>
    <row r="12" spans="1:133" ht="12.75">
      <c r="A12" s="72"/>
      <c r="B12" s="4"/>
      <c r="C12" s="48">
        <v>0</v>
      </c>
      <c r="D12" s="48">
        <f>MAX(C4:C6,D4:G5)</f>
        <v>0</v>
      </c>
      <c r="E12" s="48">
        <f>MAX(C4:D6,E4:G5)</f>
        <v>0</v>
      </c>
      <c r="F12" s="48">
        <f>MAX(C4:E6,F4:G5)</f>
        <v>50</v>
      </c>
      <c r="G12" s="48">
        <f>MAX(C4:F6,G4:G5)</f>
        <v>75</v>
      </c>
      <c r="H12" s="4"/>
      <c r="I12" s="4"/>
      <c r="J12" s="4"/>
      <c r="K12" s="4"/>
      <c r="L12" s="46"/>
      <c r="M12" s="4"/>
      <c r="N12" s="80">
        <v>0</v>
      </c>
      <c r="O12" s="50">
        <f>IF($D7&gt;$D13,(IF($D7*$AN$2&gt;$AP$47,VLOOKUP($D7*$AN$2,$AP$3:$BT$47,12),VLOOKUP($D7*$AN$2,$AP$3:$BT$47,12)+((VLOOKUP($D7*$AN$2,$AN$4:$BT$48,14)-VLOOKUP($D7*$AN$2,$AP$3:$BT$47,12))*($D7*$AN$2-VLOOKUP($D7*$AN$2,$AP$3:$BT$47,1))/(VLOOKUP($D7*$AN$2,$AN$4:$BT$48,3)-VLOOKUP($D7*$AN$2,$AP$3:$BT$47,1)))))-(IF($D13*$AN$2&gt;$AP$47,VLOOKUP($D13*$AN$2,$AP$3:$BT$47,12),VLOOKUP($D13*$AN$2,$AP$3:$BT$47,12)+((VLOOKUP($D13*$AN$2,$AN$4:$BT$48,14)-VLOOKUP($D13*$AN$2,$AP$3:$BT$47,12))*($D13*$AN$2-VLOOKUP($D13*$AN$2,$AP$3:$BT$47,1))/(VLOOKUP($D13*$AN$2,$AN$4:$BT$48,3)-VLOOKUP($D13*$AN$2,$AP$3:$BT$47,1))))),0)</f>
        <v>0.003991554999999952</v>
      </c>
      <c r="P12" s="50">
        <f>IF($E7&gt;$E13,(IF($E7*$AN$2&gt;$AP$47,VLOOKUP($E7*$AN$2,$AP$3:$BT$47,13),VLOOKUP($E7*$AN$2,$AP$3:$BT$47,13)+((VLOOKUP($E7*$AN$2,$AN$4:$BT$48,15)-VLOOKUP($E7*$AN$2,$AP$3:$BT$47,13))*($E7*$AN$2-VLOOKUP($E7*$AN$2,$AP$3:$BT$47,1))/(VLOOKUP($E7*$AN$2,$AN$4:$BT$48,3)-VLOOKUP($E7*$AN$2,$AP$3:$BT$47,1)))))-(IF($E13*$AN$2&gt;$AP$47,VLOOKUP($E13*$AN$2,$AP$3:$BT$47,13),VLOOKUP($E13*$AN$2,$AP$3:$BT$47,13)+((VLOOKUP($E13*$AN$2,$AN$4:$BT$48,15)-VLOOKUP($E13*$AN$2,$AP$3:$BT$47,13))*($E13*$AN$2-VLOOKUP($E13*$AN$2,$AP$3:$BT$47,1))/(VLOOKUP($E13*$AN$2,$AN$4:$BT$48,3)-VLOOKUP($E13*$AN$2,$AP$3:$BT$47,1))))),0)</f>
        <v>0</v>
      </c>
      <c r="Q12" s="50">
        <f>IF($F7&gt;$F13,(IF($F7*$AN$2&gt;$AP$47,VLOOKUP($F7*$AN$2,$AP$3:$BT$47,14),VLOOKUP($F7*$AN$2,$AP$3:$BT$47,14)+((VLOOKUP($F7*$AN$2,$AN$4:$BT$48,16)-VLOOKUP($F7*$AN$2,$AP$3:$BT$47,14))*($F7*$AN$2-VLOOKUP($F7*$AN$2,$AP$3:$BT$47,1))/(VLOOKUP($F7*$AN$2,$AN$4:$BT$48,3)-VLOOKUP($F7*$AN$2,$AP$3:$BT$47,1)))))-(IF($F13*$AN$2&gt;$AP$47,VLOOKUP($F13*$AN$2,$AP$3:$BT$47,14),VLOOKUP($F13*$AN$2,$AP$3:$BT$47,14)+((VLOOKUP($F13*$AN$2,$AN$4:$BT$48,16)-VLOOKUP($F13*$AN$2,$AP$3:$BT$47,14))*($F13*$AN$2-VLOOKUP($F13*$AN$2,$AP$3:$BT$47,1))/(VLOOKUP($F13*$AN$2,$AN$4:$BT$48,3)-VLOOKUP($F13*$AN$2,$AP$3:$BT$47,1))))),0)</f>
        <v>0</v>
      </c>
      <c r="R12" s="51">
        <f>IF($G7&gt;$G13,(IF($G7*$AN$2&gt;$AP$47,VLOOKUP($G7*$AN$2,$AP$3:$BT$47,15),VLOOKUP($G7*$AN$2,$AP$3:$BT$47,15)+((VLOOKUP($G7*$AN$2,$AN$4:$BT$48,17)-VLOOKUP($G7*$AN$2,$AP$3:$BT$47,15))*($G7*$AN$2-VLOOKUP($G7*$AN$2,$AP$3:$BT$47,1))/(VLOOKUP($G7*$AN$2,$AN$4:$BT$48,3)-VLOOKUP($G7*$AN$2,$AP$3:$BT$47,1)))))-(IF($G13*$AN$2&gt;$AP$47,VLOOKUP($G13*$AN$2,$AP$3:$BT$47,15),VLOOKUP($G13*$AN$2,$AP$3:$BT$47,15)+((VLOOKUP($G13*$AN$2,$AN$4:$BT$48,17)-VLOOKUP($G13*$AN$2,$AP$3:$BT$47,15))*($G13*$AN$2-VLOOKUP($G13*$AN$2,$AP$3:$BT$47,1))/(VLOOKUP($G13*$AN$2,$AN$4:$BT$48,3)-VLOOKUP($G13*$AN$2,$AP$3:$BT$47,1))))),0)</f>
        <v>0</v>
      </c>
      <c r="S12" s="59">
        <v>0</v>
      </c>
      <c r="T12" s="50">
        <f>IF($D7&gt;$D13,(IF($D7*$AN$2&gt;$AP$47,VLOOKUP($D7*$AN$2,$AP$3:$BT$47,16),VLOOKUP($D7*$AN$2,$AP$3:$BT$47,16)+((VLOOKUP($D7*$AN$2,$AN$4:$BT$48,18)-VLOOKUP($D7*$AN$2,$AP$3:$BT$47,16))*($D7*$AN$2-VLOOKUP($D7*$AN$2,$AP$3:$BT$47,1))/(VLOOKUP($D7*$AN$2,$AN$4:$BT$48,3)-VLOOKUP($D7*$AN$2,$AP$3:$BT$47,1)))))-(IF($D13*$AN$2&gt;$AP$47,VLOOKUP($D13*$AN$2,$AP$3:$BT$47,16),VLOOKUP($D13*$AN$2,$AP$3:$BT$47,16)+((VLOOKUP($D13*$AN$2,$AN$4:$BT$48,18)-VLOOKUP($D13*$AN$2,$AP$3:$BT$47,16))*($D13*$AN$2-VLOOKUP($D13*$AN$2,$AP$3:$BT$47,1))/(VLOOKUP($D13*$AN$2,$AN$4:$BT$48,3)-VLOOKUP($D13*$AN$2,$AP$3:$BT$47,1))))),0)</f>
        <v>0.008889003000000006</v>
      </c>
      <c r="U12" s="50">
        <f>IF($E7&gt;$E13,(IF($E7*$AN$2&gt;$AP$47,VLOOKUP($E7*$AN$2,$AP$3:$BT$47,17),VLOOKUP($E7*$AN$2,$AP$3:$BT$47,17)+((VLOOKUP($E7*$AN$2,$AN$4:$BT$48,19)-VLOOKUP($E7*$AN$2,$AP$3:$BT$47,17))*($E7*$AN$2-VLOOKUP($E7*$AN$2,$AP$3:$BT$47,1))/(VLOOKUP($E7*$AN$2,$AN$4:$BT$48,3)-VLOOKUP($E7*$AN$2,$AP$3:$BT$47,1)))))-(IF($E13*$AN$2&gt;$AP$47,VLOOKUP($E13*$AN$2,$AP$3:$BT$47,17),VLOOKUP($E13*$AN$2,$AP$3:$BT$47,17)+((VLOOKUP($E13*$AN$2,$AN$4:$BT$48,19)-VLOOKUP($E13*$AN$2,$AP$3:$BT$47,17))*($E13*$AN$2-VLOOKUP($E13*$AN$2,$AP$3:$BT$47,1))/(VLOOKUP($E13*$AN$2,$AN$4:$BT$48,3)-VLOOKUP($E13*$AN$2,$AP$3:$BT$47,1))))),0)</f>
        <v>0</v>
      </c>
      <c r="V12" s="50">
        <f>IF($F7&gt;$F13,(IF($F7*$AN$2&gt;$AP$47,VLOOKUP($F7*$AN$2,$AP$3:$BT$47,18),VLOOKUP($F7*$AN$2,$AP$3:$BT$47,18)+((VLOOKUP($F7*$AN$2,$AN$4:$BT$48,20)-VLOOKUP($F7*$AN$2,$AP$3:$BT$47,18))*($F7*$AN$2-VLOOKUP($F7*$AN$2,$AP$3:$BT$47,1))/(VLOOKUP($F7*$AN$2,$AN$4:$BT$48,3)-VLOOKUP($F7*$AN$2,$AP$3:$BT$47,1)))))-(IF($F13*$AN$2&gt;$AP$47,VLOOKUP($F13*$AN$2,$AP$3:$BT$47,18),VLOOKUP($F13*$AN$2,$AP$3:$BT$47,18)+((VLOOKUP($F13*$AN$2,$AN$4:$BT$48,20)-VLOOKUP($F13*$AN$2,$AP$3:$BT$47,18))*($F13*$AN$2-VLOOKUP($F13*$AN$2,$AP$3:$BT$47,1))/(VLOOKUP($F13*$AN$2,$AN$4:$BT$48,3)-VLOOKUP($F13*$AN$2,$AP$3:$BT$47,1))))),0)</f>
        <v>0</v>
      </c>
      <c r="W12" s="51">
        <f>IF($G7&gt;$G13,(IF($G7*$AN$2&gt;$AP$47,VLOOKUP($G7*$AN$2,$AP$3:$BT$47,19),VLOOKUP($G7*$AN$2,$AP$3:$BT$47,19)+((VLOOKUP($G7*$AN$2,$AN$4:$BT$48,21)-VLOOKUP($G7*$AN$2,$AP$3:$BT$47,19))*($G7*$AN$2-VLOOKUP($G7*$AN$2,$AP$3:$BT$47,1))/(VLOOKUP($G7*$AN$2,$AN$4:$BT$48,3)-VLOOKUP($G7*$AN$2,$AP$3:$BT$47,1)))))-(IF($G13*$AN$2&gt;$AP$47,VLOOKUP($G13*$AN$2,$AP$3:$BT$47,19),VLOOKUP($G13*$AN$2,$AP$3:$BT$47,19)+((VLOOKUP($G13*$AN$2,$AN$4:$BT$48,21)-VLOOKUP($G13*$AN$2,$AP$3:$BT$47,19))*($G13*$AN$2-VLOOKUP($G13*$AN$2,$AP$3:$BT$47,1))/(VLOOKUP($G13*$AN$2,$AN$4:$BT$48,3)-VLOOKUP($G13*$AN$2,$AP$3:$BT$47,1))))),0)</f>
        <v>0</v>
      </c>
      <c r="X12" s="80">
        <v>0</v>
      </c>
      <c r="Y12" s="50">
        <f>IF($D7&gt;$D13,(IF($D7*$AN$2&gt;$AP$47,VLOOKUP($D7*$AN$2,$AP$3:$BT$47,20),VLOOKUP($D7*$AN$2,$AP$3:$BT$47,20)+((VLOOKUP($D7*$AN$2,$AN$4:$BT$48,22)-VLOOKUP($D7*$AN$2,$AP$3:$BT$47,20))*($D7*$AN$2-VLOOKUP($D7*$AN$2,$AP$3:$BT$47,1))/(VLOOKUP($D7*$AN$2,$AN$4:$BT$48,3)-VLOOKUP($D7*$AN$2,$AP$3:$BT$47,1)))))-(IF($D13*$AN$2&gt;$AP$47,VLOOKUP($D13*$AN$2,$AP$3:$BT$47,20),VLOOKUP($D13*$AN$2,$AP$3:$BT$47,20)+((VLOOKUP($D13*$AN$2,$AN$4:$BT$48,22)-VLOOKUP($D13*$AN$2,$AP$3:$BT$47,20))*($D13*$AN$2-VLOOKUP($D13*$AN$2,$AP$3:$BT$47,1))/(VLOOKUP($D13*$AN$2,$AN$4:$BT$48,3)-VLOOKUP($D13*$AN$2,$AP$3:$BT$47,1))))),0)</f>
        <v>0.05740331492291417</v>
      </c>
      <c r="Z12" s="50">
        <f>IF($E7&gt;$E13,(IF($E7*$AN$2&gt;$AP$47,VLOOKUP($E7*$AN$2,$AP$3:$BT$47,21),VLOOKUP($E7*$AN$2,$AP$3:$BT$47,21)+((VLOOKUP($E7*$AN$2,$AN$4:$BT$48,23)-VLOOKUP($E7*$AN$2,$AP$3:$BT$47,21))*($E7*$AN$2-VLOOKUP($E7*$AN$2,$AP$3:$BT$47,1))/(VLOOKUP($E7*$AN$2,$AN$4:$BT$48,3)-VLOOKUP($E7*$AN$2,$AP$3:$BT$47,1)))))-(IF($E13*$AN$2&gt;$AP$47,VLOOKUP($E13*$AN$2,$AP$3:$BT$47,21),VLOOKUP($E13*$AN$2,$AP$3:$BT$47,21)+((VLOOKUP($E13*$AN$2,$AN$4:$BT$48,23)-VLOOKUP($E13*$AN$2,$AP$3:$BT$47,21))*($E13*$AN$2-VLOOKUP($E13*$AN$2,$AP$3:$BT$47,1))/(VLOOKUP($E13*$AN$2,$AN$4:$BT$48,3)-VLOOKUP($E13*$AN$2,$AP$3:$BT$47,1))))),0)</f>
        <v>0</v>
      </c>
      <c r="AA12" s="50">
        <f>IF($F7&gt;$F13,(IF($F7*$AN$2&gt;$AP$47,VLOOKUP($F7*$AN$2,$AP$3:$BT$47,22),VLOOKUP($F7*$AN$2,$AP$3:$BT$47,22)+((VLOOKUP($F7*$AN$2,$AN$4:$BT$48,24)-VLOOKUP($F7*$AN$2,$AP$3:$BT$47,22))*($F7*$AN$2-VLOOKUP($F7*$AN$2,$AP$3:$BT$47,1))/(VLOOKUP($F7*$AN$2,$AN$4:$BT$48,3)-VLOOKUP($F7*$AN$2,$AP$3:$BT$47,1)))))-(IF($F13*$AN$2&gt;$AP$47,VLOOKUP($F13*$AN$2,$AP$3:$BT$47,22),VLOOKUP($F13*$AN$2,$AP$3:$BT$47,22)+((VLOOKUP($F13*$AN$2,$AN$4:$BT$48,24)-VLOOKUP($F13*$AN$2,$AP$3:$BT$47,22))*($F13*$AN$2-VLOOKUP($F13*$AN$2,$AP$3:$BT$47,1))/(VLOOKUP($F13*$AN$2,$AN$4:$BT$48,3)-VLOOKUP($F13*$AN$2,$AP$3:$BT$47,1))))),0)</f>
        <v>0</v>
      </c>
      <c r="AB12" s="51">
        <f>IF($G7&gt;$G13,(IF($G7*$AN$2&gt;$AP$47,VLOOKUP($G7*$AN$2,$AP$3:$BT$47,23),VLOOKUP($G7*$AN$2,$AP$3:$BT$47,23)+((VLOOKUP($G7*$AN$2,$AN$4:$BT$48,25)-VLOOKUP($G7*$AN$2,$AP$3:$BT$47,23))*($G7*$AN$2-VLOOKUP($G7*$AN$2,$AP$3:$BT$47,1))/(VLOOKUP($G7*$AN$2,$AN$4:$BT$48,3)-VLOOKUP($G7*$AN$2,$AP$3:$BT$47,1)))))-(IF($G13*$AN$2&gt;$AP$47,VLOOKUP($G13*$AN$2,$AP$3:$BT$47,23),VLOOKUP($G13*$AN$2,$AP$3:$BT$47,23)+((VLOOKUP($G13*$AN$2,$AN$4:$BT$48,25)-VLOOKUP($G13*$AN$2,$AP$3:$BT$47,23))*($G13*$AN$2-VLOOKUP($G13*$AN$2,$AP$3:$BT$47,1))/(VLOOKUP($G13*$AN$2,$AN$4:$BT$48,3)-VLOOKUP($G13*$AN$2,$AP$3:$BT$47,1))))),0)</f>
        <v>0</v>
      </c>
      <c r="AC12" s="80">
        <v>0</v>
      </c>
      <c r="AD12" s="50">
        <f>IF($D7&gt;$D13,(IF($D7*$AN$2&gt;$AP$47,VLOOKUP($D7*$AN$2,$AP$3:$BT$47,24),VLOOKUP($D7*$AN$2,$AP$3:$BT$47,24)+((VLOOKUP($D7*$AN$2,$AN$4:$BT$48,26)-VLOOKUP($D7*$AN$2,$AP$3:$BT$47,24))*($D7*$AN$2-VLOOKUP($D7*$AN$2,$AP$3:$BT$47,1))/(VLOOKUP($D7*$AN$2,$AN$4:$BT$48,3)-VLOOKUP($D7*$AN$2,$AP$3:$BT$47,1)))))-(IF($D13*$AN$2&gt;$AP$47,VLOOKUP($D13*$AN$2,$AP$3:$BT$47,24),VLOOKUP($D13*$AN$2,$AP$3:$BT$47,24)+((VLOOKUP($D13*$AN$2,$AN$4:$BT$48,26)-VLOOKUP($D13*$AN$2,$AP$3:$BT$47,24))*($D13*$AN$2-VLOOKUP($D13*$AN$2,$AP$3:$BT$47,1))/(VLOOKUP($D13*$AN$2,$AN$4:$BT$48,3)-VLOOKUP($D13*$AN$2,$AP$3:$BT$47,1))))),0)</f>
        <v>0.11522388704091546</v>
      </c>
      <c r="AE12" s="50">
        <f>IF($E7&gt;$E13,(IF($E7*$AN$2&gt;$AP$47,VLOOKUP($E7*$AN$2,$AP$3:$BT$47,25),VLOOKUP($E7*$AN$2,$AP$3:$BT$47,25)+((VLOOKUP($E7*$AN$2,$AN$4:$BT$48,27)-VLOOKUP($E7*$AN$2,$AP$3:$BT$47,25))*($E7*$AN$2-VLOOKUP($E7*$AN$2,$AP$3:$BT$47,1))/(VLOOKUP($E7*$AN$2,$AN$4:$BT$48,3)-VLOOKUP($E7*$AN$2,$AP$3:$BT$47,1)))))-(IF($E13*$AN$2&gt;$AP$47,VLOOKUP($E13*$AN$2,$AP$3:$BT$47,25),VLOOKUP($E13*$AN$2,$AP$3:$BT$47,25)+((VLOOKUP($E13*$AN$2,$AN$4:$BT$48,27)-VLOOKUP($E13*$AN$2,$AP$3:$BT$47,25))*($E13*$AN$2-VLOOKUP($E13*$AN$2,$AP$3:$BT$47,1))/(VLOOKUP($E13*$AN$2,$AN$4:$BT$48,3)-VLOOKUP($E13*$AN$2,$AP$3:$BT$47,1))))),0)</f>
        <v>0</v>
      </c>
      <c r="AF12" s="50">
        <f>IF($F7&gt;$F13,(IF($F7*$AN$2&gt;$AP$47,VLOOKUP($F7*$AN$2,$AP$3:$BT$47,26),VLOOKUP($F7*$AN$2,$AP$3:$BT$47,26)+((VLOOKUP($F7*$AN$2,$AN$4:$BT$48,28)-VLOOKUP($F7*$AN$2,$AP$3:$BT$47,26))*($F7*$AN$2-VLOOKUP($F7*$AN$2,$AP$3:$BT$47,1))/(VLOOKUP($F7*$AN$2,$AN$4:$BT$48,3)-VLOOKUP($F7*$AN$2,$AP$3:$BT$47,1)))))-(IF($F13*$AN$2&gt;$AP$47,VLOOKUP($F13*$AN$2,$AP$3:$BT$47,26),VLOOKUP($F13*$AN$2,$AP$3:$BT$47,26)+((VLOOKUP($F13*$AN$2,$AN$4:$BT$48,28)-VLOOKUP($F13*$AN$2,$AP$3:$BT$47,26))*($F13*$AN$2-VLOOKUP($F13*$AN$2,$AP$3:$BT$47,1))/(VLOOKUP($F13*$AN$2,$AN$4:$BT$48,3)-VLOOKUP($F13*$AN$2,$AP$3:$BT$47,1))))),0)</f>
        <v>0</v>
      </c>
      <c r="AG12" s="51">
        <f>IF($G7&gt;$G13,(IF($G7*$AN$2&gt;$AP$47,VLOOKUP($G7*$AN$2,$AP$3:$BT$47,27),VLOOKUP($G7*$AN$2,$AP$3:$BT$47,27)+((VLOOKUP($G7*$AN$2,$AN$4:$BT$48,29)-VLOOKUP($G7*$AN$2,$AP$3:$BT$47,27))*($G7*$AN$2-VLOOKUP($G7*$AN$2,$AP$3:$BT$47,1))/(VLOOKUP($G7*$AN$2,$AN$4:$BT$48,3)-VLOOKUP($G7*$AN$2,$AP$3:$BT$47,1)))))-(IF($G13*$AN$2&gt;$AP$47,VLOOKUP($G13*$AN$2,$AP$3:$BT$47,27),VLOOKUP($G13*$AN$2,$AP$3:$BT$47,27)+((VLOOKUP($G13*$AN$2,$AN$4:$BT$48,29)-VLOOKUP($G13*$AN$2,$AP$3:$BT$47,27))*($G13*$AN$2-VLOOKUP($G13*$AN$2,$AP$3:$BT$47,1))/(VLOOKUP($G13*$AN$2,$AN$4:$BT$48,3)-VLOOKUP($G13*$AN$2,$AP$3:$BT$47,1))))),0)</f>
        <v>0</v>
      </c>
      <c r="AH12" s="59">
        <v>0</v>
      </c>
      <c r="AI12" s="50">
        <f>IF($D7&gt;$D13,(IF($D7*$AN$2&gt;$AP$47,VLOOKUP($D7*$AN$2,$AP$3:$BT$47,28),VLOOKUP($D7*$AN$2,$AP$3:$BT$47,28)+((VLOOKUP($D7*$AN$2,$AN$4:$BT$48,30)-VLOOKUP($D7*$AN$2,$AP$3:$BT$47,28))*($D7*$AN$2-VLOOKUP($D7*$AN$2,$AP$3:$BT$47,1))/(VLOOKUP($D7*$AN$2,$AN$4:$BT$48,3)-VLOOKUP($D7*$AN$2,$AP$3:$BT$47,1)))))-(IF($D13*$AN$2&gt;$AP$47,VLOOKUP($D13*$AN$2,$AP$3:$BT$47,28),VLOOKUP($D13*$AN$2,$AP$3:$BT$47,28)+((VLOOKUP($D13*$AN$2,$AN$4:$BT$48,30)-VLOOKUP($D13*$AN$2,$AP$3:$BT$47,28))*($D13*$AN$2-VLOOKUP($D13*$AN$2,$AP$3:$BT$47,1))/(VLOOKUP($D13*$AN$2,$AN$4:$BT$48,3)-VLOOKUP($D13*$AN$2,$AP$3:$BT$47,1))))),0)</f>
        <v>0.2751266250867975</v>
      </c>
      <c r="AJ12" s="50">
        <f>IF($E7&gt;$E13,(IF($E7*$AN$2&gt;$AP$47,VLOOKUP($E7*$AN$2,$AP$3:$BT$47,29),VLOOKUP($E7*$AN$2,$AP$3:$BT$47,29)+((VLOOKUP($E7*$AN$2,$AN$4:$BT$48,31)-VLOOKUP($E7*$AN$2,$AP$3:$BT$47,29))*($E7*$AN$2-VLOOKUP($E7*$AN$2,$AP$3:$BT$47,1))/(VLOOKUP($E7*$AN$2,$AN$4:$BT$48,3)-VLOOKUP($E7*$AN$2,$AP$3:$BT$47,1)))))-(IF($E13*$AN$2&gt;$AP$47,VLOOKUP($E13*$AN$2,$AP$3:$BT$47,29),VLOOKUP($E13*$AN$2,$AP$3:$BT$47,29)+((VLOOKUP($E13*$AN$2,$AN$4:$BT$48,31)-VLOOKUP($E13*$AN$2,$AP$3:$BT$47,29))*($E13*$AN$2-VLOOKUP($E13*$AN$2,$AP$3:$BT$47,1))/(VLOOKUP($E13*$AN$2,$AN$4:$BT$48,3)-VLOOKUP($E13*$AN$2,$AP$3:$BT$47,1))))),0)</f>
        <v>0</v>
      </c>
      <c r="AK12" s="50">
        <f>IF($F7&gt;$F13,(IF($F7*$AN$2&gt;$AP$47,VLOOKUP($F7*$AN$2,$AP$3:$BT$47,30),VLOOKUP($F7*$AN$2,$AP$3:$BT$47,30)+((VLOOKUP($F7*$AN$2,$AN$4:$BT$48,32)-VLOOKUP($F7*$AN$2,$AP$3:$BT$47,30))*($F7*$AN$2-VLOOKUP($F7*$AN$2,$AP$3:$BT$47,1))/(VLOOKUP($F7*$AN$2,$AN$4:$BT$48,3)-VLOOKUP($F7*$AN$2,$AP$3:$BT$47,1)))))-(IF($F13*$AN$2&gt;$AP$47,VLOOKUP($F13*$AN$2,$AP$3:$BT$47,30),VLOOKUP($F13*$AN$2,$AP$3:$BT$47,30)+((VLOOKUP($F13*$AN$2,$AN$4:$BT$48,32)-VLOOKUP($F13*$AN$2,$AP$3:$BT$47,30))*($F13*$AN$2-VLOOKUP($F13*$AN$2,$AP$3:$BT$47,1))/(VLOOKUP($F13*$AN$2,$AN$4:$BT$48,3)-VLOOKUP($F13*$AN$2,$AP$3:$BT$47,1))))),0)</f>
        <v>0</v>
      </c>
      <c r="AL12" s="51">
        <f>IF($G7&gt;$G13,(IF($G7*$AN$2&gt;$AP$47,VLOOKUP($G7*$AN$2,$AP$3:$BT$47,31),VLOOKUP($G7*$AN$2,$AP$3:$BT$47,31)+((VLOOKUP($G7*$AN$2,$AN$4:$BT$48,33)-VLOOKUP($G7*$AN$2,$AP$3:$BT$47,31))*($G7*$AN$2-VLOOKUP($G7*$AN$2,$AP$3:$BT$47,1))/(VLOOKUP($G7*$AN$2,$AN$4:$BT$48,3)-VLOOKUP($G7*$AN$2,$AP$3:$BT$47,1)))))-(IF($G13*$AN$2&gt;$AP$47,VLOOKUP($G13*$AN$2,$AP$3:$BT$47,31),VLOOKUP($G13*$AN$2,$AP$3:$BT$47,31)+((VLOOKUP($G13*$AN$2,$AN$4:$BT$48,33)-VLOOKUP($G13*$AN$2,$AP$3:$BT$47,31))*($G13*$AN$2-VLOOKUP($G13*$AN$2,$AP$3:$BT$47,1))/(VLOOKUP($G13*$AN$2,$AN$4:$BT$48,3)-VLOOKUP($G13*$AN$2,$AP$3:$BT$47,1))))),0)</f>
        <v>0</v>
      </c>
      <c r="AN12" s="23">
        <v>240</v>
      </c>
      <c r="AO12" s="25">
        <f t="shared" si="0"/>
        <v>82.29198415117342</v>
      </c>
      <c r="AP12" s="23">
        <v>270</v>
      </c>
      <c r="AQ12" s="31">
        <v>0.9890000000000001</v>
      </c>
      <c r="AR12" s="31">
        <v>0.977</v>
      </c>
      <c r="AS12" s="24">
        <v>0.8305357694949576</v>
      </c>
      <c r="AT12" s="24">
        <v>0.714632154019386</v>
      </c>
      <c r="AU12" s="26">
        <v>0.48282492306824276</v>
      </c>
      <c r="AV12" s="92"/>
      <c r="AW12" s="31"/>
      <c r="AX12" s="31"/>
      <c r="AY12" s="31"/>
      <c r="AZ12" s="93"/>
      <c r="BA12" s="52">
        <v>0.21120170000000005</v>
      </c>
      <c r="BB12" s="53">
        <v>0.8002059000000001</v>
      </c>
      <c r="BC12" s="53">
        <v>0.8214566999999999</v>
      </c>
      <c r="BD12" s="54">
        <v>1.0374082</v>
      </c>
      <c r="BE12" s="53">
        <v>0.21342259999999996</v>
      </c>
      <c r="BF12" s="53">
        <v>0.8287646999999998</v>
      </c>
      <c r="BG12" s="53">
        <v>0.8588690999999998</v>
      </c>
      <c r="BH12" s="54">
        <v>1.0485106</v>
      </c>
      <c r="BI12" s="53">
        <v>0.19384113928329738</v>
      </c>
      <c r="BJ12" s="53">
        <v>0.8038282967595635</v>
      </c>
      <c r="BK12" s="53">
        <v>0.853063857116806</v>
      </c>
      <c r="BL12" s="54">
        <v>0.9528009188988829</v>
      </c>
      <c r="BM12" s="53">
        <v>0.20960967318798923</v>
      </c>
      <c r="BN12" s="53">
        <v>0.8384709424083705</v>
      </c>
      <c r="BO12" s="53">
        <v>0.8850871218501932</v>
      </c>
      <c r="BP12" s="54">
        <v>1.0104617337243027</v>
      </c>
      <c r="BQ12" s="52">
        <v>0.2016255291663197</v>
      </c>
      <c r="BR12" s="53">
        <v>0.7817728457762712</v>
      </c>
      <c r="BS12" s="53">
        <v>0.8229146140640706</v>
      </c>
      <c r="BT12" s="54">
        <v>0.9506278986223421</v>
      </c>
      <c r="BU12" s="99" t="s">
        <v>134</v>
      </c>
      <c r="BV12" s="99"/>
      <c r="BW12" s="99"/>
      <c r="BX12" s="99"/>
      <c r="BY12" s="99"/>
      <c r="BZ12" s="99"/>
      <c r="CA12" s="78"/>
      <c r="CB12" s="78"/>
      <c r="CC12" s="78"/>
      <c r="CD12" s="78"/>
      <c r="CE12" s="78"/>
      <c r="CF12" s="78"/>
      <c r="CG12" s="78"/>
      <c r="CH12" s="78"/>
      <c r="CI12" s="78"/>
      <c r="CJ12" s="78"/>
      <c r="CK12" s="78"/>
      <c r="CL12" s="78"/>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78"/>
      <c r="EB12" s="78"/>
      <c r="EC12" s="78"/>
    </row>
    <row r="13" spans="1:133" ht="12.75">
      <c r="A13" s="12"/>
      <c r="B13" s="13"/>
      <c r="C13" s="49">
        <v>0</v>
      </c>
      <c r="D13" s="49">
        <f>MAX(C4:C7,D4:G6)</f>
        <v>75</v>
      </c>
      <c r="E13" s="49">
        <f>MAX(C4:D7,E4:G6)</f>
        <v>10000</v>
      </c>
      <c r="F13" s="49">
        <f>MAX(C4:E7,F4:G6)</f>
        <v>10000</v>
      </c>
      <c r="G13" s="49">
        <f>MAX(C4:F7,G4:G6)</f>
        <v>10000</v>
      </c>
      <c r="H13" s="13"/>
      <c r="I13" s="13"/>
      <c r="J13" s="13"/>
      <c r="K13" s="13"/>
      <c r="L13" s="47"/>
      <c r="M13" s="4"/>
      <c r="N13" s="12"/>
      <c r="O13" s="13"/>
      <c r="P13" s="13"/>
      <c r="Q13" s="13"/>
      <c r="R13" s="47"/>
      <c r="S13" s="13"/>
      <c r="T13" s="13"/>
      <c r="U13" s="13"/>
      <c r="V13" s="13"/>
      <c r="W13" s="47"/>
      <c r="X13" s="12"/>
      <c r="Y13" s="13"/>
      <c r="Z13" s="13"/>
      <c r="AA13" s="13"/>
      <c r="AB13" s="47"/>
      <c r="AC13" s="12"/>
      <c r="AD13" s="13"/>
      <c r="AE13" s="13"/>
      <c r="AF13" s="13"/>
      <c r="AG13" s="47"/>
      <c r="AH13" s="13"/>
      <c r="AI13" s="13"/>
      <c r="AJ13" s="13"/>
      <c r="AK13" s="13"/>
      <c r="AL13" s="47"/>
      <c r="AN13" s="23">
        <v>270</v>
      </c>
      <c r="AO13" s="25">
        <f t="shared" si="0"/>
        <v>91.43553794574824</v>
      </c>
      <c r="AP13" s="23">
        <v>300</v>
      </c>
      <c r="AQ13" s="31">
        <v>0.995</v>
      </c>
      <c r="AR13" s="31">
        <v>0.987</v>
      </c>
      <c r="AS13" s="24">
        <v>0.8599110630242677</v>
      </c>
      <c r="AT13" s="24">
        <v>0.7593047297230827</v>
      </c>
      <c r="AU13" s="26">
        <v>0.5580920631207128</v>
      </c>
      <c r="AV13" s="92"/>
      <c r="AW13" s="31"/>
      <c r="AX13" s="31"/>
      <c r="AY13" s="31"/>
      <c r="AZ13" s="93"/>
      <c r="BA13" s="52">
        <v>0.21279710000000002</v>
      </c>
      <c r="BB13" s="53">
        <v>0.8075733</v>
      </c>
      <c r="BC13" s="53">
        <v>0.8295512999999998</v>
      </c>
      <c r="BD13" s="54">
        <v>1.0452574</v>
      </c>
      <c r="BE13" s="53">
        <v>0.21608159999999996</v>
      </c>
      <c r="BF13" s="53">
        <v>0.8410436999999998</v>
      </c>
      <c r="BG13" s="53">
        <v>0.8723600999999999</v>
      </c>
      <c r="BH13" s="54">
        <v>1.0615926</v>
      </c>
      <c r="BI13" s="53">
        <v>0.20165202983274094</v>
      </c>
      <c r="BJ13" s="53">
        <v>0.8398982196842033</v>
      </c>
      <c r="BK13" s="53">
        <v>0.8926940656171982</v>
      </c>
      <c r="BL13" s="54">
        <v>0.9912296778939264</v>
      </c>
      <c r="BM13" s="53">
        <v>0.22402998062514254</v>
      </c>
      <c r="BN13" s="53">
        <v>0.90142353609002</v>
      </c>
      <c r="BO13" s="53">
        <v>0.9534629662222714</v>
      </c>
      <c r="BP13" s="54">
        <v>1.0801509518220695</v>
      </c>
      <c r="BQ13" s="52">
        <v>0.23449468922723338</v>
      </c>
      <c r="BR13" s="53">
        <v>0.915146217949248</v>
      </c>
      <c r="BS13" s="53">
        <v>0.9654404704674279</v>
      </c>
      <c r="BT13" s="54">
        <v>1.105941642120614</v>
      </c>
      <c r="BU13" s="99"/>
      <c r="BV13" s="99"/>
      <c r="BW13" s="99"/>
      <c r="BX13" s="99"/>
      <c r="BY13" s="99"/>
      <c r="BZ13" s="99"/>
      <c r="CA13" s="78"/>
      <c r="CB13" s="78"/>
      <c r="CC13" s="78"/>
      <c r="CD13" s="78"/>
      <c r="CE13" s="78"/>
      <c r="CF13" s="78"/>
      <c r="CG13" s="78"/>
      <c r="CH13" s="78"/>
      <c r="CI13" s="78"/>
      <c r="CJ13" s="78"/>
      <c r="CK13" s="78"/>
      <c r="CL13" s="78"/>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78"/>
      <c r="EB13" s="78"/>
      <c r="EC13" s="78"/>
    </row>
    <row r="14" spans="14:133" ht="12.75">
      <c r="N14" s="11"/>
      <c r="O14" s="4"/>
      <c r="P14" s="4"/>
      <c r="Q14" s="4"/>
      <c r="R14" s="46"/>
      <c r="S14" s="4"/>
      <c r="T14" s="4"/>
      <c r="U14" s="4"/>
      <c r="V14" s="4"/>
      <c r="W14" s="46"/>
      <c r="X14" s="11"/>
      <c r="Y14" s="4"/>
      <c r="Z14" s="4"/>
      <c r="AA14" s="4"/>
      <c r="AB14" s="46"/>
      <c r="AC14" s="11"/>
      <c r="AD14" s="4"/>
      <c r="AE14" s="4"/>
      <c r="AF14" s="4"/>
      <c r="AG14" s="46"/>
      <c r="AH14" s="4"/>
      <c r="AI14" s="4"/>
      <c r="AJ14" s="4"/>
      <c r="AK14" s="4"/>
      <c r="AL14" s="46"/>
      <c r="AN14" s="23">
        <v>300</v>
      </c>
      <c r="AO14" s="25">
        <f t="shared" si="0"/>
        <v>100.57909174032307</v>
      </c>
      <c r="AP14" s="23">
        <v>330</v>
      </c>
      <c r="AQ14" s="31">
        <v>1</v>
      </c>
      <c r="AR14" s="31">
        <v>1</v>
      </c>
      <c r="AS14" s="24">
        <v>0.8829704638034174</v>
      </c>
      <c r="AT14" s="24">
        <v>0.7957589864618675</v>
      </c>
      <c r="AU14" s="26">
        <v>0.6213360317787675</v>
      </c>
      <c r="AV14" s="92"/>
      <c r="AW14" s="31"/>
      <c r="AX14" s="31"/>
      <c r="AY14" s="31"/>
      <c r="AZ14" s="93"/>
      <c r="BA14" s="52">
        <v>0.21415810000000002</v>
      </c>
      <c r="BB14" s="53">
        <v>0.8139648</v>
      </c>
      <c r="BC14" s="53">
        <v>0.8366087999999998</v>
      </c>
      <c r="BD14" s="54">
        <v>1.0519543999999998</v>
      </c>
      <c r="BE14" s="53">
        <v>0.21962019999999996</v>
      </c>
      <c r="BF14" s="53">
        <v>0.8576615999999998</v>
      </c>
      <c r="BG14" s="53">
        <v>0.8907095999999999</v>
      </c>
      <c r="BH14" s="54">
        <v>1.0790048</v>
      </c>
      <c r="BI14" s="53">
        <v>0.2079287987248255</v>
      </c>
      <c r="BJ14" s="53">
        <v>0.8693750517001904</v>
      </c>
      <c r="BK14" s="53">
        <v>0.925242409816968</v>
      </c>
      <c r="BL14" s="54">
        <v>1.0221154392975194</v>
      </c>
      <c r="BM14" s="53">
        <v>0.2360270765178766</v>
      </c>
      <c r="BN14" s="53">
        <v>0.9546321692259503</v>
      </c>
      <c r="BO14" s="53">
        <v>1.0115345972071557</v>
      </c>
      <c r="BP14" s="54">
        <v>1.1381569651448238</v>
      </c>
      <c r="BQ14" s="52">
        <v>0.2625117673427516</v>
      </c>
      <c r="BR14" s="53">
        <v>1.0304020264316869</v>
      </c>
      <c r="BS14" s="53">
        <v>1.0891456731625828</v>
      </c>
      <c r="BT14" s="54">
        <v>1.2384187832686413</v>
      </c>
      <c r="BU14" s="99"/>
      <c r="BV14" s="99"/>
      <c r="BW14" s="99"/>
      <c r="BX14" s="99"/>
      <c r="BY14" s="99"/>
      <c r="BZ14" s="99"/>
      <c r="CA14" s="78"/>
      <c r="CB14" s="78"/>
      <c r="CC14" s="78"/>
      <c r="CD14" s="78"/>
      <c r="CE14" s="78"/>
      <c r="CF14" s="78"/>
      <c r="CG14" s="78"/>
      <c r="CH14" s="78"/>
      <c r="CI14" s="78"/>
      <c r="CJ14" s="78"/>
      <c r="CK14" s="78"/>
      <c r="CL14" s="78"/>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78"/>
      <c r="EB14" s="78"/>
      <c r="EC14" s="78"/>
    </row>
    <row r="15" spans="1:133" ht="12.75">
      <c r="A15" s="73">
        <v>2</v>
      </c>
      <c r="B15" s="56"/>
      <c r="C15" s="74"/>
      <c r="D15" s="74"/>
      <c r="E15" s="74"/>
      <c r="F15" s="74"/>
      <c r="G15" s="76"/>
      <c r="H15" s="63"/>
      <c r="I15" s="63"/>
      <c r="J15" s="63"/>
      <c r="K15" s="63"/>
      <c r="L15" s="64"/>
      <c r="M15" s="4"/>
      <c r="N15" s="66"/>
      <c r="O15" s="63"/>
      <c r="P15" s="63"/>
      <c r="Q15" s="63"/>
      <c r="R15" s="64"/>
      <c r="S15" s="63"/>
      <c r="T15" s="63"/>
      <c r="U15" s="63"/>
      <c r="V15" s="63"/>
      <c r="W15" s="64"/>
      <c r="X15" s="66"/>
      <c r="Y15" s="63"/>
      <c r="Z15" s="63"/>
      <c r="AA15" s="63"/>
      <c r="AB15" s="64"/>
      <c r="AC15" s="66"/>
      <c r="AD15" s="63"/>
      <c r="AE15" s="63"/>
      <c r="AF15" s="63"/>
      <c r="AG15" s="64"/>
      <c r="AH15" s="63"/>
      <c r="AI15" s="63"/>
      <c r="AJ15" s="63"/>
      <c r="AK15" s="63"/>
      <c r="AL15" s="64"/>
      <c r="AN15" s="23">
        <v>330</v>
      </c>
      <c r="AO15" s="25">
        <f t="shared" si="0"/>
        <v>109.7226455348979</v>
      </c>
      <c r="AP15" s="23">
        <v>360</v>
      </c>
      <c r="AQ15" s="31">
        <v>1</v>
      </c>
      <c r="AR15" s="31">
        <v>1</v>
      </c>
      <c r="AS15" s="24">
        <v>0.9017738383308108</v>
      </c>
      <c r="AT15" s="24">
        <v>0.8259638413270001</v>
      </c>
      <c r="AU15" s="26">
        <v>0.6743438473193784</v>
      </c>
      <c r="AV15" s="92"/>
      <c r="AW15" s="31"/>
      <c r="AX15" s="31"/>
      <c r="AY15" s="31"/>
      <c r="AZ15" s="93"/>
      <c r="BA15" s="101">
        <v>0.21415810000000002</v>
      </c>
      <c r="BB15" s="102">
        <v>0.8139648</v>
      </c>
      <c r="BC15" s="102">
        <v>0.8366087999999998</v>
      </c>
      <c r="BD15" s="103">
        <v>1.0519543999999998</v>
      </c>
      <c r="BE15" s="102">
        <v>0.21962019999999996</v>
      </c>
      <c r="BF15" s="102">
        <v>0.8576615999999998</v>
      </c>
      <c r="BG15" s="102">
        <v>0.8907095999999999</v>
      </c>
      <c r="BH15" s="103">
        <v>1.0790048</v>
      </c>
      <c r="BI15" s="53">
        <v>0.21316553853070458</v>
      </c>
      <c r="BJ15" s="53">
        <v>0.894359095434738</v>
      </c>
      <c r="BK15" s="53">
        <v>0.9529567035328932</v>
      </c>
      <c r="BL15" s="54">
        <v>1.0478873444247647</v>
      </c>
      <c r="BM15" s="53">
        <v>0.24615778483964207</v>
      </c>
      <c r="BN15" s="53">
        <v>1.0002415000723004</v>
      </c>
      <c r="BO15" s="53">
        <v>1.061535713950896</v>
      </c>
      <c r="BP15" s="54">
        <v>1.1871613216780148</v>
      </c>
      <c r="BQ15" s="52">
        <v>0.28632817886514805</v>
      </c>
      <c r="BR15" s="53">
        <v>1.1296750633761428</v>
      </c>
      <c r="BS15" s="53">
        <v>1.1961366480497517</v>
      </c>
      <c r="BT15" s="54">
        <v>1.3511080983264259</v>
      </c>
      <c r="BU15" s="99"/>
      <c r="BV15" s="99"/>
      <c r="BW15" s="99"/>
      <c r="BX15" s="99"/>
      <c r="BY15" s="99"/>
      <c r="BZ15" s="99"/>
      <c r="CA15" s="78"/>
      <c r="CB15" s="78"/>
      <c r="CC15" s="78"/>
      <c r="CD15" s="78"/>
      <c r="CE15" s="78"/>
      <c r="CF15" s="78"/>
      <c r="CG15" s="78"/>
      <c r="CH15" s="78"/>
      <c r="CI15" s="78"/>
      <c r="CJ15" s="78"/>
      <c r="CK15" s="78"/>
      <c r="CL15" s="78"/>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78"/>
      <c r="EB15" s="78"/>
      <c r="EC15" s="78"/>
    </row>
    <row r="16" spans="1:133" ht="12.75">
      <c r="A16" s="65"/>
      <c r="B16" s="57"/>
      <c r="C16" s="62"/>
      <c r="D16" s="62"/>
      <c r="E16" s="62"/>
      <c r="F16" s="62"/>
      <c r="G16" s="67"/>
      <c r="H16" s="4"/>
      <c r="I16" s="4"/>
      <c r="J16" s="4"/>
      <c r="K16" s="4"/>
      <c r="L16" s="46"/>
      <c r="M16" s="4"/>
      <c r="N16" s="11"/>
      <c r="O16" s="4"/>
      <c r="P16" s="4"/>
      <c r="Q16" s="4"/>
      <c r="R16" s="46"/>
      <c r="S16" s="4"/>
      <c r="T16" s="4"/>
      <c r="U16" s="4"/>
      <c r="V16" s="4"/>
      <c r="W16" s="46"/>
      <c r="X16" s="11"/>
      <c r="Y16" s="4"/>
      <c r="Z16" s="4"/>
      <c r="AA16" s="4"/>
      <c r="AB16" s="46"/>
      <c r="AC16" s="11"/>
      <c r="AD16" s="4"/>
      <c r="AE16" s="4"/>
      <c r="AF16" s="4"/>
      <c r="AG16" s="46"/>
      <c r="AH16" s="4"/>
      <c r="AI16" s="4"/>
      <c r="AJ16" s="4"/>
      <c r="AK16" s="4"/>
      <c r="AL16" s="46"/>
      <c r="AN16" s="23">
        <v>360</v>
      </c>
      <c r="AO16" s="25">
        <f t="shared" si="0"/>
        <v>118.86619932947272</v>
      </c>
      <c r="AP16" s="23">
        <v>390</v>
      </c>
      <c r="AQ16" s="31">
        <v>1</v>
      </c>
      <c r="AR16" s="31">
        <v>1</v>
      </c>
      <c r="AS16" s="24">
        <v>0.9203672013520163</v>
      </c>
      <c r="AT16" s="24">
        <v>0.8532718005710404</v>
      </c>
      <c r="AU16" s="26">
        <v>0.719080999009088</v>
      </c>
      <c r="AV16" s="92"/>
      <c r="AW16" s="31"/>
      <c r="AX16" s="31"/>
      <c r="AY16" s="31"/>
      <c r="AZ16" s="93"/>
      <c r="BA16" s="101">
        <v>0.21415810000000002</v>
      </c>
      <c r="BB16" s="102">
        <v>0.8139648</v>
      </c>
      <c r="BC16" s="102">
        <v>0.8366087999999998</v>
      </c>
      <c r="BD16" s="103">
        <v>1.0519543999999998</v>
      </c>
      <c r="BE16" s="102">
        <v>0.21962019999999996</v>
      </c>
      <c r="BF16" s="102">
        <v>0.8576615999999998</v>
      </c>
      <c r="BG16" s="102">
        <v>0.8907095999999999</v>
      </c>
      <c r="BH16" s="103">
        <v>1.0790048</v>
      </c>
      <c r="BI16" s="53">
        <v>0.2184609283191439</v>
      </c>
      <c r="BJ16" s="53">
        <v>0.9200012023772826</v>
      </c>
      <c r="BK16" s="53">
        <v>0.9815216871423712</v>
      </c>
      <c r="BL16" s="54">
        <v>1.0739515207078907</v>
      </c>
      <c r="BM16" s="53">
        <v>0.2554889145133306</v>
      </c>
      <c r="BN16" s="53">
        <v>1.042852839676701</v>
      </c>
      <c r="BO16" s="53">
        <v>1.1084453263403085</v>
      </c>
      <c r="BP16" s="54">
        <v>1.23231776308396</v>
      </c>
      <c r="BQ16" s="52">
        <v>0.30671042517497976</v>
      </c>
      <c r="BR16" s="53">
        <v>1.2157135535057924</v>
      </c>
      <c r="BS16" s="53">
        <v>1.2892257132856995</v>
      </c>
      <c r="BT16" s="54">
        <v>1.4476106082362985</v>
      </c>
      <c r="BU16" s="99"/>
      <c r="BV16" s="99"/>
      <c r="BW16" s="99"/>
      <c r="BX16" s="99"/>
      <c r="BY16" s="99"/>
      <c r="BZ16" s="99"/>
      <c r="CA16" s="78"/>
      <c r="CB16" s="78"/>
      <c r="CC16" s="78"/>
      <c r="CD16" s="78"/>
      <c r="CE16" s="78"/>
      <c r="CF16" s="78"/>
      <c r="CG16" s="78"/>
      <c r="CH16" s="78"/>
      <c r="CI16" s="78"/>
      <c r="CJ16" s="78"/>
      <c r="CK16" s="78"/>
      <c r="CL16" s="78"/>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78"/>
      <c r="EB16" s="78"/>
      <c r="EC16" s="78"/>
    </row>
    <row r="17" spans="1:133" ht="12.75">
      <c r="A17" s="65"/>
      <c r="B17" s="57" t="s">
        <v>120</v>
      </c>
      <c r="C17" s="62"/>
      <c r="D17" s="62"/>
      <c r="E17" s="62">
        <v>75</v>
      </c>
      <c r="F17" s="62">
        <v>115</v>
      </c>
      <c r="G17" s="67"/>
      <c r="H17" s="4"/>
      <c r="I17" s="4"/>
      <c r="J17" s="4"/>
      <c r="K17" s="4"/>
      <c r="L17" s="46"/>
      <c r="M17" s="4"/>
      <c r="N17" s="11"/>
      <c r="O17" s="4"/>
      <c r="P17" s="4"/>
      <c r="Q17" s="4"/>
      <c r="R17" s="46"/>
      <c r="S17" s="4"/>
      <c r="T17" s="4"/>
      <c r="U17" s="4"/>
      <c r="V17" s="4"/>
      <c r="W17" s="46"/>
      <c r="X17" s="11"/>
      <c r="Y17" s="4"/>
      <c r="Z17" s="4"/>
      <c r="AA17" s="4"/>
      <c r="AB17" s="46"/>
      <c r="AC17" s="11"/>
      <c r="AD17" s="4"/>
      <c r="AE17" s="4"/>
      <c r="AF17" s="4"/>
      <c r="AG17" s="46"/>
      <c r="AH17" s="4"/>
      <c r="AI17" s="4"/>
      <c r="AJ17" s="4"/>
      <c r="AK17" s="4"/>
      <c r="AL17" s="46"/>
      <c r="AN17" s="23">
        <v>390</v>
      </c>
      <c r="AO17" s="25">
        <f t="shared" si="0"/>
        <v>128.00975312404753</v>
      </c>
      <c r="AP17" s="23">
        <v>420</v>
      </c>
      <c r="AQ17" s="31">
        <v>1</v>
      </c>
      <c r="AR17" s="31">
        <v>1</v>
      </c>
      <c r="AS17" s="24">
        <v>0.9355994496571307</v>
      </c>
      <c r="AT17" s="24">
        <v>0.8763291102215937</v>
      </c>
      <c r="AU17" s="26">
        <v>0.7577884313505191</v>
      </c>
      <c r="AV17" s="92"/>
      <c r="AW17" s="31"/>
      <c r="AX17" s="31"/>
      <c r="AY17" s="31"/>
      <c r="AZ17" s="93"/>
      <c r="BA17" s="101">
        <v>0.21415810000000002</v>
      </c>
      <c r="BB17" s="102">
        <v>0.8139648</v>
      </c>
      <c r="BC17" s="102">
        <v>0.8366087999999998</v>
      </c>
      <c r="BD17" s="103">
        <v>1.0519543999999998</v>
      </c>
      <c r="BE17" s="102">
        <v>0.21962019999999996</v>
      </c>
      <c r="BF17" s="102">
        <v>0.8576615999999998</v>
      </c>
      <c r="BG17" s="102">
        <v>0.8907095999999999</v>
      </c>
      <c r="BH17" s="103">
        <v>1.0790048</v>
      </c>
      <c r="BI17" s="53">
        <v>0.2228950358007627</v>
      </c>
      <c r="BJ17" s="53">
        <v>0.9417757013294435</v>
      </c>
      <c r="BK17" s="53">
        <v>1.0058734825077575</v>
      </c>
      <c r="BL17" s="54">
        <v>1.0957793325291196</v>
      </c>
      <c r="BM17" s="53">
        <v>0.26351285827172316</v>
      </c>
      <c r="BN17" s="53">
        <v>1.0799935540618122</v>
      </c>
      <c r="BO17" s="53">
        <v>1.1494919489802236</v>
      </c>
      <c r="BP17" s="54">
        <v>1.2711647183832122</v>
      </c>
      <c r="BQ17" s="52">
        <v>0.3245893881734868</v>
      </c>
      <c r="BR17" s="53">
        <v>1.292106541974841</v>
      </c>
      <c r="BS17" s="53">
        <v>1.3721834822798546</v>
      </c>
      <c r="BT17" s="54">
        <v>1.5323140824290522</v>
      </c>
      <c r="BU17" s="99"/>
      <c r="BV17" s="99"/>
      <c r="BW17" s="99"/>
      <c r="BX17" s="99"/>
      <c r="BY17" s="99"/>
      <c r="BZ17" s="99"/>
      <c r="CA17" s="78"/>
      <c r="CB17" s="78"/>
      <c r="CC17" s="78"/>
      <c r="CD17" s="78"/>
      <c r="CE17" s="78"/>
      <c r="CF17" s="78"/>
      <c r="CG17" s="78"/>
      <c r="CH17" s="78"/>
      <c r="CI17" s="78"/>
      <c r="CJ17" s="78"/>
      <c r="CK17" s="78"/>
      <c r="CL17" s="78"/>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78"/>
      <c r="EB17" s="78"/>
      <c r="EC17" s="78"/>
    </row>
    <row r="18" spans="1:133" ht="12.75">
      <c r="A18" s="68"/>
      <c r="B18" s="69" t="s">
        <v>121</v>
      </c>
      <c r="C18" s="70"/>
      <c r="D18" s="70">
        <v>10000</v>
      </c>
      <c r="E18" s="70"/>
      <c r="F18" s="70"/>
      <c r="G18" s="71"/>
      <c r="H18" s="50"/>
      <c r="I18" s="50"/>
      <c r="J18" s="50"/>
      <c r="K18" s="50"/>
      <c r="L18" s="51"/>
      <c r="M18" s="50"/>
      <c r="N18" s="11"/>
      <c r="O18" s="4"/>
      <c r="P18" s="4"/>
      <c r="Q18" s="4"/>
      <c r="R18" s="46"/>
      <c r="S18" s="4"/>
      <c r="T18" s="4"/>
      <c r="U18" s="4"/>
      <c r="V18" s="4"/>
      <c r="W18" s="46"/>
      <c r="X18" s="11"/>
      <c r="Y18" s="4"/>
      <c r="Z18" s="4"/>
      <c r="AA18" s="4"/>
      <c r="AB18" s="46"/>
      <c r="AC18" s="11"/>
      <c r="AD18" s="4"/>
      <c r="AE18" s="4"/>
      <c r="AF18" s="4"/>
      <c r="AG18" s="46"/>
      <c r="AH18" s="4"/>
      <c r="AI18" s="4"/>
      <c r="AJ18" s="4"/>
      <c r="AK18" s="4"/>
      <c r="AL18" s="46"/>
      <c r="AN18" s="23">
        <v>420</v>
      </c>
      <c r="AO18" s="25">
        <f t="shared" si="0"/>
        <v>137.15330691862238</v>
      </c>
      <c r="AP18" s="23">
        <v>450</v>
      </c>
      <c r="AQ18" s="31">
        <v>1</v>
      </c>
      <c r="AR18" s="31">
        <v>1</v>
      </c>
      <c r="AS18" s="24">
        <v>0.9494358629533418</v>
      </c>
      <c r="AT18" s="24">
        <v>0.8969761050457888</v>
      </c>
      <c r="AU18" s="26">
        <v>0.7920565892306826</v>
      </c>
      <c r="AV18" s="92"/>
      <c r="AW18" s="31"/>
      <c r="AX18" s="31"/>
      <c r="AY18" s="31"/>
      <c r="AZ18" s="93"/>
      <c r="BA18" s="101">
        <v>0.21415810000000002</v>
      </c>
      <c r="BB18" s="102">
        <v>0.8139648</v>
      </c>
      <c r="BC18" s="102">
        <v>0.8366087999999998</v>
      </c>
      <c r="BD18" s="103">
        <v>1.0519543999999998</v>
      </c>
      <c r="BE18" s="102">
        <v>0.21962019999999996</v>
      </c>
      <c r="BF18" s="102">
        <v>0.8576615999999998</v>
      </c>
      <c r="BG18" s="102">
        <v>0.8907095999999999</v>
      </c>
      <c r="BH18" s="103">
        <v>1.0790048</v>
      </c>
      <c r="BI18" s="53">
        <v>0.22700998511505588</v>
      </c>
      <c r="BJ18" s="53">
        <v>0.9622522093665064</v>
      </c>
      <c r="BK18" s="53">
        <v>1.0288571486340938</v>
      </c>
      <c r="BL18" s="54">
        <v>1.116038608877432</v>
      </c>
      <c r="BM18" s="53">
        <v>0.2708280885379355</v>
      </c>
      <c r="BN18" s="53">
        <v>1.1142923418637651</v>
      </c>
      <c r="BO18" s="53">
        <v>1.1875361016432855</v>
      </c>
      <c r="BP18" s="54">
        <v>1.306594961501531</v>
      </c>
      <c r="BQ18" s="52">
        <v>0.34063373969297933</v>
      </c>
      <c r="BR18" s="53">
        <v>1.361465293524292</v>
      </c>
      <c r="BS18" s="53">
        <v>1.4477653313003431</v>
      </c>
      <c r="BT18" s="54">
        <v>1.608372258844075</v>
      </c>
      <c r="BU18" s="99"/>
      <c r="BV18" s="99"/>
      <c r="BW18" s="99"/>
      <c r="BX18" s="99"/>
      <c r="BY18" s="99"/>
      <c r="BZ18" s="99"/>
      <c r="CA18" s="78"/>
      <c r="CB18" s="78"/>
      <c r="CC18" s="78"/>
      <c r="CD18" s="78"/>
      <c r="CE18" s="78"/>
      <c r="CF18" s="78"/>
      <c r="CG18" s="78"/>
      <c r="CH18" s="78"/>
      <c r="CI18" s="78"/>
      <c r="CJ18" s="78"/>
      <c r="CK18" s="78"/>
      <c r="CL18" s="78"/>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78"/>
      <c r="EB18" s="78"/>
      <c r="EC18" s="78"/>
    </row>
    <row r="19" spans="1:133" ht="12.75">
      <c r="A19" s="11" t="s">
        <v>83</v>
      </c>
      <c r="B19" s="4"/>
      <c r="C19" s="4"/>
      <c r="D19" s="4"/>
      <c r="E19" s="4"/>
      <c r="F19" s="4"/>
      <c r="G19" s="4"/>
      <c r="H19" s="4"/>
      <c r="I19" s="4"/>
      <c r="J19" s="4"/>
      <c r="K19" s="4"/>
      <c r="L19" s="46"/>
      <c r="M19" s="4"/>
      <c r="N19" s="11"/>
      <c r="O19" s="4"/>
      <c r="P19" s="4"/>
      <c r="Q19" s="4"/>
      <c r="R19" s="46"/>
      <c r="S19" s="4"/>
      <c r="T19" s="4"/>
      <c r="U19" s="4"/>
      <c r="V19" s="4"/>
      <c r="W19" s="46"/>
      <c r="X19" s="11"/>
      <c r="Y19" s="4"/>
      <c r="Z19" s="4"/>
      <c r="AA19" s="4"/>
      <c r="AB19" s="46"/>
      <c r="AC19" s="11"/>
      <c r="AD19" s="4"/>
      <c r="AE19" s="4"/>
      <c r="AF19" s="4"/>
      <c r="AG19" s="46"/>
      <c r="AH19" s="4"/>
      <c r="AI19" s="4"/>
      <c r="AJ19" s="4"/>
      <c r="AK19" s="4"/>
      <c r="AL19" s="46"/>
      <c r="AN19" s="23">
        <v>450</v>
      </c>
      <c r="AO19" s="25">
        <f t="shared" si="0"/>
        <v>146.2968607131972</v>
      </c>
      <c r="AP19" s="23">
        <v>480</v>
      </c>
      <c r="AQ19" s="31">
        <v>1</v>
      </c>
      <c r="AR19" s="31">
        <v>1</v>
      </c>
      <c r="AS19" s="24">
        <v>0.9599736292721632</v>
      </c>
      <c r="AT19" s="24">
        <v>0.9142004357550436</v>
      </c>
      <c r="AU19" s="26">
        <v>0.8226540487208039</v>
      </c>
      <c r="AV19" s="92"/>
      <c r="AW19" s="31"/>
      <c r="AX19" s="31"/>
      <c r="AY19" s="31"/>
      <c r="AZ19" s="93"/>
      <c r="BA19" s="101">
        <v>0.21415810000000002</v>
      </c>
      <c r="BB19" s="102">
        <v>0.8139648</v>
      </c>
      <c r="BC19" s="102">
        <v>0.8366087999999998</v>
      </c>
      <c r="BD19" s="103">
        <v>1.0519543999999998</v>
      </c>
      <c r="BE19" s="102">
        <v>0.21962019999999996</v>
      </c>
      <c r="BF19" s="102">
        <v>0.8576615999999998</v>
      </c>
      <c r="BG19" s="102">
        <v>0.8907095999999999</v>
      </c>
      <c r="BH19" s="103">
        <v>1.0790048</v>
      </c>
      <c r="BI19" s="53">
        <v>0.23021030474608195</v>
      </c>
      <c r="BJ19" s="53">
        <v>0.9783781531641987</v>
      </c>
      <c r="BK19" s="53">
        <v>1.0470189888845824</v>
      </c>
      <c r="BL19" s="54">
        <v>1.1317967846305974</v>
      </c>
      <c r="BM19" s="53">
        <v>0.27703918219169277</v>
      </c>
      <c r="BN19" s="53">
        <v>1.1437735063057257</v>
      </c>
      <c r="BO19" s="53">
        <v>1.2203484516444159</v>
      </c>
      <c r="BP19" s="54">
        <v>1.3366893121167411</v>
      </c>
      <c r="BQ19" s="52">
        <v>0.3551522342210419</v>
      </c>
      <c r="BR19" s="53">
        <v>1.4249366634905998</v>
      </c>
      <c r="BS19" s="53">
        <v>1.5171603694239384</v>
      </c>
      <c r="BT19" s="54">
        <v>1.677237960918491</v>
      </c>
      <c r="BU19" s="99"/>
      <c r="BV19" s="99"/>
      <c r="BW19" s="99"/>
      <c r="BX19" s="99"/>
      <c r="BY19" s="99"/>
      <c r="BZ19" s="99"/>
      <c r="CA19" s="78"/>
      <c r="CB19" s="78"/>
      <c r="CC19" s="78"/>
      <c r="CD19" s="78"/>
      <c r="CE19" s="78"/>
      <c r="CF19" s="78"/>
      <c r="CG19" s="78"/>
      <c r="CH19" s="78"/>
      <c r="CI19" s="78"/>
      <c r="CJ19" s="78"/>
      <c r="CK19" s="78"/>
      <c r="CL19" s="78"/>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78"/>
      <c r="EB19" s="78"/>
      <c r="EC19" s="78"/>
    </row>
    <row r="20" spans="1:133" ht="12.75">
      <c r="A20" s="75" t="s">
        <v>76</v>
      </c>
      <c r="B20" s="48"/>
      <c r="C20" s="48"/>
      <c r="D20" s="48"/>
      <c r="E20" s="48"/>
      <c r="F20" s="48"/>
      <c r="G20" s="48"/>
      <c r="H20" s="50">
        <f>SUM(N20:R23)</f>
        <v>0.8157934349999999</v>
      </c>
      <c r="I20" s="50">
        <f>SUM(S20:W23)</f>
        <v>0.8617373309999998</v>
      </c>
      <c r="J20" s="50">
        <f>SUM(X20:AB23)</f>
        <v>0.9508142113638558</v>
      </c>
      <c r="K20" s="50">
        <f>SUM(AC20:AG23)</f>
        <v>1.106392465042858</v>
      </c>
      <c r="L20" s="51">
        <f>SUM(AH20:AL23)</f>
        <v>1.3649015811791596</v>
      </c>
      <c r="M20" s="50"/>
      <c r="N20" s="80">
        <v>0</v>
      </c>
      <c r="O20" s="50">
        <f>IF($D15&gt;$D21,(IF($D15*$AN$2&gt;$AP$47,VLOOKUP($D15*$AN$2,$AP$3:$BT$47,12),VLOOKUP($D15*$AN$2,$AP$3:$BT$47,12)+((VLOOKUP($D15*$AN$2,$AN$4:$BT$48,14)-VLOOKUP($D15*$AN$2,$AP$3:$BT$47,12))*($D15*$AN$2-VLOOKUP($D15*$AN$2,$AP$3:$BT$47,1))/(VLOOKUP($D15*$AN$2,$AN$4:$BT$48,3)-VLOOKUP($D15*$AN$2,$AP$3:$BT$47,1)))))-(IF($D21*$AN$2&gt;$AP$47,VLOOKUP($D21*$AN$2,$AP$3:$BT$47,12),VLOOKUP($D21*$AN$2,$AP$3:$BT$47,12)+((VLOOKUP($D21*$AN$2,$AN$4:$BT$48,14)-VLOOKUP($D21*$AN$2,$AP$3:$BT$47,12))*($D21*$AN$2-VLOOKUP($D21*$AN$2,$AP$3:$BT$47,1))/(VLOOKUP($D21*$AN$2,$AN$4:$BT$48,3)-VLOOKUP($D21*$AN$2,$AP$3:$BT$47,1))))),0)</f>
        <v>0</v>
      </c>
      <c r="P20" s="50">
        <f>IF($E15&gt;$E21,(IF($E15*$AN$2&gt;$AP$47,VLOOKUP($E15*$AN$2,$AP$3:$BT$47,13),VLOOKUP($E15*$AN$2,$AP$3:$BT$47,13)+((VLOOKUP($E15*$AN$2,$AN$4:$BT$48,15)-VLOOKUP($E15*$AN$2,$AP$3:$BT$47,13))*($E15*$AN$2-VLOOKUP($E15*$AN$2,$AP$3:$BT$47,1))/(VLOOKUP($E15*$AN$2,$AN$4:$BT$48,3)-VLOOKUP($E15*$AN$2,$AP$3:$BT$47,1)))))-(IF($E21*$AN$2&gt;$AP$47,VLOOKUP($E21*$AN$2,$AP$3:$BT$47,13),VLOOKUP($E21*$AN$2,$AP$3:$BT$47,13)+((VLOOKUP($E21*$AN$2,$AN$4:$BT$48,15)-VLOOKUP($E21*$AN$2,$AP$3:$BT$47,13))*($E21*$AN$2-VLOOKUP($E21*$AN$2,$AP$3:$BT$47,1))/(VLOOKUP($E21*$AN$2,$AN$4:$BT$48,3)-VLOOKUP($E21*$AN$2,$AP$3:$BT$47,1))))),0)</f>
        <v>0</v>
      </c>
      <c r="Q20" s="50">
        <f>IF($F15&gt;$F21,(IF($F15*$AN$2&gt;$AP$47,VLOOKUP($F15*$AN$2,$AP$3:$BT$47,14),VLOOKUP($F15*$AN$2,$AP$3:$BT$47,14)+((VLOOKUP($F15*$AN$2,$AN$4:$BT$48,16)-VLOOKUP($F15*$AN$2,$AP$3:$BT$47,14))*($F15*$AN$2-VLOOKUP(#REF!*$AN$2,$AP$3:$BT$47,1))/(VLOOKUP($F15*$AN$2,$AN$4:$BT$48,3)-VLOOKUP($F15*$AN$2,$AP$3:$BT$47,1)))))-(IF($F21*$AN$2&gt;$AP$47,VLOOKUP($F21*$AN$2,$AP$3:$BT$47,14),VLOOKUP($F21*$AN$2,$AP$3:$BT$47,14)+((VLOOKUP($F21*$AN$2,$AN$4:$BT$48,16)-VLOOKUP($F21*$AN$2,$AP$3:$BT$47,14))*($F21*$AN$2-VLOOKUP($F21*$AN$2,$AP$3:$BT$47,1))/(VLOOKUP($F21*$AN$2,$AN$4:$BT$48,3)-VLOOKUP($F21*$AN$2,$AP$3:$BT$47,1))))),0)</f>
        <v>0</v>
      </c>
      <c r="R20" s="51">
        <f>IF($G15&gt;$G21,(IF($G15*$AN$2&gt;$AP$47,VLOOKUP($G15*$AN$2,$AP$3:$BT$47,15),VLOOKUP($G15*$AN$2,$AP$3:$BT$47,15)+((VLOOKUP($G15*$AN$2,$AN$4:$BT$48,17)-VLOOKUP($G15*$AN$2,$AP$3:$BT$47,15))*($G15*$AN$2-VLOOKUP($G15*$AN$2,$AP$3:$BT$47,1))/(VLOOKUP($G15*$AN$2,$AN$4:$BT$48,3)-VLOOKUP($G15*$AN$2,$AP$3:$BT$47,1)))))-(IF($G21*$AN$2&gt;$AP$47,VLOOKUP($G21*$AN$2,$AP$3:$BT$47,15),VLOOKUP($G21*$AN$2,$AP$3:$BT$47,15)+((VLOOKUP($G21*$AN$2,$AN$4:$BT$48,17)-VLOOKUP($G21*$AN$2,$AP$3:$BT$47,15))*($G21*$AN$2-VLOOKUP($G21*$AN$2,$AP$3:$BT$47,1))/(VLOOKUP($G21*$AN$2,$AN$4:$BT$48,3)-VLOOKUP($G21*$AN$2,$AP$3:$BT$47,1))))),0)</f>
        <v>0</v>
      </c>
      <c r="S20" s="59">
        <v>0</v>
      </c>
      <c r="T20" s="50">
        <f>IF($D15&gt;$D21,(IF($D15*$AN$2&gt;$AP$47,VLOOKUP($D15*$AN$2,$AP$3:$BT$47,16),VLOOKUP($D15*$AN$2,$AP$3:$BT$47,16)+((VLOOKUP($D15*$AN$2,$AN$4:$BT$48,18)-VLOOKUP($D15*$AN$2,$AP$3:$BT$47,16))*($D15*$AN$2-VLOOKUP($D15*$AN$2,$AP$3:$BT$47,1))/(VLOOKUP($D15*$AN$2,$AN$4:$BT$48,3)-VLOOKUP($D15*$AN$2,$AP$3:$BT$47,1)))))-(IF($D21*$AN$2&gt;$AP$47,VLOOKUP($D21*$AN$2,$AP$3:$BT$47,16),VLOOKUP($D21*$AN$2,$AP$3:$BT$47,16)+((VLOOKUP($D21*$AN$2,$AN$4:$BT$48,18)-VLOOKUP($D21*$AN$2,$AP$3:$BT$47,16))*($D21*$AN$2-VLOOKUP($D21*$AN$2,$AP$3:$BT$47,1))/(VLOOKUP($D21*$AN$2,$AN$4:$BT$48,3)-VLOOKUP($D21*$AN$2,$AP$3:$BT$47,1))))),0)</f>
        <v>0</v>
      </c>
      <c r="U20" s="50">
        <f>IF($E15&gt;$E21,(IF($E15*$AN$2&gt;$AP$47,VLOOKUP($E15*$AN$2,$AP$3:$BT$47,17),VLOOKUP($E15*$AN$2,$AP$3:$BT$47,17)+((VLOOKUP($E15*$AN$2,$AN$4:$BT$48,19)-VLOOKUP($E15*$AN$2,$AP$3:$BT$47,17))*($E15*$AN$2-VLOOKUP($E15*$AN$2,$AP$3:$BT$47,1))/(VLOOKUP($E15*$AN$2,$AN$4:$BT$48,3)-VLOOKUP($E15*$AN$2,$AP$3:$BT$47,1)))))-(IF($E21*$AN$2&gt;$AP$47,VLOOKUP($E21*$AN$2,$AP$3:$BT$47,17),VLOOKUP($E21*$AN$2,$AP$3:$BT$47,17)+((VLOOKUP($E21*$AN$2,$AN$4:$BT$48,19)-VLOOKUP($E21*$AN$2,$AP$3:$BT$47,17))*($E21*$AN$2-VLOOKUP($E21*$AN$2,$AP$3:$BT$47,1))/(VLOOKUP($E21*$AN$2,$AN$4:$BT$48,3)-VLOOKUP($E21*$AN$2,$AP$3:$BT$47,1))))),0)</f>
        <v>0</v>
      </c>
      <c r="V20" s="50">
        <f>IF($F15&gt;$F21,(IF($F15*$AN$2&gt;$AP$47,VLOOKUP($F15*$AN$2,$AP$3:$BT$47,18),VLOOKUP($F15*$AN$2,$AP$3:$BT$47,18)+((VLOOKUP($F15*$AN$2,$AN$4:$BT$48,20)-VLOOKUP($F15*$AN$2,$AP$3:$BT$47,18))*($F15*$AN$2-VLOOKUP($F15*$AN$2,$AP$3:$BT$47,1))/(VLOOKUP($F15*$AN$2,$AN$4:$BT$48,3)-VLOOKUP($F15*$AN$2,$AP$3:$BT$47,1)))))-(IF($F21*$AN$2&gt;$AP$47,VLOOKUP($F21*$AN$2,$AP$3:$BT$47,18),VLOOKUP($F21*$AN$2,$AP$3:$BT$47,18)+((VLOOKUP($F21*$AN$2,$AN$4:$BT$48,20)-VLOOKUP($F21*$AN$2,$AP$3:$BT$47,18))*($F21*$AN$2-VLOOKUP($F21*$AN$2,$AP$3:$BT$47,1))/(VLOOKUP($F21*$AN$2,$AN$4:$BT$48,3)-VLOOKUP($F21*$AN$2,$AP$3:$BT$47,1))))),0)</f>
        <v>0</v>
      </c>
      <c r="W20" s="51">
        <f>IF($G15&gt;$G21,(IF($G15*$AN$2&gt;$AP$47,VLOOKUP($G15*$AN$2,$AP$3:$BT$47,19),VLOOKUP($G15*$AN$2,$AP$3:$BT$47,19)+((VLOOKUP($G15*$AN$2,$AN$4:$BT$48,21)-VLOOKUP($G15*$AN$2,$AP$3:$BT$47,19))*($G15*$AN$2-VLOOKUP($G15*$AN$2,$AP$3:$BT$47,1))/(VLOOKUP($G15*$AN$2,$AN$4:$BT$48,3)-VLOOKUP($G15*$AN$2,$AP$3:$BT$47,1)))))-(IF($G21*$AN$2&gt;$AP$47,VLOOKUP($G21*$AN$2,$AP$3:$BT$47,19),VLOOKUP($G21*$AN$2,$AP$3:$BT$47,19)+((VLOOKUP($G21*$AN$2,$AN$4:$BT$48,21)-VLOOKUP($G21*$AN$2,$AP$3:$BT$47,19))*($G21*$AN$2-VLOOKUP($G21*$AN$2,$AP$3:$BT$47,1))/(VLOOKUP($G21*$AN$2,$AN$4:$BT$48,3)-VLOOKUP($G21*$AN$2,$AP$3:$BT$47,1))))),0)</f>
        <v>0</v>
      </c>
      <c r="X20" s="80">
        <v>0</v>
      </c>
      <c r="Y20" s="50">
        <f>IF($D15&gt;$D21,(IF($D15*$AN$2&gt;$AP$47,VLOOKUP($D15*$AN$2,$AP$3:$BT$47,20),VLOOKUP($D15*$AN$2,$AP$3:$BT$47,20)+((VLOOKUP($D15*$AN$2,$AN$4:$BT$48,22)-VLOOKUP($D15*$AN$2,$AP$3:$BT$47,20))*($D15*$AN$2-VLOOKUP($D15*$AN$2,$AP$3:$BT$47,1))/(VLOOKUP($D15*$AN$2,$AN$4:$BT$48,3)-VLOOKUP($D15*$AN$2,$AP$3:$BT$47,1)))))-(IF($D21*$AN$2&gt;$AP$47,VLOOKUP($D21*$AN$2,$AP$3:$BT$47,20),VLOOKUP($D21*$AN$2,$AP$3:$BT$47,20)+((VLOOKUP($D21*$AN$2,$AN$4:$BT$48,22)-VLOOKUP($D21*$AN$2,$AP$3:$BT$47,20))*($D21*$AN$2-VLOOKUP($D21*$AN$2,$AP$3:$BT$47,1))/(VLOOKUP($D21*$AN$2,$AN$4:$BT$48,3)-VLOOKUP($D21*$AN$2,$AP$3:$BT$47,1))))),0)</f>
        <v>0</v>
      </c>
      <c r="Z20" s="50">
        <f>IF($E15&gt;$E21,(IF($E15*$AN$2&gt;$AP$47,VLOOKUP($E15*$AN$2,$AP$3:$BT$47,21),VLOOKUP($E15*$AN$2,$AP$3:$BT$47,21)+((VLOOKUP($E15*$AN$2,$AN$4:$BT$48,23)-VLOOKUP($E15*$AN$2,$AP$3:$BT$47,21))*($E15*$AN$2-VLOOKUP($E15*$AN$2,$AP$3:$BT$47,1))/(VLOOKUP($E15*$AN$2,$AN$4:$BT$48,3)-VLOOKUP($E15*$AN$2,$AP$3:$BT$47,1)))))-(IF($E21*$AN$2&gt;$AP$47,VLOOKUP($E21*$AN$2,$AP$3:$BT$47,21),VLOOKUP($E21*$AN$2,$AP$3:$BT$47,21)+((VLOOKUP($E21*$AN$2,$AN$4:$BT$48,23)-VLOOKUP($E21*$AN$2,$AP$3:$BT$47,21))*($E21*$AN$2-VLOOKUP($E21*$AN$2,$AP$3:$BT$47,1))/(VLOOKUP($E21*$AN$2,$AN$4:$BT$48,3)-VLOOKUP($E21*$AN$2,$AP$3:$BT$47,1))))),0)</f>
        <v>0</v>
      </c>
      <c r="AA20" s="50">
        <f>IF($F15&gt;$F21,(IF($F15*$AN$2&gt;$AP$47,VLOOKUP($F15*$AN$2,$AP$3:$BT$47,22),VLOOKUP($F15*$AN$2,$AP$3:$BT$47,22)+((VLOOKUP($F15*$AN$2,$AN$4:$BT$48,24)-VLOOKUP($F15*$AN$2,$AP$3:$BT$47,22))*($F15*$AN$2-VLOOKUP($F15*$AN$2,$AP$3:$BT$47,1))/(VLOOKUP($F15*$AN$2,$AN$4:$BT$48,3)-VLOOKUP($F15*$AN$2,$AP$3:$BT$47,1)))))-(IF($F21*$AN$2&gt;$AP$47,VLOOKUP($F21*$AN$2,$AP$3:$BT$47,22),VLOOKUP($F21*$AN$2,$AP$3:$BT$47,22)+((VLOOKUP($F21*$AN$2,$AN$4:$BT$48,24)-VLOOKUP($F21*$AN$2,$AP$3:$BT$47,22))*($F21*$AN$2-VLOOKUP($F21*$AN$2,$AP$3:$BT$47,1))/(VLOOKUP($F21*$AN$2,$AN$4:$BT$48,3)-VLOOKUP($F21*$AN$2,$AP$3:$BT$47,1))))),0)</f>
        <v>0</v>
      </c>
      <c r="AB20" s="51">
        <f>IF($G15&gt;$G21,(IF($G15*$AN$2&gt;$AP$47,VLOOKUP($G15*$AN$2,$AP$3:$BT$47,23),VLOOKUP($G15*$AN$2,$AP$3:$BT$47,23)+((VLOOKUP($G15*$AN$2,$AN$4:$BT$48,25)-VLOOKUP($G15*$AN$2,$AP$3:$BT$47,23))*($G15*$AN$2-VLOOKUP($G15*$AN$2,$AP$3:$BT$47,1))/(VLOOKUP($G15*$AN$2,$AN$4:$BT$48,3)-VLOOKUP($G15*$AN$2,$AP$3:$BT$47,1)))))-(IF($G21*$AN$2&gt;$AP$47,VLOOKUP($G21*$AN$2,$AP$3:$BT$47,23),VLOOKUP($G21*$AN$2,$AP$3:$BT$47,23)+((VLOOKUP($G21*$AN$2,$AN$4:$BT$48,25)-VLOOKUP($G21*$AN$2,$AP$3:$BT$47,23))*($G21*$AN$2-VLOOKUP($G21*$AN$2,$AP$3:$BT$47,1))/(VLOOKUP($G21*$AN$2,$AN$4:$BT$48,3)-VLOOKUP($G21*$AN$2,$AP$3:$BT$47,1))))),0)</f>
        <v>0</v>
      </c>
      <c r="AC20" s="80">
        <v>0</v>
      </c>
      <c r="AD20" s="50">
        <f>IF($D15&gt;$D21,(IF($D15*$AN$2&gt;$AP$47,VLOOKUP($D15*$AN$2,$AP$3:$BT$47,24),VLOOKUP($D15*$AN$2,$AP$3:$BT$47,24)+((VLOOKUP($D15*$AN$2,$AN$4:$BT$48,26)-VLOOKUP($D15*$AN$2,$AP$3:$BT$47,24))*($D15*$AN$2-VLOOKUP($D15*$AN$2,$AP$3:$BT$47,1))/(VLOOKUP($D15*$AN$2,$AN$4:$BT$48,3)-VLOOKUP($D15*$AN$2,$AP$3:$BT$47,1)))))-(IF($D21*$AN$2&gt;$AP$47,VLOOKUP($D21*$AN$2,$AP$3:$BT$47,24),VLOOKUP($D21*$AN$2,$AP$3:$BT$47,24)+((VLOOKUP($D21*$AN$2,$AN$4:$BT$48,26)-VLOOKUP($D21*$AN$2,$AP$3:$BT$47,24))*($D21*$AN$2-VLOOKUP($D21*$AN$2,$AP$3:$BT$47,1))/(VLOOKUP($D21*$AN$2,$AN$4:$BT$48,3)-VLOOKUP($D21*$AN$2,$AP$3:$BT$47,1))))),0)</f>
        <v>0</v>
      </c>
      <c r="AE20" s="50">
        <f>IF($E15&gt;$E21,(IF($E15*$AN$2&gt;$AP$47,VLOOKUP($E15*$AN$2,$AP$3:$BT$47,25),VLOOKUP($E15*$AN$2,$AP$3:$BT$47,25)+((VLOOKUP($E15*$AN$2,$AN$4:$BT$48,27)-VLOOKUP($E15*$AN$2,$AP$3:$BT$47,25))*($E15*$AN$2-VLOOKUP($E15*$AN$2,$AP$3:$BT$47,1))/(VLOOKUP($E15*$AN$2,$AN$4:$BT$48,3)-VLOOKUP($E15*$AN$2,$AP$3:$BT$47,1)))))-(IF($E21*$AN$2&gt;$AP$47,VLOOKUP($E21*$AN$2,$AP$3:$BT$47,25),VLOOKUP($E21*$AN$2,$AP$3:$BT$47,25)+((VLOOKUP($E21*$AN$2,$AN$4:$BT$48,27)-VLOOKUP($E21*$AN$2,$AP$3:$BT$47,25))*($E21*$AN$2-VLOOKUP($E21*$AN$2,$AP$3:$BT$47,1))/(VLOOKUP($E21*$AN$2,$AN$4:$BT$48,3)-VLOOKUP($E21*$AN$2,$AP$3:$BT$47,1))))),0)</f>
        <v>0</v>
      </c>
      <c r="AF20" s="50">
        <f>IF($F15&gt;$F21,(IF($F15*$AN$2&gt;$AP$47,VLOOKUP($F15*$AN$2,$AP$3:$BT$47,26),VLOOKUP($F15*$AN$2,$AP$3:$BT$47,26)+((VLOOKUP($F15*$AN$2,$AN$4:$BT$48,28)-VLOOKUP($F15*$AN$2,$AP$3:$BT$47,26))*($F15*$AN$2-VLOOKUP($F15*$AN$2,$AP$3:$BT$47,1))/(VLOOKUP($F15*$AN$2,$AN$4:$BT$48,3)-VLOOKUP($F15*$AN$2,$AP$3:$BT$47,1)))))-(IF($F21*$AN$2&gt;$AP$47,VLOOKUP($F21*$AN$2,$AP$3:$BT$47,26),VLOOKUP($F21*$AN$2,$AP$3:$BT$47,26)+((VLOOKUP($F21*$AN$2,$AN$4:$BT$48,28)-VLOOKUP($F21*$AN$2,$AP$3:$BT$47,26))*($F21*$AN$2-VLOOKUP($F21*$AN$2,$AP$3:$BT$47,1))/(VLOOKUP($F21*$AN$2,$AN$4:$BT$48,3)-VLOOKUP($F21*$AN$2,$AP$3:$BT$47,1))))),0)</f>
        <v>0</v>
      </c>
      <c r="AG20" s="51">
        <f>IF($G15&gt;$G21,(IF($G15*$AN$2&gt;$AP$47,VLOOKUP($G15*$AN$2,$AP$3:$BT$47,27),VLOOKUP($G15*$AN$2,$AP$3:$BT$47,27)+((VLOOKUP($G15*$AN$2,$AN$4:$BT$48,29)-VLOOKUP($G15*$AN$2,$AP$3:$BT$47,27))*($G15*$AN$2-VLOOKUP($G15*$AN$2,$AP$3:$BT$47,1))/(VLOOKUP($G15*$AN$2,$AN$4:$BT$48,3)-VLOOKUP($G15*$AN$2,$AP$3:$BT$47,1)))))-(IF($G21*$AN$2&gt;$AP$47,VLOOKUP($G21*$AN$2,$AP$3:$BT$47,27),VLOOKUP($G21*$AN$2,$AP$3:$BT$47,27)+((VLOOKUP($G21*$AN$2,$AN$4:$BT$48,29)-VLOOKUP($G21*$AN$2,$AP$3:$BT$47,27))*($G21*$AN$2-VLOOKUP($G21*$AN$2,$AP$3:$BT$47,1))/(VLOOKUP($G21*$AN$2,$AN$4:$BT$48,3)-VLOOKUP($G21*$AN$2,$AP$3:$BT$47,1))))),0)</f>
        <v>0</v>
      </c>
      <c r="AH20" s="59">
        <v>0</v>
      </c>
      <c r="AI20" s="50">
        <f>IF($D15&gt;$D21,(IF($D15*$AN$2&gt;$AP$47,VLOOKUP($D15*$AN$2,$AP$3:$BT$47,28),VLOOKUP($D15*$AN$2,$AP$3:$BT$47,28)+((VLOOKUP($D15*$AN$2,$AN$4:$BT$48,30)-VLOOKUP($D15*$AN$2,$AP$3:$BT$47,28))*($D15*$AN$2-VLOOKUP($D15*$AN$2,$AP$3:$BT$47,1))/(VLOOKUP($D15*$AN$2,$AN$4:$BT$48,3)-VLOOKUP($D15*$AN$2,$AP$3:$BT$47,1)))))-(IF($D21*$AN$2&gt;$AP$47,VLOOKUP($D21*$AN$2,$AP$3:$BT$47,28),VLOOKUP($D21*$AN$2,$AP$3:$BT$47,28)+((VLOOKUP($D21*$AN$2,$AN$4:$BT$48,30)-VLOOKUP($D21*$AN$2,$AP$3:$BT$47,28))*($D21*$AN$2-VLOOKUP($D21*$AN$2,$AP$3:$BT$47,1))/(VLOOKUP($D21*$AN$2,$AN$4:$BT$48,3)-VLOOKUP($D21*$AN$2,$AP$3:$BT$47,1))))),0)</f>
        <v>0</v>
      </c>
      <c r="AJ20" s="50">
        <f>IF($E15&gt;$E21,(IF($E15*$AN$2&gt;$AP$47,VLOOKUP($E15*$AN$2,$AP$3:$BT$47,29),VLOOKUP($E15*$AN$2,$AP$3:$BT$47,29)+((VLOOKUP($E15*$AN$2,$AN$4:$BT$48,31)-VLOOKUP($E15*$AN$2,$AP$3:$BT$47,29))*($E15*$AN$2-VLOOKUP($E15*$AN$2,$AP$3:$BT$47,1))/(VLOOKUP($E15*$AN$2,$AN$4:$BT$48,3)-VLOOKUP($E15*$AN$2,$AP$3:$BT$47,1)))))-(IF($E21*$AN$2&gt;$AP$47,VLOOKUP($E21*$AN$2,$AP$3:$BT$47,29),VLOOKUP($E21*$AN$2,$AP$3:$BT$47,29)+((VLOOKUP($E21*$AN$2,$AN$4:$BT$48,31)-VLOOKUP($E21*$AN$2,$AP$3:$BT$47,29))*($E21*$AN$2-VLOOKUP($E21*$AN$2,$AP$3:$BT$47,1))/(VLOOKUP($E21*$AN$2,$AN$4:$BT$48,3)-VLOOKUP($E21*$AN$2,$AP$3:$BT$47,1))))),0)</f>
        <v>0</v>
      </c>
      <c r="AK20" s="50">
        <f>IF($F15&gt;$F21,(IF($F15*$AN$2&gt;$AP$47,VLOOKUP($F15*$AN$2,$AP$3:$BT$47,30),VLOOKUP($F15*$AN$2,$AP$3:$BT$47,30)+((VLOOKUP($F15*$AN$2,$AN$4:$BT$48,32)-VLOOKUP($F15*$AN$2,$AP$3:$BT$47,30))*($F15*$AN$2-VLOOKUP($F15*$AN$2,$AP$3:$BT$47,1))/(VLOOKUP($F15*$AN$2,$AN$4:$BT$48,3)-VLOOKUP($F15*$AN$2,$AP$3:$BT$47,1)))))-(IF($F21*$AN$2&gt;$AP$47,VLOOKUP($F21*$AN$2,$AP$3:$BT$47,30),VLOOKUP($F21*$AN$2,$AP$3:$BT$47,30)+((VLOOKUP($F21*$AN$2,$AN$4:$BT$48,32)-VLOOKUP($F21*$AN$2,$AP$3:$BT$47,30))*($F21*$AN$2-VLOOKUP($F21*$AN$2,$AP$3:$BT$47,1))/(VLOOKUP($F21*$AN$2,$AN$4:$BT$48,3)-VLOOKUP($F21*$AN$2,$AP$3:$BT$47,1))))),0)</f>
        <v>0</v>
      </c>
      <c r="AL20" s="51">
        <f>IF($G15&gt;$G21,(IF($G15*$AN$2&gt;$AP$47,VLOOKUP($G15*$AN$2,$AP$3:$BT$47,31),VLOOKUP($G15*$AN$2,$AP$3:$BT$47,31)+((VLOOKUP($G15*$AN$2,$AN$4:$BT$48,33)-VLOOKUP($G15*$AN$2,$AP$3:$BT$47,31))*($G15*$AN$2-VLOOKUP($G15*$AN$2,$AP$3:$BT$47,1))/(VLOOKUP($G15*$AN$2,$AN$4:$BT$48,3)-VLOOKUP($G15*$AN$2,$AP$3:$BT$47,1)))))-(IF($G21*$AN$2&gt;$AP$47,VLOOKUP($G21*$AN$2,$AP$3:$BT$47,31),VLOOKUP($G21*$AN$2,$AP$3:$BT$47,31)+((VLOOKUP($G21*$AN$2,$AN$4:$BT$48,33)-VLOOKUP($G21*$AN$2,$AP$3:$BT$47,31))*($G21*$AN$2-VLOOKUP($G21*$AN$2,$AP$3:$BT$47,1))/(VLOOKUP($G21*$AN$2,$AN$4:$BT$48,3)-VLOOKUP($G21*$AN$2,$AP$3:$BT$47,1))))),0)</f>
        <v>0</v>
      </c>
      <c r="AN20" s="23">
        <v>480</v>
      </c>
      <c r="AO20" s="25">
        <f t="shared" si="0"/>
        <v>155.440414507772</v>
      </c>
      <c r="AP20" s="23">
        <v>510</v>
      </c>
      <c r="AQ20" s="31">
        <v>1</v>
      </c>
      <c r="AR20" s="31">
        <v>1</v>
      </c>
      <c r="AS20" s="24">
        <v>0.9679284987609604</v>
      </c>
      <c r="AT20" s="24">
        <v>0.9285649973740366</v>
      </c>
      <c r="AU20" s="26">
        <v>0.8498379946001884</v>
      </c>
      <c r="AV20" s="92"/>
      <c r="AW20" s="31"/>
      <c r="AX20" s="31"/>
      <c r="AY20" s="31"/>
      <c r="AZ20" s="93"/>
      <c r="BA20" s="101">
        <v>0.21415810000000002</v>
      </c>
      <c r="BB20" s="102">
        <v>0.8139648</v>
      </c>
      <c r="BC20" s="102">
        <v>0.8366087999999998</v>
      </c>
      <c r="BD20" s="103">
        <v>1.0519543999999998</v>
      </c>
      <c r="BE20" s="102">
        <v>0.21962019999999996</v>
      </c>
      <c r="BF20" s="102">
        <v>0.8576615999999998</v>
      </c>
      <c r="BG20" s="102">
        <v>0.8907095999999999</v>
      </c>
      <c r="BH20" s="103">
        <v>1.0790048</v>
      </c>
      <c r="BI20" s="53">
        <v>0.23267631428760907</v>
      </c>
      <c r="BJ20" s="53">
        <v>0.9909524153651404</v>
      </c>
      <c r="BK20" s="53">
        <v>1.0612255903046253</v>
      </c>
      <c r="BL20" s="54">
        <v>1.1439406883921952</v>
      </c>
      <c r="BM20" s="53">
        <v>0.2823095398497013</v>
      </c>
      <c r="BN20" s="53">
        <v>1.1690838638783914</v>
      </c>
      <c r="BO20" s="53">
        <v>1.2486092901736228</v>
      </c>
      <c r="BP20" s="54">
        <v>1.3622352484999583</v>
      </c>
      <c r="BQ20" s="52">
        <v>0.36822227539985</v>
      </c>
      <c r="BR20" s="53">
        <v>1.4826971116951158</v>
      </c>
      <c r="BS20" s="53">
        <v>1.5805098369012558</v>
      </c>
      <c r="BT20" s="54">
        <v>1.7392690070206585</v>
      </c>
      <c r="BU20" s="99"/>
      <c r="BV20" s="99"/>
      <c r="BW20" s="99"/>
      <c r="BX20" s="99"/>
      <c r="BY20" s="99"/>
      <c r="BZ20" s="99"/>
      <c r="CA20" s="78"/>
      <c r="CB20" s="78"/>
      <c r="CC20" s="78"/>
      <c r="CD20" s="78"/>
      <c r="CE20" s="78"/>
      <c r="CF20" s="78"/>
      <c r="CG20" s="78"/>
      <c r="CH20" s="78"/>
      <c r="CI20" s="78"/>
      <c r="CJ20" s="78"/>
      <c r="CK20" s="78"/>
      <c r="CL20" s="78"/>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78"/>
      <c r="EB20" s="78"/>
      <c r="EC20" s="78"/>
    </row>
    <row r="21" spans="1:133" ht="12.75">
      <c r="A21" s="72"/>
      <c r="B21" s="4"/>
      <c r="C21" s="48">
        <v>0</v>
      </c>
      <c r="D21" s="48">
        <f>MAX(C15)</f>
        <v>0</v>
      </c>
      <c r="E21" s="48">
        <f>MAX(C15:D15)</f>
        <v>0</v>
      </c>
      <c r="F21" s="48">
        <f>MAX(C15:E15)</f>
        <v>0</v>
      </c>
      <c r="G21" s="48">
        <f>MAX(C15:F15)</f>
        <v>0</v>
      </c>
      <c r="H21" s="4"/>
      <c r="I21" s="4"/>
      <c r="J21" s="4"/>
      <c r="K21" s="4"/>
      <c r="L21" s="46"/>
      <c r="M21" s="4"/>
      <c r="N21" s="80">
        <v>0</v>
      </c>
      <c r="O21" s="50">
        <f>IF($D16&gt;$D22,(IF($D16*$AN$2&gt;$AP$47,VLOOKUP($D16*$AN$2,$AP$3:$BT$47,12),VLOOKUP($D16*$AN$2,$AP$3:$BT$47,12)+((VLOOKUP($D16*$AN$2,$AN$4:$BT$48,14)-VLOOKUP($D16*$AN$2,$AP$3:$BT$47,12))*($D16*$AN$2-VLOOKUP($D16*$AN$2,$AP$3:$BT$47,1))/(VLOOKUP($D16*$AN$2,$AN$4:$BT$48,3)-VLOOKUP($D16*$AN$2,$AP$3:$BT$47,1)))))-(IF($D22*$AN$2&gt;$AP$47,VLOOKUP($D22*$AN$2,$AP$3:$BT$47,12),VLOOKUP($D22*$AN$2,$AP$3:$BT$47,12)+((VLOOKUP($D22*$AN$2,$AN$4:$BT$48,14)-VLOOKUP($D22*$AN$2,$AP$3:$BT$47,12))*($D22*$AN$2-VLOOKUP($D22*$AN$2,$AP$3:$BT$47,1))/(VLOOKUP($D22*$AN$2,$AN$4:$BT$48,3)-VLOOKUP($D22*$AN$2,$AP$3:$BT$47,1))))),0)</f>
        <v>0</v>
      </c>
      <c r="P21" s="50">
        <f>IF($E16&gt;$E22,(IF($E16*$AN$2&gt;$AP$47,VLOOKUP($E16*$AN$2,$AP$3:$BT$47,13),VLOOKUP($E16*$AN$2,$AP$3:$BT$47,13)+((VLOOKUP($E16*$AN$2,$AN$4:$BT$48,15)-VLOOKUP($E16*$AN$2,$AP$3:$BT$47,13))*($E16*$AN$2-VLOOKUP($E16*$AN$2,$AP$3:$BT$47,1))/(VLOOKUP($E16*$AN$2,$AN$4:$BT$48,3)-VLOOKUP($E16*$AN$2,$AP$3:$BT$47,1)))))-(IF($E22*$AN$2&gt;$AP$47,VLOOKUP($E22*$AN$2,$AP$3:$BT$47,13),VLOOKUP($E22*$AN$2,$AP$3:$BT$47,13)+((VLOOKUP($E22*$AN$2,$AN$4:$BT$48,15)-VLOOKUP($E22*$AN$2,$AP$3:$BT$47,13))*($E22*$AN$2-VLOOKUP($E22*$AN$2,$AP$3:$BT$47,1))/(VLOOKUP($E22*$AN$2,$AN$4:$BT$48,3)-VLOOKUP($E22*$AN$2,$AP$3:$BT$47,1))))),0)</f>
        <v>0</v>
      </c>
      <c r="Q21" s="50">
        <f>IF($F16&gt;$F22,(IF($F16*$AN$2&gt;$AP$47,VLOOKUP($F16*$AN$2,$AP$3:$BT$47,14),VLOOKUP($F16*$AN$2,$AP$3:$BT$47,14)+((VLOOKUP($F16*$AN$2,$AN$4:$BT$48,16)-VLOOKUP($F16*$AN$2,$AP$3:$BT$47,14))*($F16*$AN$2-VLOOKUP($F16*$AN$2,$AP$3:$BT$47,1))/(VLOOKUP($F16*$AN$2,$AN$4:$BT$48,3)-VLOOKUP($F16*$AN$2,$AP$3:$BT$47,1)))))-(IF($F22*$AN$2&gt;$AP$47,VLOOKUP($F22*$AN$2,$AP$3:$BT$47,14),VLOOKUP($F22*$AN$2,$AP$3:$BT$47,14)+((VLOOKUP($F22*$AN$2,$AN$4:$BT$48,16)-VLOOKUP($F22*$AN$2,$AP$3:$BT$47,14))*($F22*$AN$2-VLOOKUP($F22*$AN$2,$AP$3:$BT$47,1))/(VLOOKUP($F22*$AN$2,$AN$4:$BT$48,3)-VLOOKUP($F22*$AN$2,$AP$3:$BT$47,1))))),0)</f>
        <v>0</v>
      </c>
      <c r="R21" s="51">
        <f>IF($G16&gt;$G22,(IF($G16*$AN$2&gt;$AP$47,VLOOKUP($G16*$AN$2,$AP$3:$BT$47,15),VLOOKUP($G16*$AN$2,$AP$3:$BT$47,15)+((VLOOKUP($G16*$AN$2,$AN$4:$BT$48,17)-VLOOKUP($G16*$AN$2,$AP$3:$BT$47,15))*($G16*$AN$2-VLOOKUP($G16*$AN$2,$AP$3:$BT$47,1))/(VLOOKUP($G16*$AN$2,$AN$4:$BT$48,3)-VLOOKUP($G16*$AN$2,$AP$3:$BT$47,1)))))-(IF($G22*$AN$2&gt;$AP$47,VLOOKUP($G22*$AN$2,$AP$3:$BT$47,15),VLOOKUP($G22*$AN$2,$AP$3:$BT$47,15)+((VLOOKUP($G22*$AN$2,$AN$4:$BT$48,17)-VLOOKUP($G22*$AN$2,$AP$3:$BT$47,15))*($G22*$AN$2-VLOOKUP($G22*$AN$2,$AP$3:$BT$47,1))/(VLOOKUP($G22*$AN$2,$AN$4:$BT$48,3)-VLOOKUP($G22*$AN$2,$AP$3:$BT$47,1))))),0)</f>
        <v>0</v>
      </c>
      <c r="S21" s="59">
        <v>0</v>
      </c>
      <c r="T21" s="50">
        <f>IF($D16&gt;$D22,(IF($D16*$AN$2&gt;$AP$47,VLOOKUP($D16*$AN$2,$AP$3:$BT$47,16),VLOOKUP($D16*$AN$2,$AP$3:$BT$47,16)+((VLOOKUP($D16*$AN$2,$AN$4:$BT$48,18)-VLOOKUP($D16*$AN$2,$AP$3:$BT$47,16))*($D16*$AN$2-VLOOKUP($D16*$AN$2,$AP$3:$BT$47,1))/(VLOOKUP($D16*$AN$2,$AN$4:$BT$48,3)-VLOOKUP($D16*$AN$2,$AP$3:$BT$47,1)))))-(IF($D22*$AN$2&gt;$AP$47,VLOOKUP($D22*$AN$2,$AP$3:$BT$47,16),VLOOKUP($D22*$AN$2,$AP$3:$BT$47,16)+((VLOOKUP($D22*$AN$2,$AN$4:$BT$48,18)-VLOOKUP($D22*$AN$2,$AP$3:$BT$47,16))*($D22*$AN$2-VLOOKUP($D22*$AN$2,$AP$3:$BT$47,1))/(VLOOKUP($D22*$AN$2,$AN$4:$BT$48,3)-VLOOKUP($D22*$AN$2,$AP$3:$BT$47,1))))),0)</f>
        <v>0</v>
      </c>
      <c r="U21" s="50">
        <f>IF($E16&gt;$E22,(IF($E16*$AN$2&gt;$AP$47,VLOOKUP($E16*$AN$2,$AP$3:$BT$47,17),VLOOKUP($E16*$AN$2,$AP$3:$BT$47,17)+((VLOOKUP($E16*$AN$2,$AN$4:$BT$48,19)-VLOOKUP($E16*$AN$2,$AP$3:$BT$47,17))*($E16*$AN$2-VLOOKUP($E16*$AN$2,$AP$3:$BT$47,1))/(VLOOKUP($E16*$AN$2,$AN$4:$BT$48,3)-VLOOKUP($E16*$AN$2,$AP$3:$BT$47,1)))))-(IF($E22*$AN$2&gt;$AP$47,VLOOKUP($E22*$AN$2,$AP$3:$BT$47,17),VLOOKUP($E22*$AN$2,$AP$3:$BT$47,17)+((VLOOKUP($E22*$AN$2,$AN$4:$BT$48,19)-VLOOKUP($E22*$AN$2,$AP$3:$BT$47,17))*($E22*$AN$2-VLOOKUP($E22*$AN$2,$AP$3:$BT$47,1))/(VLOOKUP($E22*$AN$2,$AN$4:$BT$48,3)-VLOOKUP($E22*$AN$2,$AP$3:$BT$47,1))))),0)</f>
        <v>0</v>
      </c>
      <c r="V21" s="50">
        <f>IF($F16&gt;$F22,(IF($F16*$AN$2&gt;$AP$47,VLOOKUP($F16*$AN$2,$AP$3:$BT$47,18),VLOOKUP($F16*$AN$2,$AP$3:$BT$47,18)+((VLOOKUP($F16*$AN$2,$AN$4:$BT$48,20)-VLOOKUP($F16*$AN$2,$AP$3:$BT$47,18))*($F16*$AN$2-VLOOKUP($F16*$AN$2,$AP$3:$BT$47,1))/(VLOOKUP($F16*$AN$2,$AN$4:$BT$48,3)-VLOOKUP($F16*$AN$2,$AP$3:$BT$47,1)))))-(IF($F22*$AN$2&gt;$AP$47,VLOOKUP($F22*$AN$2,$AP$3:$BT$47,18),VLOOKUP($F22*$AN$2,$AP$3:$BT$47,18)+((VLOOKUP($F22*$AN$2,$AN$4:$BT$48,20)-VLOOKUP($F22*$AN$2,$AP$3:$BT$47,18))*($F22*$AN$2-VLOOKUP($F22*$AN$2,$AP$3:$BT$47,1))/(VLOOKUP($F22*$AN$2,$AN$4:$BT$48,3)-VLOOKUP($F22*$AN$2,$AP$3:$BT$47,1))))),0)</f>
        <v>0</v>
      </c>
      <c r="W21" s="51">
        <f>IF($G16&gt;$G22,(IF($G16*$AN$2&gt;$AP$47,VLOOKUP($G16*$AN$2,$AP$3:$BT$47,19),VLOOKUP($G16*$AN$2,$AP$3:$BT$47,19)+((VLOOKUP($G16*$AN$2,$AN$4:$BT$48,21)-VLOOKUP($G16*$AN$2,$AP$3:$BT$47,19))*($G16*$AN$2-VLOOKUP($G16*$AN$2,$AP$3:$BT$47,1))/(VLOOKUP($G16*$AN$2,$AN$4:$BT$48,3)-VLOOKUP($G16*$AN$2,$AP$3:$BT$47,1)))))-(IF($G22*$AN$2&gt;$AP$47,VLOOKUP($G22*$AN$2,$AP$3:$BT$47,19),VLOOKUP($G22*$AN$2,$AP$3:$BT$47,19)+((VLOOKUP($G22*$AN$2,$AN$4:$BT$48,21)-VLOOKUP($G22*$AN$2,$AP$3:$BT$47,19))*($G22*$AN$2-VLOOKUP($G22*$AN$2,$AP$3:$BT$47,1))/(VLOOKUP($G22*$AN$2,$AN$4:$BT$48,3)-VLOOKUP($G22*$AN$2,$AP$3:$BT$47,1))))),0)</f>
        <v>0</v>
      </c>
      <c r="X21" s="80">
        <v>0</v>
      </c>
      <c r="Y21" s="50">
        <f>IF($D16&gt;$D22,(IF($D16*$AN$2&gt;$AP$47,VLOOKUP($D16*$AN$2,$AP$3:$BT$47,20),VLOOKUP($D16*$AN$2,$AP$3:$BT$47,20)+((VLOOKUP($D16*$AN$2,$AN$4:$BT$48,22)-VLOOKUP($D16*$AN$2,$AP$3:$BT$47,20))*($D16*$AN$2-VLOOKUP($D16*$AN$2,$AP$3:$BT$47,1))/(VLOOKUP($D16*$AN$2,$AN$4:$BT$48,3)-VLOOKUP($D16*$AN$2,$AP$3:$BT$47,1)))))-(IF($D22*$AN$2&gt;$AP$47,VLOOKUP($D22*$AN$2,$AP$3:$BT$47,20),VLOOKUP($D22*$AN$2,$AP$3:$BT$47,20)+((VLOOKUP($D22*$AN$2,$AN$4:$BT$48,22)-VLOOKUP($D22*$AN$2,$AP$3:$BT$47,20))*($D22*$AN$2-VLOOKUP($D22*$AN$2,$AP$3:$BT$47,1))/(VLOOKUP($D22*$AN$2,$AN$4:$BT$48,3)-VLOOKUP($D22*$AN$2,$AP$3:$BT$47,1))))),0)</f>
        <v>0</v>
      </c>
      <c r="Z21" s="50">
        <f>IF($E16&gt;$E22,(IF($E16*$AN$2&gt;$AP$47,VLOOKUP($E16*$AN$2,$AP$3:$BT$47,21),VLOOKUP($E16*$AN$2,$AP$3:$BT$47,21)+((VLOOKUP($E16*$AN$2,$AN$4:$BT$48,23)-VLOOKUP($E16*$AN$2,$AP$3:$BT$47,21))*($E16*$AN$2-VLOOKUP($E16*$AN$2,$AP$3:$BT$47,1))/(VLOOKUP($E16*$AN$2,$AN$4:$BT$48,3)-VLOOKUP($E16*$AN$2,$AP$3:$BT$47,1)))))-(IF($E22*$AN$2&gt;$AP$47,VLOOKUP($E22*$AN$2,$AP$3:$BT$47,21),VLOOKUP($E22*$AN$2,$AP$3:$BT$47,21)+((VLOOKUP($E22*$AN$2,$AN$4:$BT$48,23)-VLOOKUP($E22*$AN$2,$AP$3:$BT$47,21))*($E22*$AN$2-VLOOKUP($E22*$AN$2,$AP$3:$BT$47,1))/(VLOOKUP($E22*$AN$2,$AN$4:$BT$48,3)-VLOOKUP($E22*$AN$2,$AP$3:$BT$47,1))))),0)</f>
        <v>0</v>
      </c>
      <c r="AA21" s="50">
        <f>IF($F16&gt;$F22,(IF($F16*$AN$2&gt;$AP$47,VLOOKUP($F16*$AN$2,$AP$3:$BT$47,22),VLOOKUP($F16*$AN$2,$AP$3:$BT$47,22)+((VLOOKUP($F16*$AN$2,$AN$4:$BT$48,24)-VLOOKUP($F16*$AN$2,$AP$3:$BT$47,22))*($F16*$AN$2-VLOOKUP($F16*$AN$2,$AP$3:$BT$47,1))/(VLOOKUP($F16*$AN$2,$AN$4:$BT$48,3)-VLOOKUP($F16*$AN$2,$AP$3:$BT$47,1)))))-(IF($F22*$AN$2&gt;$AP$47,VLOOKUP($F22*$AN$2,$AP$3:$BT$47,22),VLOOKUP($F22*$AN$2,$AP$3:$BT$47,22)+((VLOOKUP($F22*$AN$2,$AN$4:$BT$48,24)-VLOOKUP($F22*$AN$2,$AP$3:$BT$47,22))*($F22*$AN$2-VLOOKUP($F22*$AN$2,$AP$3:$BT$47,1))/(VLOOKUP($F22*$AN$2,$AN$4:$BT$48,3)-VLOOKUP($F22*$AN$2,$AP$3:$BT$47,1))))),0)</f>
        <v>0</v>
      </c>
      <c r="AB21" s="51">
        <f>IF($G16&gt;$G22,(IF($G16*$AN$2&gt;$AP$47,VLOOKUP($G16*$AN$2,$AP$3:$BT$47,23),VLOOKUP($G16*$AN$2,$AP$3:$BT$47,23)+((VLOOKUP($G16*$AN$2,$AN$4:$BT$48,25)-VLOOKUP($G16*$AN$2,$AP$3:$BT$47,23))*($G16*$AN$2-VLOOKUP($G16*$AN$2,$AP$3:$BT$47,1))/(VLOOKUP($G16*$AN$2,$AN$4:$BT$48,3)-VLOOKUP($G16*$AN$2,$AP$3:$BT$47,1)))))-(IF($G22*$AN$2&gt;$AP$47,VLOOKUP($G22*$AN$2,$AP$3:$BT$47,23),VLOOKUP($G22*$AN$2,$AP$3:$BT$47,23)+((VLOOKUP($G22*$AN$2,$AN$4:$BT$48,25)-VLOOKUP($G22*$AN$2,$AP$3:$BT$47,23))*($G22*$AN$2-VLOOKUP($G22*$AN$2,$AP$3:$BT$47,1))/(VLOOKUP($G22*$AN$2,$AN$4:$BT$48,3)-VLOOKUP($G22*$AN$2,$AP$3:$BT$47,1))))),0)</f>
        <v>0</v>
      </c>
      <c r="AC21" s="80">
        <v>0</v>
      </c>
      <c r="AD21" s="50">
        <f>IF($D16&gt;$D22,(IF($D16*$AN$2&gt;$AP$47,VLOOKUP($D16*$AN$2,$AP$3:$BT$47,24),VLOOKUP($D16*$AN$2,$AP$3:$BT$47,24)+((VLOOKUP($D16*$AN$2,$AN$4:$BT$48,26)-VLOOKUP($D16*$AN$2,$AP$3:$BT$47,24))*($D16*$AN$2-VLOOKUP($D16*$AN$2,$AP$3:$BT$47,1))/(VLOOKUP($D16*$AN$2,$AN$4:$BT$48,3)-VLOOKUP($D16*$AN$2,$AP$3:$BT$47,1)))))-(IF($D22*$AN$2&gt;$AP$47,VLOOKUP($D22*$AN$2,$AP$3:$BT$47,24),VLOOKUP($D22*$AN$2,$AP$3:$BT$47,24)+((VLOOKUP($D22*$AN$2,$AN$4:$BT$48,26)-VLOOKUP($D22*$AN$2,$AP$3:$BT$47,24))*($D22*$AN$2-VLOOKUP($D22*$AN$2,$AP$3:$BT$47,1))/(VLOOKUP($D22*$AN$2,$AN$4:$BT$48,3)-VLOOKUP($D22*$AN$2,$AP$3:$BT$47,1))))),0)</f>
        <v>0</v>
      </c>
      <c r="AE21" s="50">
        <f>IF($E16&gt;$E22,(IF($E16*$AN$2&gt;$AP$47,VLOOKUP($E16*$AN$2,$AP$3:$BT$47,25),VLOOKUP($E16*$AN$2,$AP$3:$BT$47,25)+((VLOOKUP($E16*$AN$2,$AN$4:$BT$48,27)-VLOOKUP($E16*$AN$2,$AP$3:$BT$47,25))*($E16*$AN$2-VLOOKUP($E16*$AN$2,$AP$3:$BT$47,1))/(VLOOKUP($E16*$AN$2,$AN$4:$BT$48,3)-VLOOKUP($E16*$AN$2,$AP$3:$BT$47,1)))))-(IF($E22*$AN$2&gt;$AP$47,VLOOKUP($E22*$AN$2,$AP$3:$BT$47,25),VLOOKUP($E22*$AN$2,$AP$3:$BT$47,25)+((VLOOKUP($E22*$AN$2,$AN$4:$BT$48,27)-VLOOKUP($E22*$AN$2,$AP$3:$BT$47,25))*($E22*$AN$2-VLOOKUP($E22*$AN$2,$AP$3:$BT$47,1))/(VLOOKUP($E22*$AN$2,$AN$4:$BT$48,3)-VLOOKUP($E22*$AN$2,$AP$3:$BT$47,1))))),0)</f>
        <v>0</v>
      </c>
      <c r="AF21" s="50">
        <f>IF($F16&gt;$F22,(IF($F16*$AN$2&gt;$AP$47,VLOOKUP($F16*$AN$2,$AP$3:$BT$47,26),VLOOKUP($F16*$AN$2,$AP$3:$BT$47,26)+((VLOOKUP($F16*$AN$2,$AN$4:$BT$48,28)-VLOOKUP($F16*$AN$2,$AP$3:$BT$47,26))*($F16*$AN$2-VLOOKUP($F16*$AN$2,$AP$3:$BT$47,1))/(VLOOKUP($F16*$AN$2,$AN$4:$BT$48,3)-VLOOKUP($F16*$AN$2,$AP$3:$BT$47,1)))))-(IF($F22*$AN$2&gt;$AP$47,VLOOKUP($F22*$AN$2,$AP$3:$BT$47,26),VLOOKUP($F22*$AN$2,$AP$3:$BT$47,26)+((VLOOKUP($F22*$AN$2,$AN$4:$BT$48,28)-VLOOKUP($F22*$AN$2,$AP$3:$BT$47,26))*($F22*$AN$2-VLOOKUP($F22*$AN$2,$AP$3:$BT$47,1))/(VLOOKUP($F22*$AN$2,$AN$4:$BT$48,3)-VLOOKUP($F22*$AN$2,$AP$3:$BT$47,1))))),0)</f>
        <v>0</v>
      </c>
      <c r="AG21" s="51">
        <f>IF($G16&gt;$G22,(IF($G16*$AN$2&gt;$AP$47,VLOOKUP($G16*$AN$2,$AP$3:$BT$47,27),VLOOKUP($G16*$AN$2,$AP$3:$BT$47,27)+((VLOOKUP($G16*$AN$2,$AN$4:$BT$48,29)-VLOOKUP($G16*$AN$2,$AP$3:$BT$47,27))*($G16*$AN$2-VLOOKUP($G16*$AN$2,$AP$3:$BT$47,1))/(VLOOKUP($G16*$AN$2,$AN$4:$BT$48,3)-VLOOKUP($G16*$AN$2,$AP$3:$BT$47,1)))))-(IF($G22*$AN$2&gt;$AP$47,VLOOKUP($G22*$AN$2,$AP$3:$BT$47,27),VLOOKUP($G22*$AN$2,$AP$3:$BT$47,27)+((VLOOKUP($G22*$AN$2,$AN$4:$BT$48,29)-VLOOKUP($G22*$AN$2,$AP$3:$BT$47,27))*($G22*$AN$2-VLOOKUP($G22*$AN$2,$AP$3:$BT$47,1))/(VLOOKUP($G22*$AN$2,$AN$4:$BT$48,3)-VLOOKUP($G22*$AN$2,$AP$3:$BT$47,1))))),0)</f>
        <v>0</v>
      </c>
      <c r="AH21" s="59">
        <v>0</v>
      </c>
      <c r="AI21" s="50">
        <f>IF($D16&gt;$D22,(IF($D16*$AN$2&gt;$AP$47,VLOOKUP($D16*$AN$2,$AP$3:$BT$47,28),VLOOKUP($D16*$AN$2,$AP$3:$BT$47,28)+((VLOOKUP($D16*$AN$2,$AN$4:$BT$48,30)-VLOOKUP($D16*$AN$2,$AP$3:$BT$47,28))*($D16*$AN$2-VLOOKUP($D16*$AN$2,$AP$3:$BT$47,1))/(VLOOKUP($D16*$AN$2,$AN$4:$BT$48,3)-VLOOKUP($D16*$AN$2,$AP$3:$BT$47,1)))))-(IF($D22*$AN$2&gt;$AP$47,VLOOKUP($D22*$AN$2,$AP$3:$BT$47,28),VLOOKUP($D22*$AN$2,$AP$3:$BT$47,28)+((VLOOKUP($D22*$AN$2,$AN$4:$BT$48,30)-VLOOKUP($D22*$AN$2,$AP$3:$BT$47,28))*($D22*$AN$2-VLOOKUP($D22*$AN$2,$AP$3:$BT$47,1))/(VLOOKUP($D22*$AN$2,$AN$4:$BT$48,3)-VLOOKUP($D22*$AN$2,$AP$3:$BT$47,1))))),0)</f>
        <v>0</v>
      </c>
      <c r="AJ21" s="50">
        <f>IF($E16&gt;$E22,(IF($E16*$AN$2&gt;$AP$47,VLOOKUP($E16*$AN$2,$AP$3:$BT$47,29),VLOOKUP($E16*$AN$2,$AP$3:$BT$47,29)+((VLOOKUP($E16*$AN$2,$AN$4:$BT$48,31)-VLOOKUP($E16*$AN$2,$AP$3:$BT$47,29))*($E16*$AN$2-VLOOKUP($E16*$AN$2,$AP$3:$BT$47,1))/(VLOOKUP($E16*$AN$2,$AN$4:$BT$48,3)-VLOOKUP($E16*$AN$2,$AP$3:$BT$47,1)))))-(IF($E22*$AN$2&gt;$AP$47,VLOOKUP($E22*$AN$2,$AP$3:$BT$47,29),VLOOKUP($E22*$AN$2,$AP$3:$BT$47,29)+((VLOOKUP($E22*$AN$2,$AN$4:$BT$48,31)-VLOOKUP($E22*$AN$2,$AP$3:$BT$47,29))*($E22*$AN$2-VLOOKUP($E22*$AN$2,$AP$3:$BT$47,1))/(VLOOKUP($E22*$AN$2,$AN$4:$BT$48,3)-VLOOKUP($E22*$AN$2,$AP$3:$BT$47,1))))),0)</f>
        <v>0</v>
      </c>
      <c r="AK21" s="50">
        <f>IF($F16&gt;$F22,(IF($F16*$AN$2&gt;$AP$47,VLOOKUP($F16*$AN$2,$AP$3:$BT$47,30),VLOOKUP($F16*$AN$2,$AP$3:$BT$47,30)+((VLOOKUP($F16*$AN$2,$AN$4:$BT$48,32)-VLOOKUP($F16*$AN$2,$AP$3:$BT$47,30))*($F16*$AN$2-VLOOKUP($F16*$AN$2,$AP$3:$BT$47,1))/(VLOOKUP($F16*$AN$2,$AN$4:$BT$48,3)-VLOOKUP($F16*$AN$2,$AP$3:$BT$47,1)))))-(IF($F22*$AN$2&gt;$AP$47,VLOOKUP($F22*$AN$2,$AP$3:$BT$47,30),VLOOKUP($F22*$AN$2,$AP$3:$BT$47,30)+((VLOOKUP($F22*$AN$2,$AN$4:$BT$48,32)-VLOOKUP($F22*$AN$2,$AP$3:$BT$47,30))*($F22*$AN$2-VLOOKUP($F22*$AN$2,$AP$3:$BT$47,1))/(VLOOKUP($F22*$AN$2,$AN$4:$BT$48,3)-VLOOKUP($F22*$AN$2,$AP$3:$BT$47,1))))),0)</f>
        <v>0</v>
      </c>
      <c r="AL21" s="51">
        <f>IF($G16&gt;$G22,(IF($G16*$AN$2&gt;$AP$47,VLOOKUP($G16*$AN$2,$AP$3:$BT$47,31),VLOOKUP($G16*$AN$2,$AP$3:$BT$47,31)+((VLOOKUP($G16*$AN$2,$AN$4:$BT$48,33)-VLOOKUP($G16*$AN$2,$AP$3:$BT$47,31))*($G16*$AN$2-VLOOKUP($G16*$AN$2,$AP$3:$BT$47,1))/(VLOOKUP($G16*$AN$2,$AN$4:$BT$48,3)-VLOOKUP($G16*$AN$2,$AP$3:$BT$47,1)))))-(IF($G22*$AN$2&gt;$AP$47,VLOOKUP($G22*$AN$2,$AP$3:$BT$47,31),VLOOKUP($G22*$AN$2,$AP$3:$BT$47,31)+((VLOOKUP($G22*$AN$2,$AN$4:$BT$48,33)-VLOOKUP($G22*$AN$2,$AP$3:$BT$47,31))*($G22*$AN$2-VLOOKUP($G22*$AN$2,$AP$3:$BT$47,1))/(VLOOKUP($G22*$AN$2,$AN$4:$BT$48,3)-VLOOKUP($G22*$AN$2,$AP$3:$BT$47,1))))),0)</f>
        <v>0</v>
      </c>
      <c r="AN21" s="23">
        <v>510</v>
      </c>
      <c r="AO21" s="25">
        <f t="shared" si="0"/>
        <v>164.58396830234685</v>
      </c>
      <c r="AP21" s="23">
        <v>540</v>
      </c>
      <c r="AQ21" s="31">
        <v>1</v>
      </c>
      <c r="AR21" s="31">
        <v>1</v>
      </c>
      <c r="AS21" s="24">
        <v>0.9741375918226365</v>
      </c>
      <c r="AT21" s="24">
        <v>0.9406020255715584</v>
      </c>
      <c r="AU21" s="26">
        <v>0.8735308930694013</v>
      </c>
      <c r="AV21" s="92"/>
      <c r="AW21" s="31"/>
      <c r="AX21" s="31"/>
      <c r="AY21" s="31"/>
      <c r="AZ21" s="93"/>
      <c r="BA21" s="101">
        <v>0.21415810000000002</v>
      </c>
      <c r="BB21" s="102">
        <v>0.8139648</v>
      </c>
      <c r="BC21" s="102">
        <v>0.8366087999999998</v>
      </c>
      <c r="BD21" s="103">
        <v>1.0519543999999998</v>
      </c>
      <c r="BE21" s="102">
        <v>0.21962019999999996</v>
      </c>
      <c r="BF21" s="102">
        <v>0.8576615999999998</v>
      </c>
      <c r="BG21" s="102">
        <v>0.8907095999999999</v>
      </c>
      <c r="BH21" s="103">
        <v>1.0790048</v>
      </c>
      <c r="BI21" s="53">
        <v>0.2346402504230172</v>
      </c>
      <c r="BJ21" s="53">
        <v>1.0010800670580402</v>
      </c>
      <c r="BK21" s="53">
        <v>1.0727018570105211</v>
      </c>
      <c r="BL21" s="54">
        <v>1.153613213563674</v>
      </c>
      <c r="BM21" s="53">
        <v>0.2868017587730164</v>
      </c>
      <c r="BN21" s="53">
        <v>1.1908997737835798</v>
      </c>
      <c r="BO21" s="53">
        <v>1.2730420500089523</v>
      </c>
      <c r="BP21" s="54">
        <v>1.3840174547261936</v>
      </c>
      <c r="BQ21" s="52">
        <v>0.37976308624420363</v>
      </c>
      <c r="BR21" s="53">
        <v>1.534233904445348</v>
      </c>
      <c r="BS21" s="53">
        <v>1.6372022043583885</v>
      </c>
      <c r="BT21" s="54">
        <v>1.794073050469795</v>
      </c>
      <c r="BU21" s="99"/>
      <c r="BV21" s="99"/>
      <c r="BW21" s="99"/>
      <c r="BX21" s="99"/>
      <c r="BY21" s="99"/>
      <c r="BZ21" s="99"/>
      <c r="CA21" s="78"/>
      <c r="CB21" s="78"/>
      <c r="CC21" s="78"/>
      <c r="CD21" s="78"/>
      <c r="CE21" s="78"/>
      <c r="CF21" s="78"/>
      <c r="CG21" s="78"/>
      <c r="CH21" s="78"/>
      <c r="CI21" s="78"/>
      <c r="CJ21" s="78"/>
      <c r="CK21" s="78"/>
      <c r="CL21" s="78"/>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78"/>
      <c r="EB21" s="78"/>
      <c r="EC21" s="78"/>
    </row>
    <row r="22" spans="1:133" ht="12.75">
      <c r="A22" s="11"/>
      <c r="B22" s="4"/>
      <c r="C22" s="48">
        <v>0</v>
      </c>
      <c r="D22" s="48">
        <f>MAX(C15:C16,D15:G15)</f>
        <v>0</v>
      </c>
      <c r="E22" s="48">
        <f>MAX(C15:D16,E15:G15)</f>
        <v>0</v>
      </c>
      <c r="F22" s="48">
        <f>MAX(C15:E16,F15:G15)</f>
        <v>0</v>
      </c>
      <c r="G22" s="48">
        <f>MAX(C15:F16)</f>
        <v>0</v>
      </c>
      <c r="H22" s="4"/>
      <c r="I22" s="4"/>
      <c r="J22" s="4"/>
      <c r="K22" s="4"/>
      <c r="L22" s="46"/>
      <c r="M22" s="4"/>
      <c r="N22" s="80">
        <v>0</v>
      </c>
      <c r="O22" s="50">
        <f>IF($D17&gt;$D23,(IF($D17*$AN$2&gt;$AP$47,VLOOKUP($D17*$AN$2,$AP$3:$BT$47,12),VLOOKUP($D17*$AN$2,$AP$3:$BT$47,12)+((VLOOKUP($D17*$AN$2,$AN$4:$BT$48,14)-VLOOKUP($D17*$AN$2,$AP$3:$BT$47,12))*($D17*$AN$2-VLOOKUP($D17*$AN$2,$AP$3:$BT$47,1))/(VLOOKUP($D17*$AN$2,$AN$4:$BT$48,3)-VLOOKUP($D17*$AN$2,$AP$3:$BT$47,1)))))-(IF($D23*$AN$2&gt;$AP$47,VLOOKUP($D23*$AN$2,$AP$3:$BT$47,12),VLOOKUP($D23*$AN$2,$AP$3:$BT$47,12)+((VLOOKUP($D23*$AN$2,$AN$4:$BT$48,14)-VLOOKUP($D23*$AN$2,$AP$3:$BT$47,12))*($D23*$AN$2-VLOOKUP($D23*$AN$2,$AP$3:$BT$47,1))/(VLOOKUP($D23*$AN$2,$AN$4:$BT$48,3)-VLOOKUP($D23*$AN$2,$AP$3:$BT$47,1))))),0)</f>
        <v>0</v>
      </c>
      <c r="P22" s="50">
        <f>IF($E17&gt;$E23,(IF($E17*$AN$2&gt;$AP$47,VLOOKUP($E17*$AN$2,$AP$3:$BT$47,13),VLOOKUP($E17*$AN$2,$AP$3:$BT$47,13)+((VLOOKUP($E17*$AN$2,$AN$4:$BT$48,15)-VLOOKUP($E17*$AN$2,$AP$3:$BT$47,13))*($E17*$AN$2-VLOOKUP($E17*$AN$2,$AP$3:$BT$47,1))/(VLOOKUP($E17*$AN$2,$AN$4:$BT$48,3)-VLOOKUP($E17*$AN$2,$AP$3:$BT$47,1)))))-(IF($E23*$AN$2&gt;$AP$47,VLOOKUP($E23*$AN$2,$AP$3:$BT$47,13),VLOOKUP($E23*$AN$2,$AP$3:$BT$47,13)+((VLOOKUP($E23*$AN$2,$AN$4:$BT$48,15)-VLOOKUP($E23*$AN$2,$AP$3:$BT$47,13))*($E23*$AN$2-VLOOKUP($E23*$AN$2,$AP$3:$BT$47,1))/(VLOOKUP($E23*$AN$2,$AN$4:$BT$48,3)-VLOOKUP($E23*$AN$2,$AP$3:$BT$47,1))))),0)</f>
        <v>0.7955106187500001</v>
      </c>
      <c r="Q22" s="50">
        <f>IF($F17&gt;$F23,(IF($F17*$AN$2&gt;$AP$47,VLOOKUP($F17*$AN$2,$AP$3:$BT$47,14),VLOOKUP($F17*$AN$2,$AP$3:$BT$47,14)+((VLOOKUP($F17*$AN$2,$AN$4:$BT$48,16)-VLOOKUP($F17*$AN$2,$AP$3:$BT$47,14))*($F17*$AN$2-VLOOKUP($F17*$AN$2,$AP$3:$BT$47,1))/(VLOOKUP($F17*$AN$2,$AN$4:$BT$48,3)-VLOOKUP($F17*$AN$2,$AP$3:$BT$47,1)))))-(IF($F23*$AN$2&gt;$AP$47,VLOOKUP($F23*$AN$2,$AP$3:$BT$47,14),VLOOKUP($F23*$AN$2,$AP$3:$BT$47,14)+((VLOOKUP($F23*$AN$2,$AN$4:$BT$48,16)-VLOOKUP($F23*$AN$2,$AP$3:$BT$47,14))*($F23*$AN$2-VLOOKUP($F23*$AN$2,$AP$3:$BT$47,1))/(VLOOKUP($F23*$AN$2,$AN$4:$BT$48,3)-VLOOKUP($F23*$AN$2,$AP$3:$BT$47,1))))),0)</f>
        <v>0.020282816249999835</v>
      </c>
      <c r="R22" s="51">
        <f>IF($G17&gt;$G23,(IF($G17*$AN$2&gt;$AP$47,VLOOKUP($G17*$AN$2,$AP$3:$BT$47,15),VLOOKUP($G17*$AN$2,$AP$3:$BT$47,15)+((VLOOKUP($G17*$AN$2,$AN$4:$BT$48,17)-VLOOKUP($G17*$AN$2,$AP$3:$BT$47,15))*($G17*$AN$2-VLOOKUP($G17*$AN$2,$AP$3:$BT$47,1))/(VLOOKUP($G17*$AN$2,$AN$4:$BT$48,3)-VLOOKUP($G17*$AN$2,$AP$3:$BT$47,1)))))-(IF($G23*$AN$2&gt;$AP$47,VLOOKUP($G23*$AN$2,$AP$3:$BT$47,15),VLOOKUP($G23*$AN$2,$AP$3:$BT$47,15)+((VLOOKUP($G23*$AN$2,$AN$4:$BT$48,17)-VLOOKUP($G23*$AN$2,$AP$3:$BT$47,15))*($G23*$AN$2-VLOOKUP($G23*$AN$2,$AP$3:$BT$47,1))/(VLOOKUP($G23*$AN$2,$AN$4:$BT$48,3)-VLOOKUP($G23*$AN$2,$AP$3:$BT$47,1))))),0)</f>
        <v>0</v>
      </c>
      <c r="S22" s="59">
        <v>0</v>
      </c>
      <c r="T22" s="50">
        <f>IF($D17&gt;$D23,(IF($D17*$AN$2&gt;$AP$47,VLOOKUP($D17*$AN$2,$AP$3:$BT$47,16),VLOOKUP($D17*$AN$2,$AP$3:$BT$47,16)+((VLOOKUP($D17*$AN$2,$AN$4:$BT$48,18)-VLOOKUP($D17*$AN$2,$AP$3:$BT$47,16))*($D17*$AN$2-VLOOKUP($D17*$AN$2,$AP$3:$BT$47,1))/(VLOOKUP($D17*$AN$2,$AN$4:$BT$48,3)-VLOOKUP($D17*$AN$2,$AP$3:$BT$47,1)))))-(IF($D23*$AN$2&gt;$AP$47,VLOOKUP($D23*$AN$2,$AP$3:$BT$47,16),VLOOKUP($D23*$AN$2,$AP$3:$BT$47,16)+((VLOOKUP($D23*$AN$2,$AN$4:$BT$48,18)-VLOOKUP($D23*$AN$2,$AP$3:$BT$47,16))*($D23*$AN$2-VLOOKUP($D23*$AN$2,$AP$3:$BT$47,1))/(VLOOKUP($D23*$AN$2,$AN$4:$BT$48,3)-VLOOKUP($D23*$AN$2,$AP$3:$BT$47,1))))),0)</f>
        <v>0</v>
      </c>
      <c r="U22" s="50">
        <f>IF($E17&gt;$E23,(IF($E17*$AN$2&gt;$AP$47,VLOOKUP($E17*$AN$2,$AP$3:$BT$47,17),VLOOKUP($E17*$AN$2,$AP$3:$BT$47,17)+((VLOOKUP($E17*$AN$2,$AN$4:$BT$48,19)-VLOOKUP($E17*$AN$2,$AP$3:$BT$47,17))*($E17*$AN$2-VLOOKUP($E17*$AN$2,$AP$3:$BT$47,1))/(VLOOKUP($E17*$AN$2,$AN$4:$BT$48,3)-VLOOKUP($E17*$AN$2,$AP$3:$BT$47,1)))))-(IF($E23*$AN$2&gt;$AP$47,VLOOKUP($E23*$AN$2,$AP$3:$BT$47,17),VLOOKUP($E23*$AN$2,$AP$3:$BT$47,17)+((VLOOKUP($E23*$AN$2,$AN$4:$BT$48,19)-VLOOKUP($E23*$AN$2,$AP$3:$BT$47,17))*($E23*$AN$2-VLOOKUP($E23*$AN$2,$AP$3:$BT$47,1))/(VLOOKUP($E23*$AN$2,$AN$4:$BT$48,3)-VLOOKUP($E23*$AN$2,$AP$3:$BT$47,1))))),0)</f>
        <v>0.8165569687499998</v>
      </c>
      <c r="V22" s="50">
        <f>IF($F17&gt;$F23,(IF($F17*$AN$2&gt;$AP$47,VLOOKUP($F17*$AN$2,$AP$3:$BT$47,18),VLOOKUP($F17*$AN$2,$AP$3:$BT$47,18)+((VLOOKUP($F17*$AN$2,$AN$4:$BT$48,20)-VLOOKUP($F17*$AN$2,$AP$3:$BT$47,18))*($F17*$AN$2-VLOOKUP($F17*$AN$2,$AP$3:$BT$47,1))/(VLOOKUP($F17*$AN$2,$AN$4:$BT$48,3)-VLOOKUP($F17*$AN$2,$AP$3:$BT$47,1)))))-(IF($F23*$AN$2&gt;$AP$47,VLOOKUP($F23*$AN$2,$AP$3:$BT$47,18),VLOOKUP($F23*$AN$2,$AP$3:$BT$47,18)+((VLOOKUP($F23*$AN$2,$AN$4:$BT$48,20)-VLOOKUP($F23*$AN$2,$AP$3:$BT$47,18))*($F23*$AN$2-VLOOKUP($F23*$AN$2,$AP$3:$BT$47,1))/(VLOOKUP($F23*$AN$2,$AN$4:$BT$48,3)-VLOOKUP($F23*$AN$2,$AP$3:$BT$47,1))))),0)</f>
        <v>0.045180362249999995</v>
      </c>
      <c r="W22" s="51">
        <f>IF($G17&gt;$G23,(IF($G17*$AN$2&gt;$AP$47,VLOOKUP($G17*$AN$2,$AP$3:$BT$47,19),VLOOKUP($G17*$AN$2,$AP$3:$BT$47,19)+((VLOOKUP($G17*$AN$2,$AN$4:$BT$48,21)-VLOOKUP($G17*$AN$2,$AP$3:$BT$47,19))*($G17*$AN$2-VLOOKUP($G17*$AN$2,$AP$3:$BT$47,1))/(VLOOKUP($G17*$AN$2,$AN$4:$BT$48,3)-VLOOKUP($G17*$AN$2,$AP$3:$BT$47,1)))))-(IF($G23*$AN$2&gt;$AP$47,VLOOKUP($G23*$AN$2,$AP$3:$BT$47,19),VLOOKUP($G23*$AN$2,$AP$3:$BT$47,19)+((VLOOKUP($G23*$AN$2,$AN$4:$BT$48,21)-VLOOKUP($G23*$AN$2,$AP$3:$BT$47,19))*($G23*$AN$2-VLOOKUP($G23*$AN$2,$AP$3:$BT$47,1))/(VLOOKUP($G23*$AN$2,$AN$4:$BT$48,3)-VLOOKUP($G23*$AN$2,$AP$3:$BT$47,1))))),0)</f>
        <v>0</v>
      </c>
      <c r="X22" s="80">
        <v>0</v>
      </c>
      <c r="Y22" s="50">
        <f>IF($D17&gt;$D23,(IF($D17*$AN$2&gt;$AP$47,VLOOKUP($D17*$AN$2,$AP$3:$BT$47,20),VLOOKUP($D17*$AN$2,$AP$3:$BT$47,20)+((VLOOKUP($D17*$AN$2,$AN$4:$BT$48,22)-VLOOKUP($D17*$AN$2,$AP$3:$BT$47,20))*($D17*$AN$2-VLOOKUP($D17*$AN$2,$AP$3:$BT$47,1))/(VLOOKUP($D17*$AN$2,$AN$4:$BT$48,3)-VLOOKUP($D17*$AN$2,$AP$3:$BT$47,1)))))-(IF($D23*$AN$2&gt;$AP$47,VLOOKUP($D23*$AN$2,$AP$3:$BT$47,20),VLOOKUP($D23*$AN$2,$AP$3:$BT$47,20)+((VLOOKUP($D23*$AN$2,$AN$4:$BT$48,22)-VLOOKUP($D23*$AN$2,$AP$3:$BT$47,20))*($D23*$AN$2-VLOOKUP($D23*$AN$2,$AP$3:$BT$47,1))/(VLOOKUP($D23*$AN$2,$AN$4:$BT$48,3)-VLOOKUP($D23*$AN$2,$AP$3:$BT$47,1))))),0)</f>
        <v>0</v>
      </c>
      <c r="Z22" s="50">
        <f>IF($E17&gt;$E23,(IF($E17*$AN$2&gt;$AP$47,VLOOKUP($E17*$AN$2,$AP$3:$BT$47,21),VLOOKUP($E17*$AN$2,$AP$3:$BT$47,21)+((VLOOKUP($E17*$AN$2,$AN$4:$BT$48,23)-VLOOKUP($E17*$AN$2,$AP$3:$BT$47,21))*($E17*$AN$2-VLOOKUP($E17*$AN$2,$AP$3:$BT$47,1))/(VLOOKUP($E17*$AN$2,$AN$4:$BT$48,3)-VLOOKUP($E17*$AN$2,$AP$3:$BT$47,1)))))-(IF($E23*$AN$2&gt;$AP$47,VLOOKUP($E23*$AN$2,$AP$3:$BT$47,21),VLOOKUP($E23*$AN$2,$AP$3:$BT$47,21)+((VLOOKUP($E23*$AN$2,$AN$4:$BT$48,23)-VLOOKUP($E23*$AN$2,$AP$3:$BT$47,21))*($E23*$AN$2-VLOOKUP($E23*$AN$2,$AP$3:$BT$47,1))/(VLOOKUP($E23*$AN$2,$AN$4:$BT$48,3)-VLOOKUP($E23*$AN$2,$AP$3:$BT$47,1))))),0)</f>
        <v>0.7692526894856887</v>
      </c>
      <c r="AA22" s="50">
        <f>IF($F17&gt;$F23,(IF($F17*$AN$2&gt;$AP$47,VLOOKUP($F17*$AN$2,$AP$3:$BT$47,22),VLOOKUP($F17*$AN$2,$AP$3:$BT$47,22)+((VLOOKUP($F17*$AN$2,$AN$4:$BT$48,24)-VLOOKUP($F17*$AN$2,$AP$3:$BT$47,22))*($F17*$AN$2-VLOOKUP($F17*$AN$2,$AP$3:$BT$47,1))/(VLOOKUP($F17*$AN$2,$AN$4:$BT$48,3)-VLOOKUP($F17*$AN$2,$AP$3:$BT$47,1)))))-(IF($F23*$AN$2&gt;$AP$47,VLOOKUP($F23*$AN$2,$AP$3:$BT$47,22),VLOOKUP($F23*$AN$2,$AP$3:$BT$47,22)+((VLOOKUP($F23*$AN$2,$AN$4:$BT$48,24)-VLOOKUP($F23*$AN$2,$AP$3:$BT$47,22))*($F23*$AN$2-VLOOKUP($F23*$AN$2,$AP$3:$BT$47,1))/(VLOOKUP($F23*$AN$2,$AN$4:$BT$48,3)-VLOOKUP($F23*$AN$2,$AP$3:$BT$47,1))))),0)</f>
        <v>0.15416171224098774</v>
      </c>
      <c r="AB22" s="51">
        <f>IF($G17&gt;$G23,(IF($G17*$AN$2&gt;$AP$47,VLOOKUP($G17*$AN$2,$AP$3:$BT$47,23),VLOOKUP($G17*$AN$2,$AP$3:$BT$47,23)+((VLOOKUP($G17*$AN$2,$AN$4:$BT$48,25)-VLOOKUP($G17*$AN$2,$AP$3:$BT$47,23))*($G17*$AN$2-VLOOKUP($G17*$AN$2,$AP$3:$BT$47,1))/(VLOOKUP($G17*$AN$2,$AN$4:$BT$48,3)-VLOOKUP($G17*$AN$2,$AP$3:$BT$47,1)))))-(IF($G23*$AN$2&gt;$AP$47,VLOOKUP($G23*$AN$2,$AP$3:$BT$47,23),VLOOKUP($G23*$AN$2,$AP$3:$BT$47,23)+((VLOOKUP($G23*$AN$2,$AN$4:$BT$48,25)-VLOOKUP($G23*$AN$2,$AP$3:$BT$47,23))*($G23*$AN$2-VLOOKUP($G23*$AN$2,$AP$3:$BT$47,1))/(VLOOKUP($G23*$AN$2,$AN$4:$BT$48,3)-VLOOKUP($G23*$AN$2,$AP$3:$BT$47,1))))),0)</f>
        <v>0</v>
      </c>
      <c r="AC22" s="80">
        <v>0</v>
      </c>
      <c r="AD22" s="50">
        <f>IF($D17&gt;$D23,(IF($D17*$AN$2&gt;$AP$47,VLOOKUP($D17*$AN$2,$AP$3:$BT$47,24),VLOOKUP($D17*$AN$2,$AP$3:$BT$47,24)+((VLOOKUP($D17*$AN$2,$AN$4:$BT$48,26)-VLOOKUP($D17*$AN$2,$AP$3:$BT$47,24))*($D17*$AN$2-VLOOKUP($D17*$AN$2,$AP$3:$BT$47,1))/(VLOOKUP($D17*$AN$2,$AN$4:$BT$48,3)-VLOOKUP($D17*$AN$2,$AP$3:$BT$47,1)))))-(IF($D23*$AN$2&gt;$AP$47,VLOOKUP($D23*$AN$2,$AP$3:$BT$47,24),VLOOKUP($D23*$AN$2,$AP$3:$BT$47,24)+((VLOOKUP($D23*$AN$2,$AN$4:$BT$48,26)-VLOOKUP($D23*$AN$2,$AP$3:$BT$47,24))*($D23*$AN$2-VLOOKUP($D23*$AN$2,$AP$3:$BT$47,1))/(VLOOKUP($D23*$AN$2,$AN$4:$BT$48,3)-VLOOKUP($D23*$AN$2,$AP$3:$BT$47,1))))),0)</f>
        <v>0</v>
      </c>
      <c r="AE22" s="50">
        <f>IF($E17&gt;$E23,(IF($E17*$AN$2&gt;$AP$47,VLOOKUP($E17*$AN$2,$AP$3:$BT$47,25),VLOOKUP($E17*$AN$2,$AP$3:$BT$47,25)+((VLOOKUP($E17*$AN$2,$AN$4:$BT$48,27)-VLOOKUP($E17*$AN$2,$AP$3:$BT$47,25))*($E17*$AN$2-VLOOKUP($E17*$AN$2,$AP$3:$BT$47,1))/(VLOOKUP($E17*$AN$2,$AN$4:$BT$48,3)-VLOOKUP($E17*$AN$2,$AP$3:$BT$47,1)))))-(IF($E23*$AN$2&gt;$AP$47,VLOOKUP($E23*$AN$2,$AP$3:$BT$47,25),VLOOKUP($E23*$AN$2,$AP$3:$BT$47,25)+((VLOOKUP($E23*$AN$2,$AN$4:$BT$48,27)-VLOOKUP($E23*$AN$2,$AP$3:$BT$47,25))*($E23*$AN$2-VLOOKUP($E23*$AN$2,$AP$3:$BT$47,1))/(VLOOKUP($E23*$AN$2,$AN$4:$BT$48,3)-VLOOKUP($E23*$AN$2,$AP$3:$BT$47,1))))),0)</f>
        <v>0.7801305103533606</v>
      </c>
      <c r="AF22" s="50">
        <f>IF($F17&gt;$F23,(IF($F17*$AN$2&gt;$AP$47,VLOOKUP($F17*$AN$2,$AP$3:$BT$47,26),VLOOKUP($F17*$AN$2,$AP$3:$BT$47,26)+((VLOOKUP($F17*$AN$2,$AN$4:$BT$48,28)-VLOOKUP($F17*$AN$2,$AP$3:$BT$47,26))*($F17*$AN$2-VLOOKUP($F17*$AN$2,$AP$3:$BT$47,1))/(VLOOKUP($F17*$AN$2,$AN$4:$BT$48,3)-VLOOKUP($F17*$AN$2,$AP$3:$BT$47,1)))))-(IF($F23*$AN$2&gt;$AP$47,VLOOKUP($F23*$AN$2,$AP$3:$BT$47,26),VLOOKUP($F23*$AN$2,$AP$3:$BT$47,26)+((VLOOKUP($F23*$AN$2,$AN$4:$BT$48,28)-VLOOKUP($F23*$AN$2,$AP$3:$BT$47,26))*($F23*$AN$2-VLOOKUP($F23*$AN$2,$AP$3:$BT$47,1))/(VLOOKUP($F23*$AN$2,$AN$4:$BT$48,3)-VLOOKUP($F23*$AN$2,$AP$3:$BT$47,1))))),0)</f>
        <v>0.2665608062788889</v>
      </c>
      <c r="AG22" s="51">
        <f>IF($G17&gt;$G23,(IF($G17*$AN$2&gt;$AP$47,VLOOKUP($G17*$AN$2,$AP$3:$BT$47,27),VLOOKUP($G17*$AN$2,$AP$3:$BT$47,27)+((VLOOKUP($G17*$AN$2,$AN$4:$BT$48,29)-VLOOKUP($G17*$AN$2,$AP$3:$BT$47,27))*($G17*$AN$2-VLOOKUP($G17*$AN$2,$AP$3:$BT$47,1))/(VLOOKUP($G17*$AN$2,$AN$4:$BT$48,3)-VLOOKUP($G17*$AN$2,$AP$3:$BT$47,1)))))-(IF($G23*$AN$2&gt;$AP$47,VLOOKUP($G23*$AN$2,$AP$3:$BT$47,27),VLOOKUP($G23*$AN$2,$AP$3:$BT$47,27)+((VLOOKUP($G23*$AN$2,$AN$4:$BT$48,29)-VLOOKUP($G23*$AN$2,$AP$3:$BT$47,27))*($G23*$AN$2-VLOOKUP($G23*$AN$2,$AP$3:$BT$47,1))/(VLOOKUP($G23*$AN$2,$AN$4:$BT$48,3)-VLOOKUP($G23*$AN$2,$AP$3:$BT$47,1))))),0)</f>
        <v>0</v>
      </c>
      <c r="AH22" s="59">
        <v>0</v>
      </c>
      <c r="AI22" s="50">
        <f>IF($D17&gt;$D23,(IF($D17*$AN$2&gt;$AP$47,VLOOKUP($D17*$AN$2,$AP$3:$BT$47,28),VLOOKUP($D17*$AN$2,$AP$3:$BT$47,28)+((VLOOKUP($D17*$AN$2,$AN$4:$BT$48,30)-VLOOKUP($D17*$AN$2,$AP$3:$BT$47,28))*($D17*$AN$2-VLOOKUP($D17*$AN$2,$AP$3:$BT$47,1))/(VLOOKUP($D17*$AN$2,$AN$4:$BT$48,3)-VLOOKUP($D17*$AN$2,$AP$3:$BT$47,1)))))-(IF($D23*$AN$2&gt;$AP$47,VLOOKUP($D23*$AN$2,$AP$3:$BT$47,28),VLOOKUP($D23*$AN$2,$AP$3:$BT$47,28)+((VLOOKUP($D23*$AN$2,$AN$4:$BT$48,30)-VLOOKUP($D23*$AN$2,$AP$3:$BT$47,28))*($D23*$AN$2-VLOOKUP($D23*$AN$2,$AP$3:$BT$47,1))/(VLOOKUP($D23*$AN$2,$AN$4:$BT$48,3)-VLOOKUP($D23*$AN$2,$AP$3:$BT$47,1))))),0)</f>
        <v>0</v>
      </c>
      <c r="AJ22" s="50">
        <f>IF($E17&gt;$E23,(IF($E17*$AN$2&gt;$AP$47,VLOOKUP($E17*$AN$2,$AP$3:$BT$47,29),VLOOKUP($E17*$AN$2,$AP$3:$BT$47,29)+((VLOOKUP($E17*$AN$2,$AN$4:$BT$48,31)-VLOOKUP($E17*$AN$2,$AP$3:$BT$47,29))*($E17*$AN$2-VLOOKUP($E17*$AN$2,$AP$3:$BT$47,1))/(VLOOKUP($E17*$AN$2,$AN$4:$BT$48,3)-VLOOKUP($E17*$AN$2,$AP$3:$BT$47,1)))))-(IF($E23*$AN$2&gt;$AP$47,VLOOKUP($E23*$AN$2,$AP$3:$BT$47,29),VLOOKUP($E23*$AN$2,$AP$3:$BT$47,29)+((VLOOKUP($E23*$AN$2,$AN$4:$BT$48,31)-VLOOKUP($E23*$AN$2,$AP$3:$BT$47,29))*($E23*$AN$2-VLOOKUP($E23*$AN$2,$AP$3:$BT$47,1))/(VLOOKUP($E23*$AN$2,$AN$4:$BT$48,3)-VLOOKUP($E23*$AN$2,$AP$3:$BT$47,1))))),0)</f>
        <v>0.6611254667605561</v>
      </c>
      <c r="AK22" s="50">
        <f>IF($F17&gt;$F23,(IF($F17*$AN$2&gt;$AP$47,VLOOKUP($F17*$AN$2,$AP$3:$BT$47,30),VLOOKUP($F17*$AN$2,$AP$3:$BT$47,30)+((VLOOKUP($F17*$AN$2,$AN$4:$BT$48,32)-VLOOKUP($F17*$AN$2,$AP$3:$BT$47,30))*($F17*$AN$2-VLOOKUP($F17*$AN$2,$AP$3:$BT$47,1))/(VLOOKUP($F17*$AN$2,$AN$4:$BT$48,3)-VLOOKUP($F17*$AN$2,$AP$3:$BT$47,1)))))-(IF($F23*$AN$2&gt;$AP$47,VLOOKUP($F23*$AN$2,$AP$3:$BT$47,30),VLOOKUP($F23*$AN$2,$AP$3:$BT$47,30)+((VLOOKUP($F23*$AN$2,$AN$4:$BT$48,32)-VLOOKUP($F23*$AN$2,$AP$3:$BT$47,30))*($F23*$AN$2-VLOOKUP($F23*$AN$2,$AP$3:$BT$47,1))/(VLOOKUP($F23*$AN$2,$AN$4:$BT$48,3)-VLOOKUP($F23*$AN$2,$AP$3:$BT$47,1))))),0)</f>
        <v>0.5552779369463877</v>
      </c>
      <c r="AL22" s="51">
        <f>IF($G17&gt;$G23,(IF($G17*$AN$2&gt;$AP$47,VLOOKUP($G17*$AN$2,$AP$3:$BT$47,31),VLOOKUP($G17*$AN$2,$AP$3:$BT$47,31)+((VLOOKUP($G17*$AN$2,$AN$4:$BT$48,33)-VLOOKUP($G17*$AN$2,$AP$3:$BT$47,31))*($G17*$AN$2-VLOOKUP($G17*$AN$2,$AP$3:$BT$47,1))/(VLOOKUP($G17*$AN$2,$AN$4:$BT$48,3)-VLOOKUP($G17*$AN$2,$AP$3:$BT$47,1)))))-(IF($G23*$AN$2&gt;$AP$47,VLOOKUP($G23*$AN$2,$AP$3:$BT$47,31),VLOOKUP($G23*$AN$2,$AP$3:$BT$47,31)+((VLOOKUP($G23*$AN$2,$AN$4:$BT$48,33)-VLOOKUP($G23*$AN$2,$AP$3:$BT$47,31))*($G23*$AN$2-VLOOKUP($G23*$AN$2,$AP$3:$BT$47,1))/(VLOOKUP($G23*$AN$2,$AN$4:$BT$48,3)-VLOOKUP($G23*$AN$2,$AP$3:$BT$47,1))))),0)</f>
        <v>0</v>
      </c>
      <c r="AN22" s="23">
        <v>540</v>
      </c>
      <c r="AO22" s="25">
        <f t="shared" si="0"/>
        <v>173.72752209692166</v>
      </c>
      <c r="AP22" s="23">
        <v>570</v>
      </c>
      <c r="AQ22" s="31">
        <v>1</v>
      </c>
      <c r="AR22" s="31">
        <v>1</v>
      </c>
      <c r="AS22" s="24">
        <v>0.9802859787913412</v>
      </c>
      <c r="AT22" s="24">
        <v>0.9495034753691369</v>
      </c>
      <c r="AU22" s="26">
        <v>0.8879384685247279</v>
      </c>
      <c r="AV22" s="92"/>
      <c r="AW22" s="31"/>
      <c r="AX22" s="31"/>
      <c r="AY22" s="31"/>
      <c r="AZ22" s="93"/>
      <c r="BA22" s="101">
        <v>0.21415810000000002</v>
      </c>
      <c r="BB22" s="102">
        <v>0.8139648</v>
      </c>
      <c r="BC22" s="102">
        <v>0.8366087999999998</v>
      </c>
      <c r="BD22" s="103">
        <v>1.0519543999999998</v>
      </c>
      <c r="BE22" s="102">
        <v>0.21962019999999996</v>
      </c>
      <c r="BF22" s="102">
        <v>0.8576615999999998</v>
      </c>
      <c r="BG22" s="102">
        <v>0.8907095999999999</v>
      </c>
      <c r="BH22" s="103">
        <v>1.0790048</v>
      </c>
      <c r="BI22" s="53">
        <v>0.23662372005912133</v>
      </c>
      <c r="BJ22" s="53">
        <v>1.0114185797459172</v>
      </c>
      <c r="BK22" s="53">
        <v>1.0844495799916252</v>
      </c>
      <c r="BL22" s="54">
        <v>1.1633830004569459</v>
      </c>
      <c r="BM22" s="53">
        <v>0.29017985897119747</v>
      </c>
      <c r="BN22" s="53">
        <v>1.2074813944665093</v>
      </c>
      <c r="BO22" s="53">
        <v>1.2916656632754462</v>
      </c>
      <c r="BP22" s="54">
        <v>1.4004032435135763</v>
      </c>
      <c r="BQ22" s="52">
        <v>0.38687178397386174</v>
      </c>
      <c r="BR22" s="53">
        <v>1.5662994043787226</v>
      </c>
      <c r="BS22" s="53">
        <v>1.6725756836163062</v>
      </c>
      <c r="BT22" s="54">
        <v>1.827848729609717</v>
      </c>
      <c r="BU22" s="99"/>
      <c r="BV22" s="99"/>
      <c r="BW22" s="99"/>
      <c r="BX22" s="99"/>
      <c r="BY22" s="99"/>
      <c r="BZ22" s="99"/>
      <c r="CA22" s="78"/>
      <c r="CB22" s="78"/>
      <c r="CC22" s="78"/>
      <c r="CD22" s="78"/>
      <c r="CE22" s="78"/>
      <c r="CF22" s="78"/>
      <c r="CG22" s="78"/>
      <c r="CH22" s="78"/>
      <c r="CI22" s="78"/>
      <c r="CJ22" s="78"/>
      <c r="CK22" s="78"/>
      <c r="CL22" s="78"/>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78"/>
      <c r="EB22" s="78"/>
      <c r="EC22" s="78"/>
    </row>
    <row r="23" spans="1:133" ht="12.75">
      <c r="A23" s="72"/>
      <c r="B23" s="4"/>
      <c r="C23" s="48">
        <v>0</v>
      </c>
      <c r="D23" s="48">
        <f>MAX(C15:C17,D15:G16)</f>
        <v>0</v>
      </c>
      <c r="E23" s="48">
        <f>MAX(C15:D17,E15:G16)</f>
        <v>0</v>
      </c>
      <c r="F23" s="48">
        <f>MAX(C15:E17,F15:G16)</f>
        <v>75</v>
      </c>
      <c r="G23" s="48">
        <f>MAX(C15:F17,G15:G16)</f>
        <v>115</v>
      </c>
      <c r="H23" s="4"/>
      <c r="I23" s="4"/>
      <c r="J23" s="4"/>
      <c r="K23" s="4"/>
      <c r="L23" s="46"/>
      <c r="M23" s="4"/>
      <c r="N23" s="80">
        <v>0</v>
      </c>
      <c r="O23" s="50">
        <f>IF($D18&gt;$D24,(IF($D18*$AN$2&gt;$AP$47,VLOOKUP($D18*$AN$2,$AP$3:$BT$47,12),VLOOKUP($D18*$AN$2,$AP$3:$BT$47,12)+((VLOOKUP($D18*$AN$2,$AN$4:$BT$48,14)-VLOOKUP($D18*$AN$2,$AP$3:$BT$47,12))*($D18*$AN$2-VLOOKUP($D18*$AN$2,$AP$3:$BT$47,1))/(VLOOKUP($D18*$AN$2,$AN$4:$BT$48,3)-VLOOKUP($D18*$AN$2,$AP$3:$BT$47,1)))))-(IF($D24*$AN$2&gt;$AP$47,VLOOKUP($D24*$AN$2,$AP$3:$BT$47,12),VLOOKUP($D24*$AN$2,$AP$3:$BT$47,12)+((VLOOKUP($D24*$AN$2,$AN$4:$BT$48,14)-VLOOKUP($D24*$AN$2,$AP$3:$BT$47,12))*($D24*$AN$2-VLOOKUP($D24*$AN$2,$AP$3:$BT$47,1))/(VLOOKUP($D24*$AN$2,$AN$4:$BT$48,3)-VLOOKUP($D24*$AN$2,$AP$3:$BT$47,1))))),0)</f>
        <v>0</v>
      </c>
      <c r="P23" s="50">
        <f>IF($E18&gt;$E24,(IF($E18*$AN$2&gt;$AP$47,VLOOKUP($E18*$AN$2,$AP$3:$BT$47,13),VLOOKUP($E18*$AN$2,$AP$3:$BT$47,13)+((VLOOKUP($E18*$AN$2,$AN$4:$BT$48,15)-VLOOKUP($E18*$AN$2,$AP$3:$BT$47,13))*($E18*$AN$2-VLOOKUP($E18*$AN$2,$AP$3:$BT$47,1))/(VLOOKUP($E18*$AN$2,$AN$4:$BT$48,3)-VLOOKUP($E18*$AN$2,$AP$3:$BT$47,1)))))-(IF($E24*$AN$2&gt;$AP$47,VLOOKUP($E24*$AN$2,$AP$3:$BT$47,13),VLOOKUP($E24*$AN$2,$AP$3:$BT$47,13)+((VLOOKUP($E24*$AN$2,$AN$4:$BT$48,15)-VLOOKUP($E24*$AN$2,$AP$3:$BT$47,13))*($E24*$AN$2-VLOOKUP($E24*$AN$2,$AP$3:$BT$47,1))/(VLOOKUP($E24*$AN$2,$AN$4:$BT$48,3)-VLOOKUP($E24*$AN$2,$AP$3:$BT$47,1))))),0)</f>
        <v>0</v>
      </c>
      <c r="Q23" s="50">
        <f>IF($F18&gt;$F24,(IF($F18*$AN$2&gt;$AP$47,VLOOKUP($F18*$AN$2,$AP$3:$BT$47,14),VLOOKUP($F18*$AN$2,$AP$3:$BT$47,14)+((VLOOKUP($F18*$AN$2,$AN$4:$BT$48,16)-VLOOKUP($F18*$AN$2,$AP$3:$BT$47,14))*($F18*$AN$2-VLOOKUP($F18*$AN$2,$AP$3:$BT$47,1))/(VLOOKUP($F18*$AN$2,$AN$4:$BT$48,3)-VLOOKUP($F18*$AN$2,$AP$3:$BT$47,1)))))-(IF($F24*$AN$2&gt;$AP$47,VLOOKUP($F24*$AN$2,$AP$3:$BT$47,14),VLOOKUP($F24*$AN$2,$AP$3:$BT$47,14)+((VLOOKUP($F24*$AN$2,$AN$4:$BT$48,16)-VLOOKUP($F24*$AN$2,$AP$3:$BT$47,14))*($F24*$AN$2-VLOOKUP($F24*$AN$2,$AP$3:$BT$47,1))/(VLOOKUP($F24*$AN$2,$AN$4:$BT$48,3)-VLOOKUP($F24*$AN$2,$AP$3:$BT$47,1))))),0)</f>
        <v>0</v>
      </c>
      <c r="R23" s="51">
        <f>IF($G18&gt;$G24,(IF($G18*$AN$2&gt;$AP$47,VLOOKUP($G18*$AN$2,$AP$3:$BT$47,15),VLOOKUP($G18*$AN$2,$AP$3:$BT$47,15)+((VLOOKUP($G18*$AN$2,$AN$4:$BT$48,17)-VLOOKUP($G18*$AN$2,$AP$3:$BT$47,15))*($G18*$AN$2-VLOOKUP($G18*$AN$2,$AP$3:$BT$47,1))/(VLOOKUP($G18*$AN$2,$AN$4:$BT$48,3)-VLOOKUP($G18*$AN$2,$AP$3:$BT$47,1)))))-(IF($G24*$AN$2&gt;$AP$47,VLOOKUP($G24*$AN$2,$AP$3:$BT$47,15),VLOOKUP($G24*$AN$2,$AP$3:$BT$47,15)+((VLOOKUP($G24*$AN$2,$AN$4:$BT$48,17)-VLOOKUP($G24*$AN$2,$AP$3:$BT$47,15))*($G24*$AN$2-VLOOKUP($G24*$AN$2,$AP$3:$BT$47,1))/(VLOOKUP($G24*$AN$2,$AN$4:$BT$48,3)-VLOOKUP($G24*$AN$2,$AP$3:$BT$47,1))))),0)</f>
        <v>0</v>
      </c>
      <c r="S23" s="59">
        <v>0</v>
      </c>
      <c r="T23" s="50">
        <f>IF($D18&gt;$D24,(IF($D18*$AN$2&gt;$AP$47,VLOOKUP($D18*$AN$2,$AP$3:$BT$47,16),VLOOKUP($D18*$AN$2,$AP$3:$BT$47,16)+((VLOOKUP($D18*$AN$2,$AN$4:$BT$48,18)-VLOOKUP($D18*$AN$2,$AP$3:$BT$47,16))*($D18*$AN$2-VLOOKUP($D18*$AN$2,$AP$3:$BT$47,1))/(VLOOKUP($D18*$AN$2,$AN$4:$BT$48,3)-VLOOKUP($D18*$AN$2,$AP$3:$BT$47,1)))))-(IF($D24*$AN$2&gt;$AP$47,VLOOKUP($D24*$AN$2,$AP$3:$BT$47,16),VLOOKUP($D24*$AN$2,$AP$3:$BT$47,16)+((VLOOKUP($D24*$AN$2,$AN$4:$BT$48,18)-VLOOKUP($D24*$AN$2,$AP$3:$BT$47,16))*($D24*$AN$2-VLOOKUP($D24*$AN$2,$AP$3:$BT$47,1))/(VLOOKUP($D24*$AN$2,$AN$4:$BT$48,3)-VLOOKUP($D24*$AN$2,$AP$3:$BT$47,1))))),0)</f>
        <v>0</v>
      </c>
      <c r="U23" s="50">
        <f>IF($E18&gt;$E24,(IF($E18*$AN$2&gt;$AP$47,VLOOKUP($E18*$AN$2,$AP$3:$BT$47,17),VLOOKUP($E18*$AN$2,$AP$3:$BT$47,17)+((VLOOKUP($E18*$AN$2,$AN$4:$BT$48,19)-VLOOKUP($E18*$AN$2,$AP$3:$BT$47,17))*($E18*$AN$2-VLOOKUP($E18*$AN$2,$AP$3:$BT$47,1))/(VLOOKUP($E18*$AN$2,$AN$4:$BT$48,3)-VLOOKUP($E18*$AN$2,$AP$3:$BT$47,1)))))-(IF($E24*$AN$2&gt;$AP$47,VLOOKUP($E24*$AN$2,$AP$3:$BT$47,17),VLOOKUP($E24*$AN$2,$AP$3:$BT$47,17)+((VLOOKUP($E24*$AN$2,$AN$4:$BT$48,19)-VLOOKUP($E24*$AN$2,$AP$3:$BT$47,17))*($E24*$AN$2-VLOOKUP($E24*$AN$2,$AP$3:$BT$47,1))/(VLOOKUP($E24*$AN$2,$AN$4:$BT$48,3)-VLOOKUP($E24*$AN$2,$AP$3:$BT$47,1))))),0)</f>
        <v>0</v>
      </c>
      <c r="V23" s="50">
        <f>IF($F18&gt;$F24,(IF($F18*$AN$2&gt;$AP$47,VLOOKUP($F18*$AN$2,$AP$3:$BT$47,18),VLOOKUP($F18*$AN$2,$AP$3:$BT$47,18)+((VLOOKUP($F18*$AN$2,$AN$4:$BT$48,20)-VLOOKUP($F18*$AN$2,$AP$3:$BT$47,18))*($F18*$AN$2-VLOOKUP($F18*$AN$2,$AP$3:$BT$47,1))/(VLOOKUP($F18*$AN$2,$AN$4:$BT$48,3)-VLOOKUP($F18*$AN$2,$AP$3:$BT$47,1)))))-(IF($F24*$AN$2&gt;$AP$47,VLOOKUP($F24*$AN$2,$AP$3:$BT$47,18),VLOOKUP($F24*$AN$2,$AP$3:$BT$47,18)+((VLOOKUP($F24*$AN$2,$AN$4:$BT$48,20)-VLOOKUP($F24*$AN$2,$AP$3:$BT$47,18))*($F24*$AN$2-VLOOKUP($F24*$AN$2,$AP$3:$BT$47,1))/(VLOOKUP($F24*$AN$2,$AN$4:$BT$48,3)-VLOOKUP($F24*$AN$2,$AP$3:$BT$47,1))))),0)</f>
        <v>0</v>
      </c>
      <c r="W23" s="51">
        <f>IF($G18&gt;$G24,(IF($G18*$AN$2&gt;$AP$47,VLOOKUP($G18*$AN$2,$AP$3:$BT$47,19),VLOOKUP($G18*$AN$2,$AP$3:$BT$47,19)+((VLOOKUP($G18*$AN$2,$AN$4:$BT$48,21)-VLOOKUP($G18*$AN$2,$AP$3:$BT$47,19))*($G18*$AN$2-VLOOKUP($G18*$AN$2,$AP$3:$BT$47,1))/(VLOOKUP($G18*$AN$2,$AN$4:$BT$48,3)-VLOOKUP($G18*$AN$2,$AP$3:$BT$47,1)))))-(IF($G24*$AN$2&gt;$AP$47,VLOOKUP($G24*$AN$2,$AP$3:$BT$47,19),VLOOKUP($G24*$AN$2,$AP$3:$BT$47,19)+((VLOOKUP($G24*$AN$2,$AN$4:$BT$48,21)-VLOOKUP($G24*$AN$2,$AP$3:$BT$47,19))*($G24*$AN$2-VLOOKUP($G24*$AN$2,$AP$3:$BT$47,1))/(VLOOKUP($G24*$AN$2,$AN$4:$BT$48,3)-VLOOKUP($G24*$AN$2,$AP$3:$BT$47,1))))),0)</f>
        <v>0</v>
      </c>
      <c r="X23" s="80">
        <v>0</v>
      </c>
      <c r="Y23" s="50">
        <f>IF($D18&gt;$D24,(IF($D18*$AN$2&gt;$AP$47,VLOOKUP($D18*$AN$2,$AP$3:$BT$47,20),VLOOKUP($D18*$AN$2,$AP$3:$BT$47,20)+((VLOOKUP($D18*$AN$2,$AN$4:$BT$48,22)-VLOOKUP($D18*$AN$2,$AP$3:$BT$47,20))*($D18*$AN$2-VLOOKUP($D18*$AN$2,$AP$3:$BT$47,1))/(VLOOKUP($D18*$AN$2,$AN$4:$BT$48,3)-VLOOKUP($D18*$AN$2,$AP$3:$BT$47,1)))))-(IF($D24*$AN$2&gt;$AP$47,VLOOKUP($D24*$AN$2,$AP$3:$BT$47,20),VLOOKUP($D24*$AN$2,$AP$3:$BT$47,20)+((VLOOKUP($D24*$AN$2,$AN$4:$BT$48,22)-VLOOKUP($D24*$AN$2,$AP$3:$BT$47,20))*($D24*$AN$2-VLOOKUP($D24*$AN$2,$AP$3:$BT$47,1))/(VLOOKUP($D24*$AN$2,$AN$4:$BT$48,3)-VLOOKUP($D24*$AN$2,$AP$3:$BT$47,1))))),0)</f>
        <v>0.027399809637179307</v>
      </c>
      <c r="Z23" s="50">
        <f>IF($E18&gt;$E24,(IF($E18*$AN$2&gt;$AP$47,VLOOKUP($E18*$AN$2,$AP$3:$BT$47,21),VLOOKUP($E18*$AN$2,$AP$3:$BT$47,21)+((VLOOKUP($E18*$AN$2,$AN$4:$BT$48,23)-VLOOKUP($E18*$AN$2,$AP$3:$BT$47,21))*($E18*$AN$2-VLOOKUP($E18*$AN$2,$AP$3:$BT$47,1))/(VLOOKUP($E18*$AN$2,$AN$4:$BT$48,3)-VLOOKUP($E18*$AN$2,$AP$3:$BT$47,1)))))-(IF($E24*$AN$2&gt;$AP$47,VLOOKUP($E24*$AN$2,$AP$3:$BT$47,21),VLOOKUP($E24*$AN$2,$AP$3:$BT$47,21)+((VLOOKUP($E24*$AN$2,$AN$4:$BT$48,23)-VLOOKUP($E24*$AN$2,$AP$3:$BT$47,21))*($E24*$AN$2-VLOOKUP($E24*$AN$2,$AP$3:$BT$47,1))/(VLOOKUP($E24*$AN$2,$AN$4:$BT$48,3)-VLOOKUP($E24*$AN$2,$AP$3:$BT$47,1))))),0)</f>
        <v>0</v>
      </c>
      <c r="AA23" s="50">
        <f>IF($F18&gt;$F24,(IF($F18*$AN$2&gt;$AP$47,VLOOKUP($F18*$AN$2,$AP$3:$BT$47,22),VLOOKUP($F18*$AN$2,$AP$3:$BT$47,22)+((VLOOKUP($F18*$AN$2,$AN$4:$BT$48,24)-VLOOKUP($F18*$AN$2,$AP$3:$BT$47,22))*($F18*$AN$2-VLOOKUP($F18*$AN$2,$AP$3:$BT$47,1))/(VLOOKUP($F18*$AN$2,$AN$4:$BT$48,3)-VLOOKUP($F18*$AN$2,$AP$3:$BT$47,1)))))-(IF($F24*$AN$2&gt;$AP$47,VLOOKUP($F24*$AN$2,$AP$3:$BT$47,22),VLOOKUP($F24*$AN$2,$AP$3:$BT$47,22)+((VLOOKUP($F24*$AN$2,$AN$4:$BT$48,24)-VLOOKUP($F24*$AN$2,$AP$3:$BT$47,22))*($F24*$AN$2-VLOOKUP($F24*$AN$2,$AP$3:$BT$47,1))/(VLOOKUP($F24*$AN$2,$AN$4:$BT$48,3)-VLOOKUP($F24*$AN$2,$AP$3:$BT$47,1))))),0)</f>
        <v>0</v>
      </c>
      <c r="AB23" s="51">
        <f>IF($G18&gt;$G24,(IF($G18*$AN$2&gt;$AP$47,VLOOKUP($G18*$AN$2,$AP$3:$BT$47,23),VLOOKUP($G18*$AN$2,$AP$3:$BT$47,23)+((VLOOKUP($G18*$AN$2,$AN$4:$BT$48,25)-VLOOKUP($G18*$AN$2,$AP$3:$BT$47,23))*($G18*$AN$2-VLOOKUP($G18*$AN$2,$AP$3:$BT$47,1))/(VLOOKUP($G18*$AN$2,$AN$4:$BT$48,3)-VLOOKUP($G18*$AN$2,$AP$3:$BT$47,1)))))-(IF($G24*$AN$2&gt;$AP$47,VLOOKUP($G24*$AN$2,$AP$3:$BT$47,23),VLOOKUP($G24*$AN$2,$AP$3:$BT$47,23)+((VLOOKUP($G24*$AN$2,$AN$4:$BT$48,25)-VLOOKUP($G24*$AN$2,$AP$3:$BT$47,23))*($G24*$AN$2-VLOOKUP($G24*$AN$2,$AP$3:$BT$47,1))/(VLOOKUP($G24*$AN$2,$AN$4:$BT$48,3)-VLOOKUP($G24*$AN$2,$AP$3:$BT$47,1))))),0)</f>
        <v>0</v>
      </c>
      <c r="AC23" s="80">
        <v>0</v>
      </c>
      <c r="AD23" s="50">
        <f>IF($D18&gt;$D24,(IF($D18*$AN$2&gt;$AP$47,VLOOKUP($D18*$AN$2,$AP$3:$BT$47,24),VLOOKUP($D18*$AN$2,$AP$3:$BT$47,24)+((VLOOKUP($D18*$AN$2,$AN$4:$BT$48,26)-VLOOKUP($D18*$AN$2,$AP$3:$BT$47,24))*($D18*$AN$2-VLOOKUP($D18*$AN$2,$AP$3:$BT$47,1))/(VLOOKUP($D18*$AN$2,$AN$4:$BT$48,3)-VLOOKUP($D18*$AN$2,$AP$3:$BT$47,1)))))-(IF($D24*$AN$2&gt;$AP$47,VLOOKUP($D24*$AN$2,$AP$3:$BT$47,24),VLOOKUP($D24*$AN$2,$AP$3:$BT$47,24)+((VLOOKUP($D24*$AN$2,$AN$4:$BT$48,26)-VLOOKUP($D24*$AN$2,$AP$3:$BT$47,24))*($D24*$AN$2-VLOOKUP($D24*$AN$2,$AP$3:$BT$47,1))/(VLOOKUP($D24*$AN$2,$AN$4:$BT$48,3)-VLOOKUP($D24*$AN$2,$AP$3:$BT$47,1))))),0)</f>
        <v>0.05970114841060875</v>
      </c>
      <c r="AE23" s="50">
        <f>IF($E18&gt;$E24,(IF($E18*$AN$2&gt;$AP$47,VLOOKUP($E18*$AN$2,$AP$3:$BT$47,25),VLOOKUP($E18*$AN$2,$AP$3:$BT$47,25)+((VLOOKUP($E18*$AN$2,$AN$4:$BT$48,27)-VLOOKUP($E18*$AN$2,$AP$3:$BT$47,25))*($E18*$AN$2-VLOOKUP($E18*$AN$2,$AP$3:$BT$47,1))/(VLOOKUP($E18*$AN$2,$AN$4:$BT$48,3)-VLOOKUP($E18*$AN$2,$AP$3:$BT$47,1)))))-(IF($E24*$AN$2&gt;$AP$47,VLOOKUP($E24*$AN$2,$AP$3:$BT$47,25),VLOOKUP($E24*$AN$2,$AP$3:$BT$47,25)+((VLOOKUP($E24*$AN$2,$AN$4:$BT$48,27)-VLOOKUP($E24*$AN$2,$AP$3:$BT$47,25))*($E24*$AN$2-VLOOKUP($E24*$AN$2,$AP$3:$BT$47,1))/(VLOOKUP($E24*$AN$2,$AN$4:$BT$48,3)-VLOOKUP($E24*$AN$2,$AP$3:$BT$47,1))))),0)</f>
        <v>0</v>
      </c>
      <c r="AF23" s="50">
        <f>IF($F18&gt;$F24,(IF($F18*$AN$2&gt;$AP$47,VLOOKUP($F18*$AN$2,$AP$3:$BT$47,26),VLOOKUP($F18*$AN$2,$AP$3:$BT$47,26)+((VLOOKUP($F18*$AN$2,$AN$4:$BT$48,28)-VLOOKUP($F18*$AN$2,$AP$3:$BT$47,26))*($F18*$AN$2-VLOOKUP($F18*$AN$2,$AP$3:$BT$47,1))/(VLOOKUP($F18*$AN$2,$AN$4:$BT$48,3)-VLOOKUP($F18*$AN$2,$AP$3:$BT$47,1)))))-(IF($F24*$AN$2&gt;$AP$47,VLOOKUP($F24*$AN$2,$AP$3:$BT$47,26),VLOOKUP($F24*$AN$2,$AP$3:$BT$47,26)+((VLOOKUP($F24*$AN$2,$AN$4:$BT$48,28)-VLOOKUP($F24*$AN$2,$AP$3:$BT$47,26))*($F24*$AN$2-VLOOKUP($F24*$AN$2,$AP$3:$BT$47,1))/(VLOOKUP($F24*$AN$2,$AN$4:$BT$48,3)-VLOOKUP($F24*$AN$2,$AP$3:$BT$47,1))))),0)</f>
        <v>0</v>
      </c>
      <c r="AG23" s="51">
        <f>IF($G18&gt;$G24,(IF($G18*$AN$2&gt;$AP$47,VLOOKUP($G18*$AN$2,$AP$3:$BT$47,27),VLOOKUP($G18*$AN$2,$AP$3:$BT$47,27)+((VLOOKUP($G18*$AN$2,$AN$4:$BT$48,29)-VLOOKUP($G18*$AN$2,$AP$3:$BT$47,27))*($G18*$AN$2-VLOOKUP($G18*$AN$2,$AP$3:$BT$47,1))/(VLOOKUP($G18*$AN$2,$AN$4:$BT$48,3)-VLOOKUP($G18*$AN$2,$AP$3:$BT$47,1)))))-(IF($G24*$AN$2&gt;$AP$47,VLOOKUP($G24*$AN$2,$AP$3:$BT$47,27),VLOOKUP($G24*$AN$2,$AP$3:$BT$47,27)+((VLOOKUP($G24*$AN$2,$AN$4:$BT$48,29)-VLOOKUP($G24*$AN$2,$AP$3:$BT$47,27))*($G24*$AN$2-VLOOKUP($G24*$AN$2,$AP$3:$BT$47,1))/(VLOOKUP($G24*$AN$2,$AN$4:$BT$48,3)-VLOOKUP($G24*$AN$2,$AP$3:$BT$47,1))))),0)</f>
        <v>0</v>
      </c>
      <c r="AH23" s="59">
        <v>0</v>
      </c>
      <c r="AI23" s="50">
        <f>IF($D18&gt;$D24,(IF($D18*$AN$2&gt;$AP$47,VLOOKUP($D18*$AN$2,$AP$3:$BT$47,28),VLOOKUP($D18*$AN$2,$AP$3:$BT$47,28)+((VLOOKUP($D18*$AN$2,$AN$4:$BT$48,30)-VLOOKUP($D18*$AN$2,$AP$3:$BT$47,28))*($D18*$AN$2-VLOOKUP($D18*$AN$2,$AP$3:$BT$47,1))/(VLOOKUP($D18*$AN$2,$AN$4:$BT$48,3)-VLOOKUP($D18*$AN$2,$AP$3:$BT$47,1)))))-(IF($D24*$AN$2&gt;$AP$47,VLOOKUP($D24*$AN$2,$AP$3:$BT$47,28),VLOOKUP($D24*$AN$2,$AP$3:$BT$47,28)+((VLOOKUP($D24*$AN$2,$AN$4:$BT$48,30)-VLOOKUP($D24*$AN$2,$AP$3:$BT$47,28))*($D24*$AN$2-VLOOKUP($D24*$AN$2,$AP$3:$BT$47,1))/(VLOOKUP($D24*$AN$2,$AN$4:$BT$48,3)-VLOOKUP($D24*$AN$2,$AP$3:$BT$47,1))))),0)</f>
        <v>0.14849817747221583</v>
      </c>
      <c r="AJ23" s="50">
        <f>IF($E18&gt;$E24,(IF($E18*$AN$2&gt;$AP$47,VLOOKUP($E18*$AN$2,$AP$3:$BT$47,29),VLOOKUP($E18*$AN$2,$AP$3:$BT$47,29)+((VLOOKUP($E18*$AN$2,$AN$4:$BT$48,31)-VLOOKUP($E18*$AN$2,$AP$3:$BT$47,29))*($E18*$AN$2-VLOOKUP($E18*$AN$2,$AP$3:$BT$47,1))/(VLOOKUP($E18*$AN$2,$AN$4:$BT$48,3)-VLOOKUP($E18*$AN$2,$AP$3:$BT$47,1)))))-(IF($E24*$AN$2&gt;$AP$47,VLOOKUP($E24*$AN$2,$AP$3:$BT$47,29),VLOOKUP($E24*$AN$2,$AP$3:$BT$47,29)+((VLOOKUP($E24*$AN$2,$AN$4:$BT$48,31)-VLOOKUP($E24*$AN$2,$AP$3:$BT$47,29))*($E24*$AN$2-VLOOKUP($E24*$AN$2,$AP$3:$BT$47,1))/(VLOOKUP($E24*$AN$2,$AN$4:$BT$48,3)-VLOOKUP($E24*$AN$2,$AP$3:$BT$47,1))))),0)</f>
        <v>0</v>
      </c>
      <c r="AK23" s="50">
        <f>IF($F18&gt;$F24,(IF($F18*$AN$2&gt;$AP$47,VLOOKUP($F18*$AN$2,$AP$3:$BT$47,30),VLOOKUP($F18*$AN$2,$AP$3:$BT$47,30)+((VLOOKUP($F18*$AN$2,$AN$4:$BT$48,32)-VLOOKUP($F18*$AN$2,$AP$3:$BT$47,30))*($F18*$AN$2-VLOOKUP($F18*$AN$2,$AP$3:$BT$47,1))/(VLOOKUP($F18*$AN$2,$AN$4:$BT$48,3)-VLOOKUP($F18*$AN$2,$AP$3:$BT$47,1)))))-(IF($F24*$AN$2&gt;$AP$47,VLOOKUP($F24*$AN$2,$AP$3:$BT$47,30),VLOOKUP($F24*$AN$2,$AP$3:$BT$47,30)+((VLOOKUP($F24*$AN$2,$AN$4:$BT$48,32)-VLOOKUP($F24*$AN$2,$AP$3:$BT$47,30))*($F24*$AN$2-VLOOKUP($F24*$AN$2,$AP$3:$BT$47,1))/(VLOOKUP($F24*$AN$2,$AN$4:$BT$48,3)-VLOOKUP($F24*$AN$2,$AP$3:$BT$47,1))))),0)</f>
        <v>0</v>
      </c>
      <c r="AL23" s="51">
        <f>IF($G18&gt;$G24,(IF($G18*$AN$2&gt;$AP$47,VLOOKUP($G18*$AN$2,$AP$3:$BT$47,31),VLOOKUP($G18*$AN$2,$AP$3:$BT$47,31)+((VLOOKUP($G18*$AN$2,$AN$4:$BT$48,33)-VLOOKUP($G18*$AN$2,$AP$3:$BT$47,31))*($G18*$AN$2-VLOOKUP($G18*$AN$2,$AP$3:$BT$47,1))/(VLOOKUP($G18*$AN$2,$AN$4:$BT$48,3)-VLOOKUP($G18*$AN$2,$AP$3:$BT$47,1)))))-(IF($G24*$AN$2&gt;$AP$47,VLOOKUP($G24*$AN$2,$AP$3:$BT$47,31),VLOOKUP($G24*$AN$2,$AP$3:$BT$47,31)+((VLOOKUP($G24*$AN$2,$AN$4:$BT$48,33)-VLOOKUP($G24*$AN$2,$AP$3:$BT$47,31))*($G24*$AN$2-VLOOKUP($G24*$AN$2,$AP$3:$BT$47,1))/(VLOOKUP($G24*$AN$2,$AN$4:$BT$48,3)-VLOOKUP($G24*$AN$2,$AP$3:$BT$47,1))))),0)</f>
        <v>0</v>
      </c>
      <c r="AN23" s="23">
        <v>570</v>
      </c>
      <c r="AO23" s="25">
        <f t="shared" si="0"/>
        <v>182.87107589149647</v>
      </c>
      <c r="AP23" s="23">
        <v>600</v>
      </c>
      <c r="AQ23" s="31">
        <v>1</v>
      </c>
      <c r="AR23" s="31">
        <v>1</v>
      </c>
      <c r="AS23" s="24">
        <v>0.9827570223113482</v>
      </c>
      <c r="AT23" s="24">
        <v>0.9561773514100891</v>
      </c>
      <c r="AU23" s="26">
        <v>0.9030180096075704</v>
      </c>
      <c r="AV23" s="92"/>
      <c r="AW23" s="31"/>
      <c r="AX23" s="31"/>
      <c r="AY23" s="31"/>
      <c r="AZ23" s="93"/>
      <c r="BA23" s="101">
        <v>0.21415810000000002</v>
      </c>
      <c r="BB23" s="102">
        <v>0.8139648</v>
      </c>
      <c r="BC23" s="102">
        <v>0.8366087999999998</v>
      </c>
      <c r="BD23" s="103">
        <v>1.0519543999999998</v>
      </c>
      <c r="BE23" s="102">
        <v>0.21962019999999996</v>
      </c>
      <c r="BF23" s="102">
        <v>0.8576615999999998</v>
      </c>
      <c r="BG23" s="102">
        <v>0.8907095999999999</v>
      </c>
      <c r="BH23" s="103">
        <v>1.0790048</v>
      </c>
      <c r="BI23" s="53">
        <v>0.23743644627285165</v>
      </c>
      <c r="BJ23" s="53">
        <v>1.0156981800182174</v>
      </c>
      <c r="BK23" s="53">
        <v>1.0893251959609511</v>
      </c>
      <c r="BL23" s="54">
        <v>1.1673865851680614</v>
      </c>
      <c r="BM23" s="53">
        <v>0.2927546403477968</v>
      </c>
      <c r="BN23" s="53">
        <v>1.2202498541080589</v>
      </c>
      <c r="BO23" s="53">
        <v>1.3060451965932818</v>
      </c>
      <c r="BP23" s="54">
        <v>1.4128967394622387</v>
      </c>
      <c r="BQ23" s="52">
        <v>0.3944070306529581</v>
      </c>
      <c r="BR23" s="53">
        <v>1.6006204398832722</v>
      </c>
      <c r="BS23" s="53">
        <v>1.7105399362464704</v>
      </c>
      <c r="BT23" s="54">
        <v>1.8636701794520094</v>
      </c>
      <c r="BU23" s="99"/>
      <c r="BV23" s="99"/>
      <c r="BW23" s="99"/>
      <c r="BX23" s="99"/>
      <c r="BY23" s="99"/>
      <c r="BZ23" s="99"/>
      <c r="CA23" s="78"/>
      <c r="CB23" s="78"/>
      <c r="CC23" s="78"/>
      <c r="CD23" s="78"/>
      <c r="CE23" s="78"/>
      <c r="CF23" s="78"/>
      <c r="CG23" s="78"/>
      <c r="CH23" s="78"/>
      <c r="CI23" s="78"/>
      <c r="CJ23" s="78"/>
      <c r="CK23" s="78"/>
      <c r="CL23" s="78"/>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78"/>
      <c r="EB23" s="78"/>
      <c r="EC23" s="78"/>
    </row>
    <row r="24" spans="1:133" ht="12.75">
      <c r="A24" s="12"/>
      <c r="B24" s="13"/>
      <c r="C24" s="49">
        <v>0</v>
      </c>
      <c r="D24" s="49">
        <f>MAX(C15:C18,D15:G17)</f>
        <v>115</v>
      </c>
      <c r="E24" s="49">
        <f>MAX(C15:D18,E15:G17)</f>
        <v>10000</v>
      </c>
      <c r="F24" s="49">
        <f>MAX(C15:E18,F15:G17)</f>
        <v>10000</v>
      </c>
      <c r="G24" s="49">
        <f>MAX(C15:F18,G15:G17)</f>
        <v>10000</v>
      </c>
      <c r="H24" s="13"/>
      <c r="I24" s="13"/>
      <c r="J24" s="13"/>
      <c r="K24" s="13"/>
      <c r="L24" s="47"/>
      <c r="M24" s="4"/>
      <c r="N24" s="12"/>
      <c r="O24" s="13"/>
      <c r="P24" s="13"/>
      <c r="Q24" s="13"/>
      <c r="R24" s="47"/>
      <c r="S24" s="13"/>
      <c r="T24" s="13"/>
      <c r="U24" s="13"/>
      <c r="V24" s="13"/>
      <c r="W24" s="47"/>
      <c r="X24" s="12"/>
      <c r="Y24" s="13"/>
      <c r="Z24" s="13"/>
      <c r="AA24" s="13"/>
      <c r="AB24" s="47"/>
      <c r="AC24" s="12"/>
      <c r="AD24" s="13"/>
      <c r="AE24" s="13"/>
      <c r="AF24" s="13"/>
      <c r="AG24" s="47"/>
      <c r="AH24" s="13"/>
      <c r="AI24" s="13"/>
      <c r="AJ24" s="13"/>
      <c r="AK24" s="13"/>
      <c r="AL24" s="47"/>
      <c r="AN24" s="23">
        <v>600</v>
      </c>
      <c r="AO24" s="25">
        <f t="shared" si="0"/>
        <v>192.01462968607132</v>
      </c>
      <c r="AP24" s="23">
        <v>630</v>
      </c>
      <c r="AQ24" s="31">
        <v>1</v>
      </c>
      <c r="AR24" s="31">
        <v>1</v>
      </c>
      <c r="AS24" s="24">
        <v>0.9857560472872047</v>
      </c>
      <c r="AT24" s="24">
        <v>0.9645289837214898</v>
      </c>
      <c r="AU24" s="26">
        <v>0.9220748565900594</v>
      </c>
      <c r="AV24" s="92"/>
      <c r="AW24" s="31"/>
      <c r="AX24" s="31"/>
      <c r="AY24" s="31"/>
      <c r="AZ24" s="93"/>
      <c r="BA24" s="101">
        <v>0.21415810000000002</v>
      </c>
      <c r="BB24" s="102">
        <v>0.8139648</v>
      </c>
      <c r="BC24" s="102">
        <v>0.8366087999999998</v>
      </c>
      <c r="BD24" s="103">
        <v>1.0519543999999998</v>
      </c>
      <c r="BE24" s="102">
        <v>0.21962019999999996</v>
      </c>
      <c r="BF24" s="102">
        <v>0.8576615999999998</v>
      </c>
      <c r="BG24" s="102">
        <v>0.8907095999999999</v>
      </c>
      <c r="BH24" s="103">
        <v>1.0790048</v>
      </c>
      <c r="BI24" s="53">
        <v>0.23844171944475875</v>
      </c>
      <c r="BJ24" s="53">
        <v>1.0210433422326863</v>
      </c>
      <c r="BK24" s="53">
        <v>1.095429711299307</v>
      </c>
      <c r="BL24" s="54">
        <v>1.1723391750131908</v>
      </c>
      <c r="BM24" s="53">
        <v>0.29602931537709704</v>
      </c>
      <c r="BN24" s="53">
        <v>1.2366491193147253</v>
      </c>
      <c r="BO24" s="53">
        <v>1.324560765427657</v>
      </c>
      <c r="BP24" s="54">
        <v>1.4287915660772965</v>
      </c>
      <c r="BQ24" s="52">
        <v>0.4040497952260976</v>
      </c>
      <c r="BR24" s="53">
        <v>1.6449542887033346</v>
      </c>
      <c r="BS24" s="53">
        <v>1.759706601461292</v>
      </c>
      <c r="BT24" s="54">
        <v>1.9095342930847656</v>
      </c>
      <c r="BU24" s="99"/>
      <c r="BV24" s="99"/>
      <c r="BW24" s="99"/>
      <c r="BX24" s="99"/>
      <c r="BY24" s="99"/>
      <c r="BZ24" s="99"/>
      <c r="CA24" s="78"/>
      <c r="CB24" s="78"/>
      <c r="CC24" s="78"/>
      <c r="CD24" s="78"/>
      <c r="CE24" s="78"/>
      <c r="CF24" s="78"/>
      <c r="CG24" s="78"/>
      <c r="CH24" s="78"/>
      <c r="CI24" s="78"/>
      <c r="CJ24" s="78"/>
      <c r="CK24" s="78"/>
      <c r="CL24" s="78"/>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78"/>
      <c r="EB24" s="78"/>
      <c r="EC24" s="78"/>
    </row>
    <row r="25" spans="14:133" ht="12.75">
      <c r="N25" s="11"/>
      <c r="O25" s="4"/>
      <c r="P25" s="4"/>
      <c r="Q25" s="4"/>
      <c r="R25" s="46"/>
      <c r="S25" s="4"/>
      <c r="T25" s="4"/>
      <c r="U25" s="4"/>
      <c r="V25" s="4"/>
      <c r="W25" s="46"/>
      <c r="X25" s="11"/>
      <c r="Y25" s="4"/>
      <c r="Z25" s="4"/>
      <c r="AA25" s="4"/>
      <c r="AB25" s="46"/>
      <c r="AC25" s="11"/>
      <c r="AD25" s="4"/>
      <c r="AE25" s="4"/>
      <c r="AF25" s="4"/>
      <c r="AG25" s="46"/>
      <c r="AH25" s="4"/>
      <c r="AI25" s="4"/>
      <c r="AJ25" s="4"/>
      <c r="AK25" s="4"/>
      <c r="AL25" s="46"/>
      <c r="AN25" s="23">
        <v>630</v>
      </c>
      <c r="AO25" s="25">
        <f t="shared" si="0"/>
        <v>201.15818348064613</v>
      </c>
      <c r="AP25" s="23">
        <v>660</v>
      </c>
      <c r="AQ25" s="31">
        <v>1</v>
      </c>
      <c r="AR25" s="31">
        <v>1</v>
      </c>
      <c r="AS25" s="24">
        <v>0.9891358737599741</v>
      </c>
      <c r="AT25" s="24">
        <v>0.9702346285361253</v>
      </c>
      <c r="AU25" s="26">
        <v>0.9324321380884272</v>
      </c>
      <c r="AV25" s="92"/>
      <c r="AW25" s="31"/>
      <c r="AX25" s="31"/>
      <c r="AY25" s="31"/>
      <c r="AZ25" s="93"/>
      <c r="BA25" s="101">
        <v>0.21415810000000002</v>
      </c>
      <c r="BB25" s="102">
        <v>0.8139648</v>
      </c>
      <c r="BC25" s="102">
        <v>0.8366087999999998</v>
      </c>
      <c r="BD25" s="103">
        <v>1.0519543999999998</v>
      </c>
      <c r="BE25" s="102">
        <v>0.21962019999999996</v>
      </c>
      <c r="BF25" s="102">
        <v>0.8576615999999998</v>
      </c>
      <c r="BG25" s="102">
        <v>0.8907095999999999</v>
      </c>
      <c r="BH25" s="103">
        <v>1.0790048</v>
      </c>
      <c r="BI25" s="53">
        <v>0.23959593018520953</v>
      </c>
      <c r="BJ25" s="53">
        <v>1.027237550209331</v>
      </c>
      <c r="BK25" s="53">
        <v>1.10252024925653</v>
      </c>
      <c r="BL25" s="54">
        <v>1.1780260710362727</v>
      </c>
      <c r="BM25" s="53">
        <v>0.29830244427124786</v>
      </c>
      <c r="BN25" s="53">
        <v>1.2481402879714012</v>
      </c>
      <c r="BO25" s="53">
        <v>1.3375662122181373</v>
      </c>
      <c r="BP25" s="54">
        <v>1.4398285654067275</v>
      </c>
      <c r="BQ25" s="52">
        <v>0.4093558305377114</v>
      </c>
      <c r="BR25" s="53">
        <v>1.6695714753686552</v>
      </c>
      <c r="BS25" s="53">
        <v>1.7870746820925791</v>
      </c>
      <c r="BT25" s="54">
        <v>1.9347843096496364</v>
      </c>
      <c r="BU25" s="99"/>
      <c r="BV25" s="99"/>
      <c r="BW25" s="99"/>
      <c r="BX25" s="99"/>
      <c r="BY25" s="99"/>
      <c r="BZ25" s="99"/>
      <c r="CA25" s="78"/>
      <c r="CB25" s="78"/>
      <c r="CC25" s="78"/>
      <c r="CD25" s="78"/>
      <c r="CE25" s="78"/>
      <c r="CF25" s="78"/>
      <c r="CG25" s="78"/>
      <c r="CH25" s="78"/>
      <c r="CI25" s="78"/>
      <c r="CJ25" s="78"/>
      <c r="CK25" s="78"/>
      <c r="CL25" s="78"/>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78"/>
      <c r="EB25" s="78"/>
      <c r="EC25" s="78"/>
    </row>
    <row r="26" spans="1:133" ht="12.75">
      <c r="A26" s="73">
        <v>3</v>
      </c>
      <c r="B26" s="56"/>
      <c r="C26" s="74"/>
      <c r="D26" s="74"/>
      <c r="E26" s="74"/>
      <c r="F26" s="74"/>
      <c r="G26" s="76"/>
      <c r="H26" s="63"/>
      <c r="I26" s="63"/>
      <c r="J26" s="63"/>
      <c r="K26" s="63"/>
      <c r="L26" s="64"/>
      <c r="M26" s="4"/>
      <c r="N26" s="66"/>
      <c r="O26" s="63"/>
      <c r="P26" s="63"/>
      <c r="Q26" s="63"/>
      <c r="R26" s="64"/>
      <c r="S26" s="63"/>
      <c r="T26" s="63"/>
      <c r="U26" s="63"/>
      <c r="V26" s="63"/>
      <c r="W26" s="64"/>
      <c r="X26" s="66"/>
      <c r="Y26" s="63"/>
      <c r="Z26" s="63"/>
      <c r="AA26" s="63"/>
      <c r="AB26" s="64"/>
      <c r="AC26" s="66"/>
      <c r="AD26" s="63"/>
      <c r="AE26" s="63"/>
      <c r="AF26" s="63"/>
      <c r="AG26" s="64"/>
      <c r="AH26" s="63"/>
      <c r="AI26" s="63"/>
      <c r="AJ26" s="63"/>
      <c r="AK26" s="63"/>
      <c r="AL26" s="64"/>
      <c r="AN26" s="23">
        <v>660</v>
      </c>
      <c r="AO26" s="25">
        <f t="shared" si="0"/>
        <v>210.30173727522097</v>
      </c>
      <c r="AP26" s="23">
        <v>690</v>
      </c>
      <c r="AQ26" s="31">
        <v>1</v>
      </c>
      <c r="AR26" s="31">
        <v>1</v>
      </c>
      <c r="AS26" s="24">
        <v>0.9908827060545136</v>
      </c>
      <c r="AT26" s="24">
        <v>0.9749429974756338</v>
      </c>
      <c r="AU26" s="26">
        <v>0.943063580317874</v>
      </c>
      <c r="AV26" s="92"/>
      <c r="AW26" s="31"/>
      <c r="AX26" s="31"/>
      <c r="AY26" s="31"/>
      <c r="AZ26" s="93"/>
      <c r="BA26" s="101">
        <v>0.21415810000000002</v>
      </c>
      <c r="BB26" s="102">
        <v>0.8139648</v>
      </c>
      <c r="BC26" s="102">
        <v>0.8366087999999998</v>
      </c>
      <c r="BD26" s="103">
        <v>1.0519543999999998</v>
      </c>
      <c r="BE26" s="102">
        <v>0.21962019999999996</v>
      </c>
      <c r="BF26" s="102">
        <v>0.8576615999999998</v>
      </c>
      <c r="BG26" s="102">
        <v>0.8907095999999999</v>
      </c>
      <c r="BH26" s="103">
        <v>1.0790048</v>
      </c>
      <c r="BI26" s="53">
        <v>0.24020347845725035</v>
      </c>
      <c r="BJ26" s="53">
        <v>1.030527010103178</v>
      </c>
      <c r="BK26" s="53">
        <v>1.1062939310624236</v>
      </c>
      <c r="BL26" s="54">
        <v>1.1810197922226544</v>
      </c>
      <c r="BM26" s="53">
        <v>0.300207921181067</v>
      </c>
      <c r="BN26" s="53">
        <v>1.2578602448101226</v>
      </c>
      <c r="BO26" s="53">
        <v>1.3485922706006783</v>
      </c>
      <c r="BP26" s="54">
        <v>1.4490833353942256</v>
      </c>
      <c r="BQ26" s="52">
        <v>0.4148692964779025</v>
      </c>
      <c r="BR26" s="53">
        <v>1.6953761119479684</v>
      </c>
      <c r="BS26" s="53">
        <v>1.8158306070347867</v>
      </c>
      <c r="BT26" s="54">
        <v>1.9610344036583636</v>
      </c>
      <c r="BU26" s="99"/>
      <c r="BV26" s="99"/>
      <c r="BW26" s="99"/>
      <c r="BX26" s="99"/>
      <c r="BY26" s="99"/>
      <c r="BZ26" s="99"/>
      <c r="CA26" s="78"/>
      <c r="CB26" s="78"/>
      <c r="CC26" s="78"/>
      <c r="CD26" s="78"/>
      <c r="CE26" s="78"/>
      <c r="CF26" s="78"/>
      <c r="CG26" s="78"/>
      <c r="CH26" s="78"/>
      <c r="CI26" s="78"/>
      <c r="CJ26" s="78"/>
      <c r="CK26" s="78"/>
      <c r="CL26" s="78"/>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78"/>
      <c r="EB26" s="78"/>
      <c r="EC26" s="78"/>
    </row>
    <row r="27" spans="1:133" ht="12.75">
      <c r="A27" s="65"/>
      <c r="B27" s="57"/>
      <c r="C27" s="62"/>
      <c r="D27" s="62"/>
      <c r="E27" s="62"/>
      <c r="F27" s="62"/>
      <c r="G27" s="67"/>
      <c r="H27" s="4"/>
      <c r="I27" s="4"/>
      <c r="J27" s="4"/>
      <c r="K27" s="4"/>
      <c r="L27" s="46"/>
      <c r="M27" s="4"/>
      <c r="N27" s="11"/>
      <c r="O27" s="4"/>
      <c r="P27" s="4"/>
      <c r="Q27" s="4"/>
      <c r="R27" s="46"/>
      <c r="S27" s="4"/>
      <c r="T27" s="4"/>
      <c r="U27" s="4"/>
      <c r="V27" s="4"/>
      <c r="W27" s="46"/>
      <c r="X27" s="11"/>
      <c r="Y27" s="4"/>
      <c r="Z27" s="4"/>
      <c r="AA27" s="4"/>
      <c r="AB27" s="46"/>
      <c r="AC27" s="11"/>
      <c r="AD27" s="4"/>
      <c r="AE27" s="4"/>
      <c r="AF27" s="4"/>
      <c r="AG27" s="46"/>
      <c r="AH27" s="4"/>
      <c r="AI27" s="4"/>
      <c r="AJ27" s="4"/>
      <c r="AK27" s="4"/>
      <c r="AL27" s="46"/>
      <c r="AN27" s="23">
        <v>690</v>
      </c>
      <c r="AO27" s="25">
        <f t="shared" si="0"/>
        <v>219.4452910697958</v>
      </c>
      <c r="AP27" s="23">
        <v>720</v>
      </c>
      <c r="AQ27" s="31">
        <v>1</v>
      </c>
      <c r="AR27" s="31">
        <v>1</v>
      </c>
      <c r="AS27" s="24">
        <v>0.9912695846863919</v>
      </c>
      <c r="AT27" s="24">
        <v>0.9783941897890935</v>
      </c>
      <c r="AU27" s="26">
        <v>0.9526433999944962</v>
      </c>
      <c r="AV27" s="92"/>
      <c r="AW27" s="31"/>
      <c r="AX27" s="31"/>
      <c r="AY27" s="31"/>
      <c r="AZ27" s="93"/>
      <c r="BA27" s="101">
        <v>0.21415810000000002</v>
      </c>
      <c r="BB27" s="102">
        <v>0.8139648</v>
      </c>
      <c r="BC27" s="102">
        <v>0.8366087999999998</v>
      </c>
      <c r="BD27" s="103">
        <v>1.0519543999999998</v>
      </c>
      <c r="BE27" s="102">
        <v>0.21962019999999996</v>
      </c>
      <c r="BF27" s="102">
        <v>0.8576615999999998</v>
      </c>
      <c r="BG27" s="102">
        <v>0.8907095999999999</v>
      </c>
      <c r="BH27" s="103">
        <v>1.0790048</v>
      </c>
      <c r="BI27" s="53">
        <v>0.2403404721807985</v>
      </c>
      <c r="BJ27" s="53">
        <v>1.031275039937915</v>
      </c>
      <c r="BK27" s="53">
        <v>1.1071538461974997</v>
      </c>
      <c r="BL27" s="54">
        <v>1.1816948954352822</v>
      </c>
      <c r="BM27" s="53">
        <v>0.3016263612218989</v>
      </c>
      <c r="BN27" s="53">
        <v>1.2651588263146272</v>
      </c>
      <c r="BO27" s="53">
        <v>1.356889627160698</v>
      </c>
      <c r="BP27" s="54">
        <v>1.455974676205742</v>
      </c>
      <c r="BQ27" s="52">
        <v>0.4198977438261615</v>
      </c>
      <c r="BR27" s="53">
        <v>1.7191110731787678</v>
      </c>
      <c r="BS27" s="53">
        <v>1.8423398840439358</v>
      </c>
      <c r="BT27" s="54">
        <v>1.9849868267958222</v>
      </c>
      <c r="BU27" s="99"/>
      <c r="BV27" s="99"/>
      <c r="BW27" s="99"/>
      <c r="BX27" s="99"/>
      <c r="BY27" s="99"/>
      <c r="BZ27" s="99"/>
      <c r="CA27" s="78"/>
      <c r="CB27" s="78"/>
      <c r="CC27" s="78"/>
      <c r="CD27" s="78"/>
      <c r="CE27" s="78"/>
      <c r="CF27" s="78"/>
      <c r="CG27" s="78"/>
      <c r="CH27" s="78"/>
      <c r="CI27" s="78"/>
      <c r="CJ27" s="78"/>
      <c r="CK27" s="78"/>
      <c r="CL27" s="78"/>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78"/>
      <c r="EB27" s="78"/>
      <c r="EC27" s="78"/>
    </row>
    <row r="28" spans="1:133" ht="12.75">
      <c r="A28" s="65"/>
      <c r="B28" s="57" t="s">
        <v>120</v>
      </c>
      <c r="C28" s="62"/>
      <c r="D28" s="62"/>
      <c r="E28" s="62">
        <v>100</v>
      </c>
      <c r="F28" s="62">
        <v>150</v>
      </c>
      <c r="G28" s="67"/>
      <c r="H28" s="4"/>
      <c r="I28" s="4"/>
      <c r="J28" s="4"/>
      <c r="K28" s="4"/>
      <c r="L28" s="46"/>
      <c r="M28" s="4"/>
      <c r="N28" s="11"/>
      <c r="O28" s="4"/>
      <c r="P28" s="4"/>
      <c r="Q28" s="4"/>
      <c r="R28" s="46"/>
      <c r="S28" s="4"/>
      <c r="T28" s="4"/>
      <c r="U28" s="4"/>
      <c r="V28" s="4"/>
      <c r="W28" s="46"/>
      <c r="X28" s="11"/>
      <c r="Y28" s="4"/>
      <c r="Z28" s="4"/>
      <c r="AA28" s="4"/>
      <c r="AB28" s="46"/>
      <c r="AC28" s="11"/>
      <c r="AD28" s="4"/>
      <c r="AE28" s="4"/>
      <c r="AF28" s="4"/>
      <c r="AG28" s="46"/>
      <c r="AH28" s="4"/>
      <c r="AI28" s="4"/>
      <c r="AJ28" s="4"/>
      <c r="AK28" s="4"/>
      <c r="AL28" s="46"/>
      <c r="AN28" s="23">
        <v>720</v>
      </c>
      <c r="AO28" s="25">
        <f t="shared" si="0"/>
        <v>228.5888448643706</v>
      </c>
      <c r="AP28" s="23">
        <v>750</v>
      </c>
      <c r="AQ28" s="31">
        <v>1</v>
      </c>
      <c r="AR28" s="31">
        <v>1</v>
      </c>
      <c r="AS28" s="24">
        <v>0.9913172863556161</v>
      </c>
      <c r="AT28" s="24">
        <v>0.9810357449964353</v>
      </c>
      <c r="AU28" s="26">
        <v>0.9604726622780734</v>
      </c>
      <c r="AV28" s="92"/>
      <c r="AW28" s="31"/>
      <c r="AX28" s="31"/>
      <c r="AY28" s="31"/>
      <c r="AZ28" s="93"/>
      <c r="BA28" s="101">
        <v>0.21415810000000002</v>
      </c>
      <c r="BB28" s="102">
        <v>0.8139648</v>
      </c>
      <c r="BC28" s="102">
        <v>0.8366087999999998</v>
      </c>
      <c r="BD28" s="103">
        <v>1.0519543999999998</v>
      </c>
      <c r="BE28" s="102">
        <v>0.21962019999999996</v>
      </c>
      <c r="BF28" s="102">
        <v>0.8576615999999998</v>
      </c>
      <c r="BG28" s="102">
        <v>0.8907095999999999</v>
      </c>
      <c r="BH28" s="103">
        <v>1.0790048</v>
      </c>
      <c r="BI28" s="53">
        <v>0.24035766386238688</v>
      </c>
      <c r="BJ28" s="53">
        <v>1.0313696752794888</v>
      </c>
      <c r="BK28" s="53">
        <v>1.107262849281844</v>
      </c>
      <c r="BL28" s="54">
        <v>1.1817796231401583</v>
      </c>
      <c r="BM28" s="53">
        <v>0.3027286822099226</v>
      </c>
      <c r="BN28" s="53">
        <v>1.2708783216495636</v>
      </c>
      <c r="BO28" s="53">
        <v>1.3634052872351272</v>
      </c>
      <c r="BP28" s="54">
        <v>1.461331750166231</v>
      </c>
      <c r="BQ28" s="52">
        <v>0.4240566479511977</v>
      </c>
      <c r="BR28" s="53">
        <v>1.7389034482316508</v>
      </c>
      <c r="BS28" s="53">
        <v>1.8644935646015457</v>
      </c>
      <c r="BT28" s="54">
        <v>2.004806604266698</v>
      </c>
      <c r="BU28" s="99"/>
      <c r="BV28" s="99"/>
      <c r="BW28" s="99"/>
      <c r="BX28" s="99"/>
      <c r="BY28" s="99"/>
      <c r="BZ28" s="99"/>
      <c r="CA28" s="78"/>
      <c r="CB28" s="78"/>
      <c r="CC28" s="78"/>
      <c r="CD28" s="78"/>
      <c r="CE28" s="78"/>
      <c r="CF28" s="78"/>
      <c r="CG28" s="78"/>
      <c r="CH28" s="78"/>
      <c r="CI28" s="78"/>
      <c r="CJ28" s="78"/>
      <c r="CK28" s="78"/>
      <c r="CL28" s="78"/>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78"/>
      <c r="EB28" s="78"/>
      <c r="EC28" s="78"/>
    </row>
    <row r="29" spans="1:133" ht="12.75">
      <c r="A29" s="68"/>
      <c r="B29" s="69" t="s">
        <v>121</v>
      </c>
      <c r="C29" s="70"/>
      <c r="D29" s="70">
        <v>10000</v>
      </c>
      <c r="E29" s="70"/>
      <c r="F29" s="70"/>
      <c r="G29" s="71"/>
      <c r="H29" s="50"/>
      <c r="I29" s="50"/>
      <c r="J29" s="50"/>
      <c r="K29" s="50"/>
      <c r="L29" s="51"/>
      <c r="M29" s="50"/>
      <c r="N29" s="11"/>
      <c r="O29" s="4"/>
      <c r="P29" s="4"/>
      <c r="Q29" s="4"/>
      <c r="R29" s="46"/>
      <c r="S29" s="4"/>
      <c r="T29" s="4"/>
      <c r="U29" s="4"/>
      <c r="V29" s="4"/>
      <c r="W29" s="46"/>
      <c r="X29" s="11"/>
      <c r="Y29" s="4"/>
      <c r="Z29" s="4"/>
      <c r="AA29" s="4"/>
      <c r="AB29" s="46"/>
      <c r="AC29" s="11"/>
      <c r="AD29" s="4"/>
      <c r="AE29" s="4"/>
      <c r="AF29" s="4"/>
      <c r="AG29" s="46"/>
      <c r="AH29" s="4"/>
      <c r="AI29" s="4"/>
      <c r="AJ29" s="4"/>
      <c r="AK29" s="4"/>
      <c r="AL29" s="46"/>
      <c r="AN29" s="23">
        <v>750</v>
      </c>
      <c r="AO29" s="25">
        <f t="shared" si="0"/>
        <v>237.73239865894544</v>
      </c>
      <c r="AP29" s="23">
        <v>780</v>
      </c>
      <c r="AQ29" s="31">
        <v>1</v>
      </c>
      <c r="AR29" s="31">
        <v>1</v>
      </c>
      <c r="AS29" s="24">
        <v>0.9913198697679505</v>
      </c>
      <c r="AT29" s="24">
        <v>0.982814811863213</v>
      </c>
      <c r="AU29" s="26">
        <v>0.9658046960537374</v>
      </c>
      <c r="AV29" s="92"/>
      <c r="AW29" s="31"/>
      <c r="AX29" s="31"/>
      <c r="AY29" s="31"/>
      <c r="AZ29" s="93"/>
      <c r="BA29" s="101">
        <v>0.21415810000000002</v>
      </c>
      <c r="BB29" s="102">
        <v>0.8139648</v>
      </c>
      <c r="BC29" s="102">
        <v>0.8366087999999998</v>
      </c>
      <c r="BD29" s="103">
        <v>1.0519543999999998</v>
      </c>
      <c r="BE29" s="102">
        <v>0.21962019999999996</v>
      </c>
      <c r="BF29" s="102">
        <v>0.8576615999999998</v>
      </c>
      <c r="BG29" s="102">
        <v>0.8907095999999999</v>
      </c>
      <c r="BH29" s="103">
        <v>1.0790048</v>
      </c>
      <c r="BI29" s="53">
        <v>0.2403586111996899</v>
      </c>
      <c r="BJ29" s="53">
        <v>1.0313749307152007</v>
      </c>
      <c r="BK29" s="53">
        <v>1.1072689138422989</v>
      </c>
      <c r="BL29" s="54">
        <v>1.1817842923996114</v>
      </c>
      <c r="BM29" s="53">
        <v>0.3034822949346896</v>
      </c>
      <c r="BN29" s="53">
        <v>1.2748200221995962</v>
      </c>
      <c r="BO29" s="53">
        <v>1.367904547341208</v>
      </c>
      <c r="BP29" s="54">
        <v>1.4649952046582997</v>
      </c>
      <c r="BQ29" s="52">
        <v>0.4269226161056171</v>
      </c>
      <c r="BR29" s="53">
        <v>1.752651564118823</v>
      </c>
      <c r="BS29" s="53">
        <v>1.879913806280766</v>
      </c>
      <c r="BT29" s="54">
        <v>2.0184710072235923</v>
      </c>
      <c r="BU29" s="99"/>
      <c r="BV29" s="99"/>
      <c r="BW29" s="99"/>
      <c r="BX29" s="99"/>
      <c r="BY29" s="99"/>
      <c r="BZ29" s="99"/>
      <c r="CA29" s="78"/>
      <c r="CB29" s="78"/>
      <c r="CC29" s="78"/>
      <c r="CD29" s="78"/>
      <c r="CE29" s="78"/>
      <c r="CF29" s="78"/>
      <c r="CG29" s="78"/>
      <c r="CH29" s="78"/>
      <c r="CI29" s="78"/>
      <c r="CJ29" s="78"/>
      <c r="CK29" s="78"/>
      <c r="CL29" s="78"/>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78"/>
      <c r="EB29" s="78"/>
      <c r="EC29" s="78"/>
    </row>
    <row r="30" spans="1:133" ht="12.75">
      <c r="A30" s="11" t="s">
        <v>83</v>
      </c>
      <c r="B30" s="4"/>
      <c r="C30" s="4"/>
      <c r="D30" s="4"/>
      <c r="E30" s="4"/>
      <c r="F30" s="4"/>
      <c r="G30" s="4"/>
      <c r="H30" s="4"/>
      <c r="I30" s="4"/>
      <c r="J30" s="4"/>
      <c r="K30" s="4"/>
      <c r="L30" s="46"/>
      <c r="M30" s="4"/>
      <c r="N30" s="11"/>
      <c r="O30" s="4"/>
      <c r="P30" s="4"/>
      <c r="Q30" s="4"/>
      <c r="R30" s="46"/>
      <c r="S30" s="4"/>
      <c r="T30" s="4"/>
      <c r="U30" s="4"/>
      <c r="V30" s="4"/>
      <c r="W30" s="46"/>
      <c r="X30" s="11"/>
      <c r="Y30" s="4"/>
      <c r="Z30" s="4"/>
      <c r="AA30" s="4"/>
      <c r="AB30" s="46"/>
      <c r="AC30" s="11"/>
      <c r="AD30" s="4"/>
      <c r="AE30" s="4"/>
      <c r="AF30" s="4"/>
      <c r="AG30" s="46"/>
      <c r="AH30" s="4"/>
      <c r="AI30" s="4"/>
      <c r="AJ30" s="4"/>
      <c r="AK30" s="4"/>
      <c r="AL30" s="46"/>
      <c r="AN30" s="23">
        <v>780</v>
      </c>
      <c r="AO30" s="25">
        <f t="shared" si="0"/>
        <v>246.87595245352026</v>
      </c>
      <c r="AP30" s="23">
        <v>810</v>
      </c>
      <c r="AQ30" s="31">
        <v>1</v>
      </c>
      <c r="AR30" s="31">
        <v>1</v>
      </c>
      <c r="AS30" s="24">
        <v>0.9967215106935633</v>
      </c>
      <c r="AT30" s="24">
        <v>0.9878622786604182</v>
      </c>
      <c r="AU30" s="26">
        <v>0.9701438145941274</v>
      </c>
      <c r="AV30" s="92"/>
      <c r="AW30" s="31"/>
      <c r="AX30" s="31"/>
      <c r="AY30" s="31"/>
      <c r="AZ30" s="93"/>
      <c r="BA30" s="101">
        <v>0.21415810000000002</v>
      </c>
      <c r="BB30" s="102">
        <v>0.8139648</v>
      </c>
      <c r="BC30" s="102">
        <v>0.8366087999999998</v>
      </c>
      <c r="BD30" s="103">
        <v>1.0519543999999998</v>
      </c>
      <c r="BE30" s="102">
        <v>0.21962019999999996</v>
      </c>
      <c r="BF30" s="102">
        <v>0.8576615999999998</v>
      </c>
      <c r="BG30" s="102">
        <v>0.8907095999999999</v>
      </c>
      <c r="BH30" s="103">
        <v>1.0790048</v>
      </c>
      <c r="BI30" s="53">
        <v>0.2423734232649435</v>
      </c>
      <c r="BJ30" s="53">
        <v>1.0426357315528256</v>
      </c>
      <c r="BK30" s="53">
        <v>1.120286328308933</v>
      </c>
      <c r="BL30" s="54">
        <v>1.1917157494054431</v>
      </c>
      <c r="BM30" s="53">
        <v>0.30565220091080814</v>
      </c>
      <c r="BN30" s="53">
        <v>1.2862575819620634</v>
      </c>
      <c r="BO30" s="53">
        <v>1.3809845527994855</v>
      </c>
      <c r="BP30" s="54">
        <v>1.4755464292511775</v>
      </c>
      <c r="BQ30" s="52">
        <v>0.42928222876788114</v>
      </c>
      <c r="BR30" s="53">
        <v>1.7640582389378</v>
      </c>
      <c r="BS30" s="53">
        <v>1.8927332980964942</v>
      </c>
      <c r="BT30" s="54">
        <v>2.02972624680551</v>
      </c>
      <c r="BU30" s="99"/>
      <c r="BV30" s="99"/>
      <c r="BW30" s="99"/>
      <c r="BX30" s="99"/>
      <c r="BY30" s="99"/>
      <c r="BZ30" s="99"/>
      <c r="CA30" s="78"/>
      <c r="CB30" s="78"/>
      <c r="CC30" s="78"/>
      <c r="CD30" s="78"/>
      <c r="CE30" s="78"/>
      <c r="CF30" s="78"/>
      <c r="CG30" s="78"/>
      <c r="CH30" s="78"/>
      <c r="CI30" s="78"/>
      <c r="CJ30" s="78"/>
      <c r="CK30" s="78"/>
      <c r="CL30" s="78"/>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78"/>
      <c r="EB30" s="78"/>
      <c r="EC30" s="78"/>
    </row>
    <row r="31" spans="1:133" ht="12.75">
      <c r="A31" s="75" t="s">
        <v>76</v>
      </c>
      <c r="B31" s="48"/>
      <c r="C31" s="48"/>
      <c r="D31" s="48"/>
      <c r="E31" s="48"/>
      <c r="F31" s="48"/>
      <c r="G31" s="48"/>
      <c r="H31" s="50">
        <f>SUM(N31:R34)</f>
        <v>0.81400698</v>
      </c>
      <c r="I31" s="50">
        <f>SUM(S31:W34)</f>
        <v>0.8577712679999998</v>
      </c>
      <c r="J31" s="50">
        <f>SUM(X31:AB34)</f>
        <v>1.0095124654782728</v>
      </c>
      <c r="K31" s="50">
        <f>SUM(AC31:AG34)</f>
        <v>1.207270526348368</v>
      </c>
      <c r="L31" s="51">
        <f>SUM(AH31:AL34)</f>
        <v>1.570753093922224</v>
      </c>
      <c r="M31" s="50"/>
      <c r="N31" s="80">
        <v>0</v>
      </c>
      <c r="O31" s="50">
        <f>IF($D26&gt;$D32,(IF($D26*$AN$2&gt;$AP$47,VLOOKUP($D26*$AN$2,$AP$3:$BT$47,12),VLOOKUP($D26*$AN$2,$AP$3:$BT$47,12)+((VLOOKUP($D26*$AN$2,$AN$4:$BT$48,14)-VLOOKUP($D26*$AN$2,$AP$3:$BT$47,12))*($D26*$AN$2-VLOOKUP($D26*$AN$2,$AP$3:$BT$47,1))/(VLOOKUP($D26*$AN$2,$AN$4:$BT$48,3)-VLOOKUP($D26*$AN$2,$AP$3:$BT$47,1)))))-(IF($D32*$AN$2&gt;$AP$47,VLOOKUP($D32*$AN$2,$AP$3:$BT$47,12),VLOOKUP($D32*$AN$2,$AP$3:$BT$47,12)+((VLOOKUP($D32*$AN$2,$AN$4:$BT$48,14)-VLOOKUP($D32*$AN$2,$AP$3:$BT$47,12))*($D32*$AN$2-VLOOKUP($D32*$AN$2,$AP$3:$BT$47,1))/(VLOOKUP($D32*$AN$2,$AN$4:$BT$48,3)-VLOOKUP($D32*$AN$2,$AP$3:$BT$47,1))))),0)</f>
        <v>0</v>
      </c>
      <c r="P31" s="50">
        <f>IF($E26&gt;$E32,(IF($E26*$AN$2&gt;$AP$47,VLOOKUP($E26*$AN$2,$AP$3:$BT$47,13),VLOOKUP($E26*$AN$2,$AP$3:$BT$47,13)+((VLOOKUP($E26*$AN$2,$AN$4:$BT$48,15)-VLOOKUP($E26*$AN$2,$AP$3:$BT$47,13))*($E26*$AN$2-VLOOKUP($E26*$AN$2,$AP$3:$BT$47,1))/(VLOOKUP($E26*$AN$2,$AN$4:$BT$48,3)-VLOOKUP($E26*$AN$2,$AP$3:$BT$47,1)))))-(IF($E32*$AN$2&gt;$AP$47,VLOOKUP($E32*$AN$2,$AP$3:$BT$47,13),VLOOKUP($E32*$AN$2,$AP$3:$BT$47,13)+((VLOOKUP($E32*$AN$2,$AN$4:$BT$48,15)-VLOOKUP($E32*$AN$2,$AP$3:$BT$47,13))*($E32*$AN$2-VLOOKUP($E32*$AN$2,$AP$3:$BT$47,1))/(VLOOKUP($E32*$AN$2,$AN$4:$BT$48,3)-VLOOKUP($E32*$AN$2,$AP$3:$BT$47,1))))),0)</f>
        <v>0</v>
      </c>
      <c r="Q31" s="50">
        <f>IF($F26&gt;$F32,(IF($F26*$AN$2&gt;$AP$47,VLOOKUP($F26*$AN$2,$AP$3:$BT$47,14),VLOOKUP($F26*$AN$2,$AP$3:$BT$47,14)+((VLOOKUP($F26*$AN$2,$AN$4:$BT$48,16)-VLOOKUP($F26*$AN$2,$AP$3:$BT$47,14))*($F26*$AN$2-VLOOKUP(#REF!*$AN$2,$AP$3:$BT$47,1))/(VLOOKUP($F26*$AN$2,$AN$4:$BT$48,3)-VLOOKUP($F26*$AN$2,$AP$3:$BT$47,1)))))-(IF($F32*$AN$2&gt;$AP$47,VLOOKUP($F32*$AN$2,$AP$3:$BT$47,14),VLOOKUP($F32*$AN$2,$AP$3:$BT$47,14)+((VLOOKUP($F32*$AN$2,$AN$4:$BT$48,16)-VLOOKUP($F32*$AN$2,$AP$3:$BT$47,14))*($F32*$AN$2-VLOOKUP($F32*$AN$2,$AP$3:$BT$47,1))/(VLOOKUP($F32*$AN$2,$AN$4:$BT$48,3)-VLOOKUP($F32*$AN$2,$AP$3:$BT$47,1))))),0)</f>
        <v>0</v>
      </c>
      <c r="R31" s="51">
        <f>IF($G26&gt;$G32,(IF($G26*$AN$2&gt;$AP$47,VLOOKUP($G26*$AN$2,$AP$3:$BT$47,15),VLOOKUP($G26*$AN$2,$AP$3:$BT$47,15)+((VLOOKUP($G26*$AN$2,$AN$4:$BT$48,17)-VLOOKUP($G26*$AN$2,$AP$3:$BT$47,15))*($G26*$AN$2-VLOOKUP($G26*$AN$2,$AP$3:$BT$47,1))/(VLOOKUP($G26*$AN$2,$AN$4:$BT$48,3)-VLOOKUP($G26*$AN$2,$AP$3:$BT$47,1)))))-(IF($G32*$AN$2&gt;$AP$47,VLOOKUP($G32*$AN$2,$AP$3:$BT$47,15),VLOOKUP($G32*$AN$2,$AP$3:$BT$47,15)+((VLOOKUP($G32*$AN$2,$AN$4:$BT$48,17)-VLOOKUP($G32*$AN$2,$AP$3:$BT$47,15))*($G32*$AN$2-VLOOKUP($G32*$AN$2,$AP$3:$BT$47,1))/(VLOOKUP($G32*$AN$2,$AN$4:$BT$48,3)-VLOOKUP($G32*$AN$2,$AP$3:$BT$47,1))))),0)</f>
        <v>0</v>
      </c>
      <c r="S31" s="59">
        <v>0</v>
      </c>
      <c r="T31" s="50">
        <f>IF($D26&gt;$D32,(IF($D26*$AN$2&gt;$AP$47,VLOOKUP($D26*$AN$2,$AP$3:$BT$47,16),VLOOKUP($D26*$AN$2,$AP$3:$BT$47,16)+((VLOOKUP($D26*$AN$2,$AN$4:$BT$48,18)-VLOOKUP($D26*$AN$2,$AP$3:$BT$47,16))*($D26*$AN$2-VLOOKUP($D26*$AN$2,$AP$3:$BT$47,1))/(VLOOKUP($D26*$AN$2,$AN$4:$BT$48,3)-VLOOKUP($D26*$AN$2,$AP$3:$BT$47,1)))))-(IF($D32*$AN$2&gt;$AP$47,VLOOKUP($D32*$AN$2,$AP$3:$BT$47,16),VLOOKUP($D32*$AN$2,$AP$3:$BT$47,16)+((VLOOKUP($D32*$AN$2,$AN$4:$BT$48,18)-VLOOKUP($D32*$AN$2,$AP$3:$BT$47,16))*($D32*$AN$2-VLOOKUP($D32*$AN$2,$AP$3:$BT$47,1))/(VLOOKUP($D32*$AN$2,$AN$4:$BT$48,3)-VLOOKUP($D32*$AN$2,$AP$3:$BT$47,1))))),0)</f>
        <v>0</v>
      </c>
      <c r="U31" s="50">
        <f>IF($E26&gt;$E32,(IF($E26*$AN$2&gt;$AP$47,VLOOKUP($E26*$AN$2,$AP$3:$BT$47,17),VLOOKUP($E26*$AN$2,$AP$3:$BT$47,17)+((VLOOKUP($E26*$AN$2,$AN$4:$BT$48,19)-VLOOKUP($E26*$AN$2,$AP$3:$BT$47,17))*($E26*$AN$2-VLOOKUP($E26*$AN$2,$AP$3:$BT$47,1))/(VLOOKUP($E26*$AN$2,$AN$4:$BT$48,3)-VLOOKUP($E26*$AN$2,$AP$3:$BT$47,1)))))-(IF($E32*$AN$2&gt;$AP$47,VLOOKUP($E32*$AN$2,$AP$3:$BT$47,17),VLOOKUP($E32*$AN$2,$AP$3:$BT$47,17)+((VLOOKUP($E32*$AN$2,$AN$4:$BT$48,19)-VLOOKUP($E32*$AN$2,$AP$3:$BT$47,17))*($E32*$AN$2-VLOOKUP($E32*$AN$2,$AP$3:$BT$47,1))/(VLOOKUP($E32*$AN$2,$AN$4:$BT$48,3)-VLOOKUP($E32*$AN$2,$AP$3:$BT$47,1))))),0)</f>
        <v>0</v>
      </c>
      <c r="V31" s="50">
        <f>IF($F26&gt;$F32,(IF($F26*$AN$2&gt;$AP$47,VLOOKUP($F26*$AN$2,$AP$3:$BT$47,18),VLOOKUP($F26*$AN$2,$AP$3:$BT$47,18)+((VLOOKUP($F26*$AN$2,$AN$4:$BT$48,20)-VLOOKUP($F26*$AN$2,$AP$3:$BT$47,18))*($F26*$AN$2-VLOOKUP($F26*$AN$2,$AP$3:$BT$47,1))/(VLOOKUP($F26*$AN$2,$AN$4:$BT$48,3)-VLOOKUP($F26*$AN$2,$AP$3:$BT$47,1)))))-(IF($F32*$AN$2&gt;$AP$47,VLOOKUP($F32*$AN$2,$AP$3:$BT$47,18),VLOOKUP($F32*$AN$2,$AP$3:$BT$47,18)+((VLOOKUP($F32*$AN$2,$AN$4:$BT$48,20)-VLOOKUP($F32*$AN$2,$AP$3:$BT$47,18))*($F32*$AN$2-VLOOKUP($F32*$AN$2,$AP$3:$BT$47,1))/(VLOOKUP($F32*$AN$2,$AN$4:$BT$48,3)-VLOOKUP($F32*$AN$2,$AP$3:$BT$47,1))))),0)</f>
        <v>0</v>
      </c>
      <c r="W31" s="51">
        <f>IF($G26&gt;$G32,(IF($G26*$AN$2&gt;$AP$47,VLOOKUP($G26*$AN$2,$AP$3:$BT$47,19),VLOOKUP($G26*$AN$2,$AP$3:$BT$47,19)+((VLOOKUP($G26*$AN$2,$AN$4:$BT$48,21)-VLOOKUP($G26*$AN$2,$AP$3:$BT$47,19))*($G26*$AN$2-VLOOKUP($G26*$AN$2,$AP$3:$BT$47,1))/(VLOOKUP($G26*$AN$2,$AN$4:$BT$48,3)-VLOOKUP($G26*$AN$2,$AP$3:$BT$47,1)))))-(IF($G32*$AN$2&gt;$AP$47,VLOOKUP($G32*$AN$2,$AP$3:$BT$47,19),VLOOKUP($G32*$AN$2,$AP$3:$BT$47,19)+((VLOOKUP($G32*$AN$2,$AN$4:$BT$48,21)-VLOOKUP($G32*$AN$2,$AP$3:$BT$47,19))*($G32*$AN$2-VLOOKUP($G32*$AN$2,$AP$3:$BT$47,1))/(VLOOKUP($G32*$AN$2,$AN$4:$BT$48,3)-VLOOKUP($G32*$AN$2,$AP$3:$BT$47,1))))),0)</f>
        <v>0</v>
      </c>
      <c r="X31" s="80">
        <v>0</v>
      </c>
      <c r="Y31" s="50">
        <f>IF($D26&gt;$D32,(IF($D26*$AN$2&gt;$AP$47,VLOOKUP($D26*$AN$2,$AP$3:$BT$47,20),VLOOKUP($D26*$AN$2,$AP$3:$BT$47,20)+((VLOOKUP($D26*$AN$2,$AN$4:$BT$48,22)-VLOOKUP($D26*$AN$2,$AP$3:$BT$47,20))*($D26*$AN$2-VLOOKUP($D26*$AN$2,$AP$3:$BT$47,1))/(VLOOKUP($D26*$AN$2,$AN$4:$BT$48,3)-VLOOKUP($D26*$AN$2,$AP$3:$BT$47,1)))))-(IF($D32*$AN$2&gt;$AP$47,VLOOKUP($D32*$AN$2,$AP$3:$BT$47,20),VLOOKUP($D32*$AN$2,$AP$3:$BT$47,20)+((VLOOKUP($D32*$AN$2,$AN$4:$BT$48,22)-VLOOKUP($D32*$AN$2,$AP$3:$BT$47,20))*($D32*$AN$2-VLOOKUP($D32*$AN$2,$AP$3:$BT$47,1))/(VLOOKUP($D32*$AN$2,$AN$4:$BT$48,3)-VLOOKUP($D32*$AN$2,$AP$3:$BT$47,1))))),0)</f>
        <v>0</v>
      </c>
      <c r="Z31" s="50">
        <f>IF($E26&gt;$E32,(IF($E26*$AN$2&gt;$AP$47,VLOOKUP($E26*$AN$2,$AP$3:$BT$47,21),VLOOKUP($E26*$AN$2,$AP$3:$BT$47,21)+((VLOOKUP($E26*$AN$2,$AN$4:$BT$48,23)-VLOOKUP($E26*$AN$2,$AP$3:$BT$47,21))*($E26*$AN$2-VLOOKUP($E26*$AN$2,$AP$3:$BT$47,1))/(VLOOKUP($E26*$AN$2,$AN$4:$BT$48,3)-VLOOKUP($E26*$AN$2,$AP$3:$BT$47,1)))))-(IF($E32*$AN$2&gt;$AP$47,VLOOKUP($E32*$AN$2,$AP$3:$BT$47,21),VLOOKUP($E32*$AN$2,$AP$3:$BT$47,21)+((VLOOKUP($E32*$AN$2,$AN$4:$BT$48,23)-VLOOKUP($E32*$AN$2,$AP$3:$BT$47,21))*($E32*$AN$2-VLOOKUP($E32*$AN$2,$AP$3:$BT$47,1))/(VLOOKUP($E32*$AN$2,$AN$4:$BT$48,3)-VLOOKUP($E32*$AN$2,$AP$3:$BT$47,1))))),0)</f>
        <v>0</v>
      </c>
      <c r="AA31" s="50">
        <f>IF($F26&gt;$F32,(IF($F26*$AN$2&gt;$AP$47,VLOOKUP($F26*$AN$2,$AP$3:$BT$47,22),VLOOKUP($F26*$AN$2,$AP$3:$BT$47,22)+((VLOOKUP($F26*$AN$2,$AN$4:$BT$48,24)-VLOOKUP($F26*$AN$2,$AP$3:$BT$47,22))*($F26*$AN$2-VLOOKUP($F26*$AN$2,$AP$3:$BT$47,1))/(VLOOKUP($F26*$AN$2,$AN$4:$BT$48,3)-VLOOKUP($F26*$AN$2,$AP$3:$BT$47,1)))))-(IF($F32*$AN$2&gt;$AP$47,VLOOKUP($F32*$AN$2,$AP$3:$BT$47,22),VLOOKUP($F32*$AN$2,$AP$3:$BT$47,22)+((VLOOKUP($F32*$AN$2,$AN$4:$BT$48,24)-VLOOKUP($F32*$AN$2,$AP$3:$BT$47,22))*($F32*$AN$2-VLOOKUP($F32*$AN$2,$AP$3:$BT$47,1))/(VLOOKUP($F32*$AN$2,$AN$4:$BT$48,3)-VLOOKUP($F32*$AN$2,$AP$3:$BT$47,1))))),0)</f>
        <v>0</v>
      </c>
      <c r="AB31" s="51">
        <f>IF($G26&gt;$G32,(IF($G26*$AN$2&gt;$AP$47,VLOOKUP($G26*$AN$2,$AP$3:$BT$47,23),VLOOKUP($G26*$AN$2,$AP$3:$BT$47,23)+((VLOOKUP($G26*$AN$2,$AN$4:$BT$48,25)-VLOOKUP($G26*$AN$2,$AP$3:$BT$47,23))*($G26*$AN$2-VLOOKUP($G26*$AN$2,$AP$3:$BT$47,1))/(VLOOKUP($G26*$AN$2,$AN$4:$BT$48,3)-VLOOKUP($G26*$AN$2,$AP$3:$BT$47,1)))))-(IF($G32*$AN$2&gt;$AP$47,VLOOKUP($G32*$AN$2,$AP$3:$BT$47,23),VLOOKUP($G32*$AN$2,$AP$3:$BT$47,23)+((VLOOKUP($G32*$AN$2,$AN$4:$BT$48,25)-VLOOKUP($G32*$AN$2,$AP$3:$BT$47,23))*($G32*$AN$2-VLOOKUP($G32*$AN$2,$AP$3:$BT$47,1))/(VLOOKUP($G32*$AN$2,$AN$4:$BT$48,3)-VLOOKUP($G32*$AN$2,$AP$3:$BT$47,1))))),0)</f>
        <v>0</v>
      </c>
      <c r="AC31" s="80">
        <v>0</v>
      </c>
      <c r="AD31" s="50">
        <f>IF($D26&gt;$D32,(IF($D26*$AN$2&gt;$AP$47,VLOOKUP($D26*$AN$2,$AP$3:$BT$47,24),VLOOKUP($D26*$AN$2,$AP$3:$BT$47,24)+((VLOOKUP($D26*$AN$2,$AN$4:$BT$48,26)-VLOOKUP($D26*$AN$2,$AP$3:$BT$47,24))*($D26*$AN$2-VLOOKUP($D26*$AN$2,$AP$3:$BT$47,1))/(VLOOKUP($D26*$AN$2,$AN$4:$BT$48,3)-VLOOKUP($D26*$AN$2,$AP$3:$BT$47,1)))))-(IF($D32*$AN$2&gt;$AP$47,VLOOKUP($D32*$AN$2,$AP$3:$BT$47,24),VLOOKUP($D32*$AN$2,$AP$3:$BT$47,24)+((VLOOKUP($D32*$AN$2,$AN$4:$BT$48,26)-VLOOKUP($D32*$AN$2,$AP$3:$BT$47,24))*($D32*$AN$2-VLOOKUP($D32*$AN$2,$AP$3:$BT$47,1))/(VLOOKUP($D32*$AN$2,$AN$4:$BT$48,3)-VLOOKUP($D32*$AN$2,$AP$3:$BT$47,1))))),0)</f>
        <v>0</v>
      </c>
      <c r="AE31" s="50">
        <f>IF($E26&gt;$E32,(IF($E26*$AN$2&gt;$AP$47,VLOOKUP($E26*$AN$2,$AP$3:$BT$47,25),VLOOKUP($E26*$AN$2,$AP$3:$BT$47,25)+((VLOOKUP($E26*$AN$2,$AN$4:$BT$48,27)-VLOOKUP($E26*$AN$2,$AP$3:$BT$47,25))*($E26*$AN$2-VLOOKUP($E26*$AN$2,$AP$3:$BT$47,1))/(VLOOKUP($E26*$AN$2,$AN$4:$BT$48,3)-VLOOKUP($E26*$AN$2,$AP$3:$BT$47,1)))))-(IF($E32*$AN$2&gt;$AP$47,VLOOKUP($E32*$AN$2,$AP$3:$BT$47,25),VLOOKUP($E32*$AN$2,$AP$3:$BT$47,25)+((VLOOKUP($E32*$AN$2,$AN$4:$BT$48,27)-VLOOKUP($E32*$AN$2,$AP$3:$BT$47,25))*($E32*$AN$2-VLOOKUP($E32*$AN$2,$AP$3:$BT$47,1))/(VLOOKUP($E32*$AN$2,$AN$4:$BT$48,3)-VLOOKUP($E32*$AN$2,$AP$3:$BT$47,1))))),0)</f>
        <v>0</v>
      </c>
      <c r="AF31" s="50">
        <f>IF($F26&gt;$F32,(IF($F26*$AN$2&gt;$AP$47,VLOOKUP($F26*$AN$2,$AP$3:$BT$47,26),VLOOKUP($F26*$AN$2,$AP$3:$BT$47,26)+((VLOOKUP($F26*$AN$2,$AN$4:$BT$48,28)-VLOOKUP($F26*$AN$2,$AP$3:$BT$47,26))*($F26*$AN$2-VLOOKUP($F26*$AN$2,$AP$3:$BT$47,1))/(VLOOKUP($F26*$AN$2,$AN$4:$BT$48,3)-VLOOKUP($F26*$AN$2,$AP$3:$BT$47,1)))))-(IF($F32*$AN$2&gt;$AP$47,VLOOKUP($F32*$AN$2,$AP$3:$BT$47,26),VLOOKUP($F32*$AN$2,$AP$3:$BT$47,26)+((VLOOKUP($F32*$AN$2,$AN$4:$BT$48,28)-VLOOKUP($F32*$AN$2,$AP$3:$BT$47,26))*($F32*$AN$2-VLOOKUP($F32*$AN$2,$AP$3:$BT$47,1))/(VLOOKUP($F32*$AN$2,$AN$4:$BT$48,3)-VLOOKUP($F32*$AN$2,$AP$3:$BT$47,1))))),0)</f>
        <v>0</v>
      </c>
      <c r="AG31" s="51">
        <f>IF($G26&gt;$G32,(IF($G26*$AN$2&gt;$AP$47,VLOOKUP($G26*$AN$2,$AP$3:$BT$47,27),VLOOKUP($G26*$AN$2,$AP$3:$BT$47,27)+((VLOOKUP($G26*$AN$2,$AN$4:$BT$48,29)-VLOOKUP($G26*$AN$2,$AP$3:$BT$47,27))*($G26*$AN$2-VLOOKUP($G26*$AN$2,$AP$3:$BT$47,1))/(VLOOKUP($G26*$AN$2,$AN$4:$BT$48,3)-VLOOKUP($G26*$AN$2,$AP$3:$BT$47,1)))))-(IF($G32*$AN$2&gt;$AP$47,VLOOKUP($G32*$AN$2,$AP$3:$BT$47,27),VLOOKUP($G32*$AN$2,$AP$3:$BT$47,27)+((VLOOKUP($G32*$AN$2,$AN$4:$BT$48,29)-VLOOKUP($G32*$AN$2,$AP$3:$BT$47,27))*($G32*$AN$2-VLOOKUP($G32*$AN$2,$AP$3:$BT$47,1))/(VLOOKUP($G32*$AN$2,$AN$4:$BT$48,3)-VLOOKUP($G32*$AN$2,$AP$3:$BT$47,1))))),0)</f>
        <v>0</v>
      </c>
      <c r="AH31" s="59">
        <v>0</v>
      </c>
      <c r="AI31" s="50">
        <f>IF($D26&gt;$D32,(IF($D26*$AN$2&gt;$AP$47,VLOOKUP($D26*$AN$2,$AP$3:$BT$47,28),VLOOKUP($D26*$AN$2,$AP$3:$BT$47,28)+((VLOOKUP($D26*$AN$2,$AN$4:$BT$48,30)-VLOOKUP($D26*$AN$2,$AP$3:$BT$47,28))*($D26*$AN$2-VLOOKUP($D26*$AN$2,$AP$3:$BT$47,1))/(VLOOKUP($D26*$AN$2,$AN$4:$BT$48,3)-VLOOKUP($D26*$AN$2,$AP$3:$BT$47,1)))))-(IF($D32*$AN$2&gt;$AP$47,VLOOKUP($D32*$AN$2,$AP$3:$BT$47,28),VLOOKUP($D32*$AN$2,$AP$3:$BT$47,28)+((VLOOKUP($D32*$AN$2,$AN$4:$BT$48,30)-VLOOKUP($D32*$AN$2,$AP$3:$BT$47,28))*($D32*$AN$2-VLOOKUP($D32*$AN$2,$AP$3:$BT$47,1))/(VLOOKUP($D32*$AN$2,$AN$4:$BT$48,3)-VLOOKUP($D32*$AN$2,$AP$3:$BT$47,1))))),0)</f>
        <v>0</v>
      </c>
      <c r="AJ31" s="50">
        <f>IF($E26&gt;$E32,(IF($E26*$AN$2&gt;$AP$47,VLOOKUP($E26*$AN$2,$AP$3:$BT$47,29),VLOOKUP($E26*$AN$2,$AP$3:$BT$47,29)+((VLOOKUP($E26*$AN$2,$AN$4:$BT$48,31)-VLOOKUP($E26*$AN$2,$AP$3:$BT$47,29))*($E26*$AN$2-VLOOKUP($E26*$AN$2,$AP$3:$BT$47,1))/(VLOOKUP($E26*$AN$2,$AN$4:$BT$48,3)-VLOOKUP($E26*$AN$2,$AP$3:$BT$47,1)))))-(IF($E32*$AN$2&gt;$AP$47,VLOOKUP($E32*$AN$2,$AP$3:$BT$47,29),VLOOKUP($E32*$AN$2,$AP$3:$BT$47,29)+((VLOOKUP($E32*$AN$2,$AN$4:$BT$48,31)-VLOOKUP($E32*$AN$2,$AP$3:$BT$47,29))*($E32*$AN$2-VLOOKUP($E32*$AN$2,$AP$3:$BT$47,1))/(VLOOKUP($E32*$AN$2,$AN$4:$BT$48,3)-VLOOKUP($E32*$AN$2,$AP$3:$BT$47,1))))),0)</f>
        <v>0</v>
      </c>
      <c r="AK31" s="50">
        <f>IF($F26&gt;$F32,(IF($F26*$AN$2&gt;$AP$47,VLOOKUP($F26*$AN$2,$AP$3:$BT$47,30),VLOOKUP($F26*$AN$2,$AP$3:$BT$47,30)+((VLOOKUP($F26*$AN$2,$AN$4:$BT$48,32)-VLOOKUP($F26*$AN$2,$AP$3:$BT$47,30))*($F26*$AN$2-VLOOKUP($F26*$AN$2,$AP$3:$BT$47,1))/(VLOOKUP($F26*$AN$2,$AN$4:$BT$48,3)-VLOOKUP($F26*$AN$2,$AP$3:$BT$47,1)))))-(IF($F32*$AN$2&gt;$AP$47,VLOOKUP($F32*$AN$2,$AP$3:$BT$47,30),VLOOKUP($F32*$AN$2,$AP$3:$BT$47,30)+((VLOOKUP($F32*$AN$2,$AN$4:$BT$48,32)-VLOOKUP($F32*$AN$2,$AP$3:$BT$47,30))*($F32*$AN$2-VLOOKUP($F32*$AN$2,$AP$3:$BT$47,1))/(VLOOKUP($F32*$AN$2,$AN$4:$BT$48,3)-VLOOKUP($F32*$AN$2,$AP$3:$BT$47,1))))),0)</f>
        <v>0</v>
      </c>
      <c r="AL31" s="51">
        <f>IF($G26&gt;$G32,(IF($G26*$AN$2&gt;$AP$47,VLOOKUP($G26*$AN$2,$AP$3:$BT$47,31),VLOOKUP($G26*$AN$2,$AP$3:$BT$47,31)+((VLOOKUP($G26*$AN$2,$AN$4:$BT$48,33)-VLOOKUP($G26*$AN$2,$AP$3:$BT$47,31))*($G26*$AN$2-VLOOKUP($G26*$AN$2,$AP$3:$BT$47,1))/(VLOOKUP($G26*$AN$2,$AN$4:$BT$48,3)-VLOOKUP($G26*$AN$2,$AP$3:$BT$47,1)))))-(IF($G32*$AN$2&gt;$AP$47,VLOOKUP($G32*$AN$2,$AP$3:$BT$47,31),VLOOKUP($G32*$AN$2,$AP$3:$BT$47,31)+((VLOOKUP($G32*$AN$2,$AN$4:$BT$48,33)-VLOOKUP($G32*$AN$2,$AP$3:$BT$47,31))*($G32*$AN$2-VLOOKUP($G32*$AN$2,$AP$3:$BT$47,1))/(VLOOKUP($G32*$AN$2,$AN$4:$BT$48,3)-VLOOKUP($G32*$AN$2,$AP$3:$BT$47,1))))),0)</f>
        <v>0</v>
      </c>
      <c r="AN31" s="23">
        <v>810</v>
      </c>
      <c r="AO31" s="25">
        <f t="shared" si="0"/>
        <v>256.01950624809507</v>
      </c>
      <c r="AP31" s="23">
        <v>840</v>
      </c>
      <c r="AQ31" s="31">
        <v>1</v>
      </c>
      <c r="AR31" s="31">
        <v>1</v>
      </c>
      <c r="AS31" s="24">
        <v>0.9993836205739643</v>
      </c>
      <c r="AT31" s="24">
        <v>0.9909406044687501</v>
      </c>
      <c r="AU31" s="26">
        <v>0.9740545722583209</v>
      </c>
      <c r="AV31" s="92"/>
      <c r="AW31" s="31"/>
      <c r="AX31" s="31"/>
      <c r="AY31" s="31"/>
      <c r="AZ31" s="93"/>
      <c r="BA31" s="101">
        <v>0.21415810000000002</v>
      </c>
      <c r="BB31" s="102">
        <v>0.8139648</v>
      </c>
      <c r="BC31" s="102">
        <v>0.8366087999999998</v>
      </c>
      <c r="BD31" s="103">
        <v>1.0519543999999998</v>
      </c>
      <c r="BE31" s="102">
        <v>0.21962019999999996</v>
      </c>
      <c r="BF31" s="102">
        <v>0.8576615999999998</v>
      </c>
      <c r="BG31" s="102">
        <v>0.8907095999999999</v>
      </c>
      <c r="BH31" s="103">
        <v>1.0790048</v>
      </c>
      <c r="BI31" s="53">
        <v>0.2433831615425796</v>
      </c>
      <c r="BJ31" s="53">
        <v>1.04831960235847</v>
      </c>
      <c r="BK31" s="53">
        <v>1.1268678625662485</v>
      </c>
      <c r="BL31" s="54">
        <v>1.196693362459817</v>
      </c>
      <c r="BM31" s="53">
        <v>0.30699496662840253</v>
      </c>
      <c r="BN31" s="53">
        <v>1.2933882158644834</v>
      </c>
      <c r="BO31" s="53">
        <v>1.3891538138296367</v>
      </c>
      <c r="BP31" s="54">
        <v>1.4820774052861345</v>
      </c>
      <c r="BQ31" s="52">
        <v>0.431433536558954</v>
      </c>
      <c r="BR31" s="53">
        <v>1.7745359408717074</v>
      </c>
      <c r="BS31" s="53">
        <v>1.9045312718178333</v>
      </c>
      <c r="BT31" s="54">
        <v>2.0399923767497845</v>
      </c>
      <c r="BU31" s="99"/>
      <c r="BV31" s="99"/>
      <c r="BW31" s="99"/>
      <c r="BX31" s="99"/>
      <c r="BY31" s="99"/>
      <c r="BZ31" s="99"/>
      <c r="CA31" s="78"/>
      <c r="CB31" s="78"/>
      <c r="CC31" s="78"/>
      <c r="CD31" s="78"/>
      <c r="CE31" s="78"/>
      <c r="CF31" s="78"/>
      <c r="CG31" s="78"/>
      <c r="CH31" s="78"/>
      <c r="CI31" s="78"/>
      <c r="CJ31" s="78"/>
      <c r="CK31" s="78"/>
      <c r="CL31" s="78"/>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78"/>
      <c r="EB31" s="78"/>
      <c r="EC31" s="78"/>
    </row>
    <row r="32" spans="1:133" ht="12.75">
      <c r="A32" s="72"/>
      <c r="B32" s="4"/>
      <c r="C32" s="48">
        <v>0</v>
      </c>
      <c r="D32" s="48">
        <f>MAX(C26)</f>
        <v>0</v>
      </c>
      <c r="E32" s="48">
        <f>MAX(C26:D26)</f>
        <v>0</v>
      </c>
      <c r="F32" s="48">
        <f>MAX(C26:E26)</f>
        <v>0</v>
      </c>
      <c r="G32" s="48">
        <f>MAX(C26:F26)</f>
        <v>0</v>
      </c>
      <c r="H32" s="4"/>
      <c r="I32" s="4"/>
      <c r="J32" s="4"/>
      <c r="K32" s="4"/>
      <c r="L32" s="46"/>
      <c r="M32" s="4"/>
      <c r="N32" s="80">
        <v>0</v>
      </c>
      <c r="O32" s="50">
        <f>IF($D27&gt;$D33,(IF($D27*$AN$2&gt;$AP$47,VLOOKUP($D27*$AN$2,$AP$3:$BT$47,12),VLOOKUP($D27*$AN$2,$AP$3:$BT$47,12)+((VLOOKUP($D27*$AN$2,$AN$4:$BT$48,14)-VLOOKUP($D27*$AN$2,$AP$3:$BT$47,12))*($D27*$AN$2-VLOOKUP($D27*$AN$2,$AP$3:$BT$47,1))/(VLOOKUP($D27*$AN$2,$AN$4:$BT$48,3)-VLOOKUP($D27*$AN$2,$AP$3:$BT$47,1)))))-(IF($D33*$AN$2&gt;$AP$47,VLOOKUP($D33*$AN$2,$AP$3:$BT$47,12),VLOOKUP($D33*$AN$2,$AP$3:$BT$47,12)+((VLOOKUP($D33*$AN$2,$AN$4:$BT$48,14)-VLOOKUP($D33*$AN$2,$AP$3:$BT$47,12))*($D33*$AN$2-VLOOKUP($D33*$AN$2,$AP$3:$BT$47,1))/(VLOOKUP($D33*$AN$2,$AN$4:$BT$48,3)-VLOOKUP($D33*$AN$2,$AP$3:$BT$47,1))))),0)</f>
        <v>0</v>
      </c>
      <c r="P32" s="50">
        <f>IF($E27&gt;$E33,(IF($E27*$AN$2&gt;$AP$47,VLOOKUP($E27*$AN$2,$AP$3:$BT$47,13),VLOOKUP($E27*$AN$2,$AP$3:$BT$47,13)+((VLOOKUP($E27*$AN$2,$AN$4:$BT$48,15)-VLOOKUP($E27*$AN$2,$AP$3:$BT$47,13))*($E27*$AN$2-VLOOKUP($E27*$AN$2,$AP$3:$BT$47,1))/(VLOOKUP($E27*$AN$2,$AN$4:$BT$48,3)-VLOOKUP($E27*$AN$2,$AP$3:$BT$47,1)))))-(IF($E33*$AN$2&gt;$AP$47,VLOOKUP($E33*$AN$2,$AP$3:$BT$47,13),VLOOKUP($E33*$AN$2,$AP$3:$BT$47,13)+((VLOOKUP($E33*$AN$2,$AN$4:$BT$48,15)-VLOOKUP($E33*$AN$2,$AP$3:$BT$47,13))*($E33*$AN$2-VLOOKUP($E33*$AN$2,$AP$3:$BT$47,1))/(VLOOKUP($E33*$AN$2,$AN$4:$BT$48,3)-VLOOKUP($E33*$AN$2,$AP$3:$BT$47,1))))),0)</f>
        <v>0</v>
      </c>
      <c r="Q32" s="50">
        <f>IF($F27&gt;$F33,(IF($F27*$AN$2&gt;$AP$47,VLOOKUP($F27*$AN$2,$AP$3:$BT$47,14),VLOOKUP($F27*$AN$2,$AP$3:$BT$47,14)+((VLOOKUP($F27*$AN$2,$AN$4:$BT$48,16)-VLOOKUP($F27*$AN$2,$AP$3:$BT$47,14))*($F27*$AN$2-VLOOKUP($F27*$AN$2,$AP$3:$BT$47,1))/(VLOOKUP($F27*$AN$2,$AN$4:$BT$48,3)-VLOOKUP($F27*$AN$2,$AP$3:$BT$47,1)))))-(IF($F33*$AN$2&gt;$AP$47,VLOOKUP($F33*$AN$2,$AP$3:$BT$47,14),VLOOKUP($F33*$AN$2,$AP$3:$BT$47,14)+((VLOOKUP($F33*$AN$2,$AN$4:$BT$48,16)-VLOOKUP($F33*$AN$2,$AP$3:$BT$47,14))*($F33*$AN$2-VLOOKUP($F33*$AN$2,$AP$3:$BT$47,1))/(VLOOKUP($F33*$AN$2,$AN$4:$BT$48,3)-VLOOKUP($F33*$AN$2,$AP$3:$BT$47,1))))),0)</f>
        <v>0</v>
      </c>
      <c r="R32" s="51">
        <f>IF($G27&gt;$G33,(IF($G27*$AN$2&gt;$AP$47,VLOOKUP($G27*$AN$2,$AP$3:$BT$47,15),VLOOKUP($G27*$AN$2,$AP$3:$BT$47,15)+((VLOOKUP($G27*$AN$2,$AN$4:$BT$48,17)-VLOOKUP($G27*$AN$2,$AP$3:$BT$47,15))*($G27*$AN$2-VLOOKUP($G27*$AN$2,$AP$3:$BT$47,1))/(VLOOKUP($G27*$AN$2,$AN$4:$BT$48,3)-VLOOKUP($G27*$AN$2,$AP$3:$BT$47,1)))))-(IF($G33*$AN$2&gt;$AP$47,VLOOKUP($G33*$AN$2,$AP$3:$BT$47,15),VLOOKUP($G33*$AN$2,$AP$3:$BT$47,15)+((VLOOKUP($G33*$AN$2,$AN$4:$BT$48,17)-VLOOKUP($G33*$AN$2,$AP$3:$BT$47,15))*($G33*$AN$2-VLOOKUP($G33*$AN$2,$AP$3:$BT$47,1))/(VLOOKUP($G33*$AN$2,$AN$4:$BT$48,3)-VLOOKUP($G33*$AN$2,$AP$3:$BT$47,1))))),0)</f>
        <v>0</v>
      </c>
      <c r="S32" s="59">
        <v>0</v>
      </c>
      <c r="T32" s="50">
        <f>IF($D27&gt;$D33,(IF($D27*$AN$2&gt;$AP$47,VLOOKUP($D27*$AN$2,$AP$3:$BT$47,16),VLOOKUP($D27*$AN$2,$AP$3:$BT$47,16)+((VLOOKUP($D27*$AN$2,$AN$4:$BT$48,18)-VLOOKUP($D27*$AN$2,$AP$3:$BT$47,16))*($D27*$AN$2-VLOOKUP($D27*$AN$2,$AP$3:$BT$47,1))/(VLOOKUP($D27*$AN$2,$AN$4:$BT$48,3)-VLOOKUP($D27*$AN$2,$AP$3:$BT$47,1)))))-(IF($D33*$AN$2&gt;$AP$47,VLOOKUP($D33*$AN$2,$AP$3:$BT$47,16),VLOOKUP($D33*$AN$2,$AP$3:$BT$47,16)+((VLOOKUP($D33*$AN$2,$AN$4:$BT$48,18)-VLOOKUP($D33*$AN$2,$AP$3:$BT$47,16))*($D33*$AN$2-VLOOKUP($D33*$AN$2,$AP$3:$BT$47,1))/(VLOOKUP($D33*$AN$2,$AN$4:$BT$48,3)-VLOOKUP($D33*$AN$2,$AP$3:$BT$47,1))))),0)</f>
        <v>0</v>
      </c>
      <c r="U32" s="50">
        <f>IF($E27&gt;$E33,(IF($E27*$AN$2&gt;$AP$47,VLOOKUP($E27*$AN$2,$AP$3:$BT$47,17),VLOOKUP($E27*$AN$2,$AP$3:$BT$47,17)+((VLOOKUP($E27*$AN$2,$AN$4:$BT$48,19)-VLOOKUP($E27*$AN$2,$AP$3:$BT$47,17))*($E27*$AN$2-VLOOKUP($E27*$AN$2,$AP$3:$BT$47,1))/(VLOOKUP($E27*$AN$2,$AN$4:$BT$48,3)-VLOOKUP($E27*$AN$2,$AP$3:$BT$47,1)))))-(IF($E33*$AN$2&gt;$AP$47,VLOOKUP($E33*$AN$2,$AP$3:$BT$47,17),VLOOKUP($E33*$AN$2,$AP$3:$BT$47,17)+((VLOOKUP($E33*$AN$2,$AN$4:$BT$48,19)-VLOOKUP($E33*$AN$2,$AP$3:$BT$47,17))*($E33*$AN$2-VLOOKUP($E33*$AN$2,$AP$3:$BT$47,1))/(VLOOKUP($E33*$AN$2,$AN$4:$BT$48,3)-VLOOKUP($E33*$AN$2,$AP$3:$BT$47,1))))),0)</f>
        <v>0</v>
      </c>
      <c r="V32" s="50">
        <f>IF($F27&gt;$F33,(IF($F27*$AN$2&gt;$AP$47,VLOOKUP($F27*$AN$2,$AP$3:$BT$47,18),VLOOKUP($F27*$AN$2,$AP$3:$BT$47,18)+((VLOOKUP($F27*$AN$2,$AN$4:$BT$48,20)-VLOOKUP($F27*$AN$2,$AP$3:$BT$47,18))*($F27*$AN$2-VLOOKUP($F27*$AN$2,$AP$3:$BT$47,1))/(VLOOKUP($F27*$AN$2,$AN$4:$BT$48,3)-VLOOKUP($F27*$AN$2,$AP$3:$BT$47,1)))))-(IF($F33*$AN$2&gt;$AP$47,VLOOKUP($F33*$AN$2,$AP$3:$BT$47,18),VLOOKUP($F33*$AN$2,$AP$3:$BT$47,18)+((VLOOKUP($F33*$AN$2,$AN$4:$BT$48,20)-VLOOKUP($F33*$AN$2,$AP$3:$BT$47,18))*($F33*$AN$2-VLOOKUP($F33*$AN$2,$AP$3:$BT$47,1))/(VLOOKUP($F33*$AN$2,$AN$4:$BT$48,3)-VLOOKUP($F33*$AN$2,$AP$3:$BT$47,1))))),0)</f>
        <v>0</v>
      </c>
      <c r="W32" s="51">
        <f>IF($G27&gt;$G33,(IF($G27*$AN$2&gt;$AP$47,VLOOKUP($G27*$AN$2,$AP$3:$BT$47,19),VLOOKUP($G27*$AN$2,$AP$3:$BT$47,19)+((VLOOKUP($G27*$AN$2,$AN$4:$BT$48,21)-VLOOKUP($G27*$AN$2,$AP$3:$BT$47,19))*($G27*$AN$2-VLOOKUP($G27*$AN$2,$AP$3:$BT$47,1))/(VLOOKUP($G27*$AN$2,$AN$4:$BT$48,3)-VLOOKUP($G27*$AN$2,$AP$3:$BT$47,1)))))-(IF($G33*$AN$2&gt;$AP$47,VLOOKUP($G33*$AN$2,$AP$3:$BT$47,19),VLOOKUP($G33*$AN$2,$AP$3:$BT$47,19)+((VLOOKUP($G33*$AN$2,$AN$4:$BT$48,21)-VLOOKUP($G33*$AN$2,$AP$3:$BT$47,19))*($G33*$AN$2-VLOOKUP($G33*$AN$2,$AP$3:$BT$47,1))/(VLOOKUP($G33*$AN$2,$AN$4:$BT$48,3)-VLOOKUP($G33*$AN$2,$AP$3:$BT$47,1))))),0)</f>
        <v>0</v>
      </c>
      <c r="X32" s="80">
        <v>0</v>
      </c>
      <c r="Y32" s="50">
        <f>IF($D27&gt;$D33,(IF($D27*$AN$2&gt;$AP$47,VLOOKUP($D27*$AN$2,$AP$3:$BT$47,20),VLOOKUP($D27*$AN$2,$AP$3:$BT$47,20)+((VLOOKUP($D27*$AN$2,$AN$4:$BT$48,22)-VLOOKUP($D27*$AN$2,$AP$3:$BT$47,20))*($D27*$AN$2-VLOOKUP($D27*$AN$2,$AP$3:$BT$47,1))/(VLOOKUP($D27*$AN$2,$AN$4:$BT$48,3)-VLOOKUP($D27*$AN$2,$AP$3:$BT$47,1)))))-(IF($D33*$AN$2&gt;$AP$47,VLOOKUP($D33*$AN$2,$AP$3:$BT$47,20),VLOOKUP($D33*$AN$2,$AP$3:$BT$47,20)+((VLOOKUP($D33*$AN$2,$AN$4:$BT$48,22)-VLOOKUP($D33*$AN$2,$AP$3:$BT$47,20))*($D33*$AN$2-VLOOKUP($D33*$AN$2,$AP$3:$BT$47,1))/(VLOOKUP($D33*$AN$2,$AN$4:$BT$48,3)-VLOOKUP($D33*$AN$2,$AP$3:$BT$47,1))))),0)</f>
        <v>0</v>
      </c>
      <c r="Z32" s="50">
        <f>IF($E27&gt;$E33,(IF($E27*$AN$2&gt;$AP$47,VLOOKUP($E27*$AN$2,$AP$3:$BT$47,21),VLOOKUP($E27*$AN$2,$AP$3:$BT$47,21)+((VLOOKUP($E27*$AN$2,$AN$4:$BT$48,23)-VLOOKUP($E27*$AN$2,$AP$3:$BT$47,21))*($E27*$AN$2-VLOOKUP($E27*$AN$2,$AP$3:$BT$47,1))/(VLOOKUP($E27*$AN$2,$AN$4:$BT$48,3)-VLOOKUP($E27*$AN$2,$AP$3:$BT$47,1)))))-(IF($E33*$AN$2&gt;$AP$47,VLOOKUP($E33*$AN$2,$AP$3:$BT$47,21),VLOOKUP($E33*$AN$2,$AP$3:$BT$47,21)+((VLOOKUP($E33*$AN$2,$AN$4:$BT$48,23)-VLOOKUP($E33*$AN$2,$AP$3:$BT$47,21))*($E33*$AN$2-VLOOKUP($E33*$AN$2,$AP$3:$BT$47,1))/(VLOOKUP($E33*$AN$2,$AN$4:$BT$48,3)-VLOOKUP($E33*$AN$2,$AP$3:$BT$47,1))))),0)</f>
        <v>0</v>
      </c>
      <c r="AA32" s="50">
        <f>IF($F27&gt;$F33,(IF($F27*$AN$2&gt;$AP$47,VLOOKUP($F27*$AN$2,$AP$3:$BT$47,22),VLOOKUP($F27*$AN$2,$AP$3:$BT$47,22)+((VLOOKUP($F27*$AN$2,$AN$4:$BT$48,24)-VLOOKUP($F27*$AN$2,$AP$3:$BT$47,22))*($F27*$AN$2-VLOOKUP($F27*$AN$2,$AP$3:$BT$47,1))/(VLOOKUP($F27*$AN$2,$AN$4:$BT$48,3)-VLOOKUP($F27*$AN$2,$AP$3:$BT$47,1)))))-(IF($F33*$AN$2&gt;$AP$47,VLOOKUP($F33*$AN$2,$AP$3:$BT$47,22),VLOOKUP($F33*$AN$2,$AP$3:$BT$47,22)+((VLOOKUP($F33*$AN$2,$AN$4:$BT$48,24)-VLOOKUP($F33*$AN$2,$AP$3:$BT$47,22))*($F33*$AN$2-VLOOKUP($F33*$AN$2,$AP$3:$BT$47,1))/(VLOOKUP($F33*$AN$2,$AN$4:$BT$48,3)-VLOOKUP($F33*$AN$2,$AP$3:$BT$47,1))))),0)</f>
        <v>0</v>
      </c>
      <c r="AB32" s="51">
        <f>IF($G27&gt;$G33,(IF($G27*$AN$2&gt;$AP$47,VLOOKUP($G27*$AN$2,$AP$3:$BT$47,23),VLOOKUP($G27*$AN$2,$AP$3:$BT$47,23)+((VLOOKUP($G27*$AN$2,$AN$4:$BT$48,25)-VLOOKUP($G27*$AN$2,$AP$3:$BT$47,23))*($G27*$AN$2-VLOOKUP($G27*$AN$2,$AP$3:$BT$47,1))/(VLOOKUP($G27*$AN$2,$AN$4:$BT$48,3)-VLOOKUP($G27*$AN$2,$AP$3:$BT$47,1)))))-(IF($G33*$AN$2&gt;$AP$47,VLOOKUP($G33*$AN$2,$AP$3:$BT$47,23),VLOOKUP($G33*$AN$2,$AP$3:$BT$47,23)+((VLOOKUP($G33*$AN$2,$AN$4:$BT$48,25)-VLOOKUP($G33*$AN$2,$AP$3:$BT$47,23))*($G33*$AN$2-VLOOKUP($G33*$AN$2,$AP$3:$BT$47,1))/(VLOOKUP($G33*$AN$2,$AN$4:$BT$48,3)-VLOOKUP($G33*$AN$2,$AP$3:$BT$47,1))))),0)</f>
        <v>0</v>
      </c>
      <c r="AC32" s="80">
        <v>0</v>
      </c>
      <c r="AD32" s="50">
        <f>IF($D27&gt;$D33,(IF($D27*$AN$2&gt;$AP$47,VLOOKUP($D27*$AN$2,$AP$3:$BT$47,24),VLOOKUP($D27*$AN$2,$AP$3:$BT$47,24)+((VLOOKUP($D27*$AN$2,$AN$4:$BT$48,26)-VLOOKUP($D27*$AN$2,$AP$3:$BT$47,24))*($D27*$AN$2-VLOOKUP($D27*$AN$2,$AP$3:$BT$47,1))/(VLOOKUP($D27*$AN$2,$AN$4:$BT$48,3)-VLOOKUP($D27*$AN$2,$AP$3:$BT$47,1)))))-(IF($D33*$AN$2&gt;$AP$47,VLOOKUP($D33*$AN$2,$AP$3:$BT$47,24),VLOOKUP($D33*$AN$2,$AP$3:$BT$47,24)+((VLOOKUP($D33*$AN$2,$AN$4:$BT$48,26)-VLOOKUP($D33*$AN$2,$AP$3:$BT$47,24))*($D33*$AN$2-VLOOKUP($D33*$AN$2,$AP$3:$BT$47,1))/(VLOOKUP($D33*$AN$2,$AN$4:$BT$48,3)-VLOOKUP($D33*$AN$2,$AP$3:$BT$47,1))))),0)</f>
        <v>0</v>
      </c>
      <c r="AE32" s="50">
        <f>IF($E27&gt;$E33,(IF($E27*$AN$2&gt;$AP$47,VLOOKUP($E27*$AN$2,$AP$3:$BT$47,25),VLOOKUP($E27*$AN$2,$AP$3:$BT$47,25)+((VLOOKUP($E27*$AN$2,$AN$4:$BT$48,27)-VLOOKUP($E27*$AN$2,$AP$3:$BT$47,25))*($E27*$AN$2-VLOOKUP($E27*$AN$2,$AP$3:$BT$47,1))/(VLOOKUP($E27*$AN$2,$AN$4:$BT$48,3)-VLOOKUP($E27*$AN$2,$AP$3:$BT$47,1)))))-(IF($E33*$AN$2&gt;$AP$47,VLOOKUP($E33*$AN$2,$AP$3:$BT$47,25),VLOOKUP($E33*$AN$2,$AP$3:$BT$47,25)+((VLOOKUP($E33*$AN$2,$AN$4:$BT$48,27)-VLOOKUP($E33*$AN$2,$AP$3:$BT$47,25))*($E33*$AN$2-VLOOKUP($E33*$AN$2,$AP$3:$BT$47,1))/(VLOOKUP($E33*$AN$2,$AN$4:$BT$48,3)-VLOOKUP($E33*$AN$2,$AP$3:$BT$47,1))))),0)</f>
        <v>0</v>
      </c>
      <c r="AF32" s="50">
        <f>IF($F27&gt;$F33,(IF($F27*$AN$2&gt;$AP$47,VLOOKUP($F27*$AN$2,$AP$3:$BT$47,26),VLOOKUP($F27*$AN$2,$AP$3:$BT$47,26)+((VLOOKUP($F27*$AN$2,$AN$4:$BT$48,28)-VLOOKUP($F27*$AN$2,$AP$3:$BT$47,26))*($F27*$AN$2-VLOOKUP($F27*$AN$2,$AP$3:$BT$47,1))/(VLOOKUP($F27*$AN$2,$AN$4:$BT$48,3)-VLOOKUP($F27*$AN$2,$AP$3:$BT$47,1)))))-(IF($F33*$AN$2&gt;$AP$47,VLOOKUP($F33*$AN$2,$AP$3:$BT$47,26),VLOOKUP($F33*$AN$2,$AP$3:$BT$47,26)+((VLOOKUP($F33*$AN$2,$AN$4:$BT$48,28)-VLOOKUP($F33*$AN$2,$AP$3:$BT$47,26))*($F33*$AN$2-VLOOKUP($F33*$AN$2,$AP$3:$BT$47,1))/(VLOOKUP($F33*$AN$2,$AN$4:$BT$48,3)-VLOOKUP($F33*$AN$2,$AP$3:$BT$47,1))))),0)</f>
        <v>0</v>
      </c>
      <c r="AG32" s="51">
        <f>IF($G27&gt;$G33,(IF($G27*$AN$2&gt;$AP$47,VLOOKUP($G27*$AN$2,$AP$3:$BT$47,27),VLOOKUP($G27*$AN$2,$AP$3:$BT$47,27)+((VLOOKUP($G27*$AN$2,$AN$4:$BT$48,29)-VLOOKUP($G27*$AN$2,$AP$3:$BT$47,27))*($G27*$AN$2-VLOOKUP($G27*$AN$2,$AP$3:$BT$47,1))/(VLOOKUP($G27*$AN$2,$AN$4:$BT$48,3)-VLOOKUP($G27*$AN$2,$AP$3:$BT$47,1)))))-(IF($G33*$AN$2&gt;$AP$47,VLOOKUP($G33*$AN$2,$AP$3:$BT$47,27),VLOOKUP($G33*$AN$2,$AP$3:$BT$47,27)+((VLOOKUP($G33*$AN$2,$AN$4:$BT$48,29)-VLOOKUP($G33*$AN$2,$AP$3:$BT$47,27))*($G33*$AN$2-VLOOKUP($G33*$AN$2,$AP$3:$BT$47,1))/(VLOOKUP($G33*$AN$2,$AN$4:$BT$48,3)-VLOOKUP($G33*$AN$2,$AP$3:$BT$47,1))))),0)</f>
        <v>0</v>
      </c>
      <c r="AH32" s="59">
        <v>0</v>
      </c>
      <c r="AI32" s="50">
        <f>IF($D27&gt;$D33,(IF($D27*$AN$2&gt;$AP$47,VLOOKUP($D27*$AN$2,$AP$3:$BT$47,28),VLOOKUP($D27*$AN$2,$AP$3:$BT$47,28)+((VLOOKUP($D27*$AN$2,$AN$4:$BT$48,30)-VLOOKUP($D27*$AN$2,$AP$3:$BT$47,28))*($D27*$AN$2-VLOOKUP($D27*$AN$2,$AP$3:$BT$47,1))/(VLOOKUP($D27*$AN$2,$AN$4:$BT$48,3)-VLOOKUP($D27*$AN$2,$AP$3:$BT$47,1)))))-(IF($D33*$AN$2&gt;$AP$47,VLOOKUP($D33*$AN$2,$AP$3:$BT$47,28),VLOOKUP($D33*$AN$2,$AP$3:$BT$47,28)+((VLOOKUP($D33*$AN$2,$AN$4:$BT$48,30)-VLOOKUP($D33*$AN$2,$AP$3:$BT$47,28))*($D33*$AN$2-VLOOKUP($D33*$AN$2,$AP$3:$BT$47,1))/(VLOOKUP($D33*$AN$2,$AN$4:$BT$48,3)-VLOOKUP($D33*$AN$2,$AP$3:$BT$47,1))))),0)</f>
        <v>0</v>
      </c>
      <c r="AJ32" s="50">
        <f>IF($E27&gt;$E33,(IF($E27*$AN$2&gt;$AP$47,VLOOKUP($E27*$AN$2,$AP$3:$BT$47,29),VLOOKUP($E27*$AN$2,$AP$3:$BT$47,29)+((VLOOKUP($E27*$AN$2,$AN$4:$BT$48,31)-VLOOKUP($E27*$AN$2,$AP$3:$BT$47,29))*($E27*$AN$2-VLOOKUP($E27*$AN$2,$AP$3:$BT$47,1))/(VLOOKUP($E27*$AN$2,$AN$4:$BT$48,3)-VLOOKUP($E27*$AN$2,$AP$3:$BT$47,1)))))-(IF($E33*$AN$2&gt;$AP$47,VLOOKUP($E33*$AN$2,$AP$3:$BT$47,29),VLOOKUP($E33*$AN$2,$AP$3:$BT$47,29)+((VLOOKUP($E33*$AN$2,$AN$4:$BT$48,31)-VLOOKUP($E33*$AN$2,$AP$3:$BT$47,29))*($E33*$AN$2-VLOOKUP($E33*$AN$2,$AP$3:$BT$47,1))/(VLOOKUP($E33*$AN$2,$AN$4:$BT$48,3)-VLOOKUP($E33*$AN$2,$AP$3:$BT$47,1))))),0)</f>
        <v>0</v>
      </c>
      <c r="AK32" s="50">
        <f>IF($F27&gt;$F33,(IF($F27*$AN$2&gt;$AP$47,VLOOKUP($F27*$AN$2,$AP$3:$BT$47,30),VLOOKUP($F27*$AN$2,$AP$3:$BT$47,30)+((VLOOKUP($F27*$AN$2,$AN$4:$BT$48,32)-VLOOKUP($F27*$AN$2,$AP$3:$BT$47,30))*($F27*$AN$2-VLOOKUP($F27*$AN$2,$AP$3:$BT$47,1))/(VLOOKUP($F27*$AN$2,$AN$4:$BT$48,3)-VLOOKUP($F27*$AN$2,$AP$3:$BT$47,1)))))-(IF($F33*$AN$2&gt;$AP$47,VLOOKUP($F33*$AN$2,$AP$3:$BT$47,30),VLOOKUP($F33*$AN$2,$AP$3:$BT$47,30)+((VLOOKUP($F33*$AN$2,$AN$4:$BT$48,32)-VLOOKUP($F33*$AN$2,$AP$3:$BT$47,30))*($F33*$AN$2-VLOOKUP($F33*$AN$2,$AP$3:$BT$47,1))/(VLOOKUP($F33*$AN$2,$AN$4:$BT$48,3)-VLOOKUP($F33*$AN$2,$AP$3:$BT$47,1))))),0)</f>
        <v>0</v>
      </c>
      <c r="AL32" s="51">
        <f>IF($G27&gt;$G33,(IF($G27*$AN$2&gt;$AP$47,VLOOKUP($G27*$AN$2,$AP$3:$BT$47,31),VLOOKUP($G27*$AN$2,$AP$3:$BT$47,31)+((VLOOKUP($G27*$AN$2,$AN$4:$BT$48,33)-VLOOKUP($G27*$AN$2,$AP$3:$BT$47,31))*($G27*$AN$2-VLOOKUP($G27*$AN$2,$AP$3:$BT$47,1))/(VLOOKUP($G27*$AN$2,$AN$4:$BT$48,3)-VLOOKUP($G27*$AN$2,$AP$3:$BT$47,1)))))-(IF($G33*$AN$2&gt;$AP$47,VLOOKUP($G33*$AN$2,$AP$3:$BT$47,31),VLOOKUP($G33*$AN$2,$AP$3:$BT$47,31)+((VLOOKUP($G33*$AN$2,$AN$4:$BT$48,33)-VLOOKUP($G33*$AN$2,$AP$3:$BT$47,31))*($G33*$AN$2-VLOOKUP($G33*$AN$2,$AP$3:$BT$47,1))/(VLOOKUP($G33*$AN$2,$AN$4:$BT$48,3)-VLOOKUP($G33*$AN$2,$AP$3:$BT$47,1))))),0)</f>
        <v>0</v>
      </c>
      <c r="AN32" s="23">
        <v>840</v>
      </c>
      <c r="AO32" s="25">
        <f t="shared" si="0"/>
        <v>265.1630600426699</v>
      </c>
      <c r="AP32" s="23">
        <v>870</v>
      </c>
      <c r="AQ32" s="31">
        <v>1</v>
      </c>
      <c r="AR32" s="31">
        <v>1</v>
      </c>
      <c r="AS32" s="24">
        <v>0.9999069958373357</v>
      </c>
      <c r="AT32" s="24">
        <v>0.9929002137751647</v>
      </c>
      <c r="AU32" s="26">
        <v>0.9788866496508223</v>
      </c>
      <c r="AV32" s="92"/>
      <c r="AW32" s="31"/>
      <c r="AX32" s="31"/>
      <c r="AY32" s="31"/>
      <c r="AZ32" s="93"/>
      <c r="BA32" s="101">
        <v>0.21415810000000002</v>
      </c>
      <c r="BB32" s="102">
        <v>0.8139648</v>
      </c>
      <c r="BC32" s="102">
        <v>0.8366087999999998</v>
      </c>
      <c r="BD32" s="103">
        <v>1.0519543999999998</v>
      </c>
      <c r="BE32" s="102">
        <v>0.21962019999999996</v>
      </c>
      <c r="BF32" s="102">
        <v>0.8576615999999998</v>
      </c>
      <c r="BG32" s="102">
        <v>0.8907095999999999</v>
      </c>
      <c r="BH32" s="103">
        <v>1.0790048</v>
      </c>
      <c r="BI32" s="102">
        <v>0.2435849750441356</v>
      </c>
      <c r="BJ32" s="102">
        <v>1.049463438996568</v>
      </c>
      <c r="BK32" s="102">
        <v>1.1281944618463158</v>
      </c>
      <c r="BL32" s="103">
        <v>1.197688298835486</v>
      </c>
      <c r="BM32" s="53">
        <v>0.307862093746491</v>
      </c>
      <c r="BN32" s="53">
        <v>1.2980262191709053</v>
      </c>
      <c r="BO32" s="53">
        <v>1.3944765046277199</v>
      </c>
      <c r="BP32" s="54">
        <v>1.4862960522009838</v>
      </c>
      <c r="BQ32" s="52">
        <v>0.43412210442014176</v>
      </c>
      <c r="BR32" s="53">
        <v>1.787725579322279</v>
      </c>
      <c r="BS32" s="53">
        <v>1.9194102045248236</v>
      </c>
      <c r="BT32" s="54">
        <v>2.052827823927486</v>
      </c>
      <c r="BU32" s="99"/>
      <c r="BV32" s="99"/>
      <c r="BW32" s="99"/>
      <c r="BX32" s="99"/>
      <c r="BY32" s="99"/>
      <c r="BZ32" s="99"/>
      <c r="CA32" s="78"/>
      <c r="CB32" s="78"/>
      <c r="CC32" s="78"/>
      <c r="CD32" s="78"/>
      <c r="CE32" s="78"/>
      <c r="CF32" s="78"/>
      <c r="CG32" s="78"/>
      <c r="CH32" s="78"/>
      <c r="CI32" s="78"/>
      <c r="CJ32" s="78"/>
      <c r="CK32" s="78"/>
      <c r="CL32" s="78"/>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78"/>
      <c r="EB32" s="78"/>
      <c r="EC32" s="78"/>
    </row>
    <row r="33" spans="1:133" ht="12.75">
      <c r="A33" s="11"/>
      <c r="B33" s="4"/>
      <c r="C33" s="48">
        <v>0</v>
      </c>
      <c r="D33" s="48">
        <f>MAX(C26:C27,D26:G26)</f>
        <v>0</v>
      </c>
      <c r="E33" s="48">
        <f>MAX(C26:D27,E26:G26)</f>
        <v>0</v>
      </c>
      <c r="F33" s="48">
        <f>MAX(C26:E27,F26:G26)</f>
        <v>0</v>
      </c>
      <c r="G33" s="48">
        <f>MAX(C26:F27)</f>
        <v>0</v>
      </c>
      <c r="H33" s="4"/>
      <c r="I33" s="4"/>
      <c r="J33" s="4"/>
      <c r="K33" s="4"/>
      <c r="L33" s="46"/>
      <c r="M33" s="4"/>
      <c r="N33" s="80">
        <v>0</v>
      </c>
      <c r="O33" s="50">
        <f>IF($D28&gt;$D34,(IF($D28*$AN$2&gt;$AP$47,VLOOKUP($D28*$AN$2,$AP$3:$BT$47,12),VLOOKUP($D28*$AN$2,$AP$3:$BT$47,12)+((VLOOKUP($D28*$AN$2,$AN$4:$BT$48,14)-VLOOKUP($D28*$AN$2,$AP$3:$BT$47,12))*($D28*$AN$2-VLOOKUP($D28*$AN$2,$AP$3:$BT$47,1))/(VLOOKUP($D28*$AN$2,$AN$4:$BT$48,3)-VLOOKUP($D28*$AN$2,$AP$3:$BT$47,1)))))-(IF($D34*$AN$2&gt;$AP$47,VLOOKUP($D34*$AN$2,$AP$3:$BT$47,12),VLOOKUP($D34*$AN$2,$AP$3:$BT$47,12)+((VLOOKUP($D34*$AN$2,$AN$4:$BT$48,14)-VLOOKUP($D34*$AN$2,$AP$3:$BT$47,12))*($D34*$AN$2-VLOOKUP($D34*$AN$2,$AP$3:$BT$47,1))/(VLOOKUP($D34*$AN$2,$AN$4:$BT$48,3)-VLOOKUP($D34*$AN$2,$AP$3:$BT$47,1))))),0)</f>
        <v>0</v>
      </c>
      <c r="P33" s="50">
        <f>IF($E28&gt;$E34,(IF($E28*$AN$2&gt;$AP$47,VLOOKUP($E28*$AN$2,$AP$3:$BT$47,13),VLOOKUP($E28*$AN$2,$AP$3:$BT$47,13)+((VLOOKUP($E28*$AN$2,$AN$4:$BT$48,15)-VLOOKUP($E28*$AN$2,$AP$3:$BT$47,13))*($E28*$AN$2-VLOOKUP($E28*$AN$2,$AP$3:$BT$47,1))/(VLOOKUP($E28*$AN$2,$AN$4:$BT$48,3)-VLOOKUP($E28*$AN$2,$AP$3:$BT$47,1)))))-(IF($E34*$AN$2&gt;$AP$47,VLOOKUP($E34*$AN$2,$AP$3:$BT$47,13),VLOOKUP($E34*$AN$2,$AP$3:$BT$47,13)+((VLOOKUP($E34*$AN$2,$AN$4:$BT$48,15)-VLOOKUP($E34*$AN$2,$AP$3:$BT$47,13))*($E34*$AN$2-VLOOKUP($E34*$AN$2,$AP$3:$BT$47,1))/(VLOOKUP($E34*$AN$2,$AN$4:$BT$48,3)-VLOOKUP($E34*$AN$2,$AP$3:$BT$47,1))))),0)</f>
        <v>0.813560005</v>
      </c>
      <c r="Q33" s="50">
        <f>IF($F28&gt;$F34,(IF($F28*$AN$2&gt;$AP$47,VLOOKUP($F28*$AN$2,$AP$3:$BT$47,14),VLOOKUP($F28*$AN$2,$AP$3:$BT$47,14)+((VLOOKUP($F28*$AN$2,$AN$4:$BT$48,16)-VLOOKUP($F28*$AN$2,$AP$3:$BT$47,14))*($F28*$AN$2-VLOOKUP($F28*$AN$2,$AP$3:$BT$47,1))/(VLOOKUP($F28*$AN$2,$AN$4:$BT$48,3)-VLOOKUP($F28*$AN$2,$AP$3:$BT$47,1)))))-(IF($F34*$AN$2&gt;$AP$47,VLOOKUP($F34*$AN$2,$AP$3:$BT$47,14),VLOOKUP($F34*$AN$2,$AP$3:$BT$47,14)+((VLOOKUP($F34*$AN$2,$AN$4:$BT$48,16)-VLOOKUP($F34*$AN$2,$AP$3:$BT$47,14))*($F34*$AN$2-VLOOKUP($F34*$AN$2,$AP$3:$BT$47,1))/(VLOOKUP($F34*$AN$2,$AN$4:$BT$48,3)-VLOOKUP($F34*$AN$2,$AP$3:$BT$47,1))))),0)</f>
        <v>0.0004469750000000161</v>
      </c>
      <c r="R33" s="51">
        <f>IF($G28&gt;$G34,(IF($G28*$AN$2&gt;$AP$47,VLOOKUP($G28*$AN$2,$AP$3:$BT$47,15),VLOOKUP($G28*$AN$2,$AP$3:$BT$47,15)+((VLOOKUP($G28*$AN$2,$AN$4:$BT$48,17)-VLOOKUP($G28*$AN$2,$AP$3:$BT$47,15))*($G28*$AN$2-VLOOKUP($G28*$AN$2,$AP$3:$BT$47,1))/(VLOOKUP($G28*$AN$2,$AN$4:$BT$48,3)-VLOOKUP($G28*$AN$2,$AP$3:$BT$47,1)))))-(IF($G34*$AN$2&gt;$AP$47,VLOOKUP($G34*$AN$2,$AP$3:$BT$47,15),VLOOKUP($G34*$AN$2,$AP$3:$BT$47,15)+((VLOOKUP($G34*$AN$2,$AN$4:$BT$48,17)-VLOOKUP($G34*$AN$2,$AP$3:$BT$47,15))*($G34*$AN$2-VLOOKUP($G34*$AN$2,$AP$3:$BT$47,1))/(VLOOKUP($G34*$AN$2,$AN$4:$BT$48,3)-VLOOKUP($G34*$AN$2,$AP$3:$BT$47,1))))),0)</f>
        <v>0</v>
      </c>
      <c r="S33" s="59">
        <v>0</v>
      </c>
      <c r="T33" s="50">
        <f>IF($D28&gt;$D34,(IF($D28*$AN$2&gt;$AP$47,VLOOKUP($D28*$AN$2,$AP$3:$BT$47,16),VLOOKUP($D28*$AN$2,$AP$3:$BT$47,16)+((VLOOKUP($D28*$AN$2,$AN$4:$BT$48,18)-VLOOKUP($D28*$AN$2,$AP$3:$BT$47,16))*($D28*$AN$2-VLOOKUP($D28*$AN$2,$AP$3:$BT$47,1))/(VLOOKUP($D28*$AN$2,$AN$4:$BT$48,3)-VLOOKUP($D28*$AN$2,$AP$3:$BT$47,1)))))-(IF($D34*$AN$2&gt;$AP$47,VLOOKUP($D34*$AN$2,$AP$3:$BT$47,16),VLOOKUP($D34*$AN$2,$AP$3:$BT$47,16)+((VLOOKUP($D34*$AN$2,$AN$4:$BT$48,18)-VLOOKUP($D34*$AN$2,$AP$3:$BT$47,16))*($D34*$AN$2-VLOOKUP($D34*$AN$2,$AP$3:$BT$47,1))/(VLOOKUP($D34*$AN$2,$AN$4:$BT$48,3)-VLOOKUP($D34*$AN$2,$AP$3:$BT$47,1))))),0)</f>
        <v>0</v>
      </c>
      <c r="U33" s="50">
        <f>IF($E28&gt;$E34,(IF($E28*$AN$2&gt;$AP$47,VLOOKUP($E28*$AN$2,$AP$3:$BT$47,17),VLOOKUP($E28*$AN$2,$AP$3:$BT$47,17)+((VLOOKUP($E28*$AN$2,$AN$4:$BT$48,19)-VLOOKUP($E28*$AN$2,$AP$3:$BT$47,17))*($E28*$AN$2-VLOOKUP($E28*$AN$2,$AP$3:$BT$47,1))/(VLOOKUP($E28*$AN$2,$AN$4:$BT$48,3)-VLOOKUP($E28*$AN$2,$AP$3:$BT$47,1)))))-(IF($E34*$AN$2&gt;$AP$47,VLOOKUP($E34*$AN$2,$AP$3:$BT$47,17),VLOOKUP($E34*$AN$2,$AP$3:$BT$47,17)+((VLOOKUP($E34*$AN$2,$AN$4:$BT$48,19)-VLOOKUP($E34*$AN$2,$AP$3:$BT$47,17))*($E34*$AN$2-VLOOKUP($E34*$AN$2,$AP$3:$BT$47,1))/(VLOOKUP($E34*$AN$2,$AN$4:$BT$48,3)-VLOOKUP($E34*$AN$2,$AP$3:$BT$47,1))))),0)</f>
        <v>0.8566091329999999</v>
      </c>
      <c r="V33" s="50">
        <f>IF($F28&gt;$F34,(IF($F28*$AN$2&gt;$AP$47,VLOOKUP($F28*$AN$2,$AP$3:$BT$47,18),VLOOKUP($F28*$AN$2,$AP$3:$BT$47,18)+((VLOOKUP($F28*$AN$2,$AN$4:$BT$48,20)-VLOOKUP($F28*$AN$2,$AP$3:$BT$47,18))*($F28*$AN$2-VLOOKUP($F28*$AN$2,$AP$3:$BT$47,1))/(VLOOKUP($F28*$AN$2,$AN$4:$BT$48,3)-VLOOKUP($F28*$AN$2,$AP$3:$BT$47,1)))))-(IF($F34*$AN$2&gt;$AP$47,VLOOKUP($F34*$AN$2,$AP$3:$BT$47,18),VLOOKUP($F34*$AN$2,$AP$3:$BT$47,18)+((VLOOKUP($F34*$AN$2,$AN$4:$BT$48,20)-VLOOKUP($F34*$AN$2,$AP$3:$BT$47,18))*($F34*$AN$2-VLOOKUP($F34*$AN$2,$AP$3:$BT$47,1))/(VLOOKUP($F34*$AN$2,$AN$4:$BT$48,3)-VLOOKUP($F34*$AN$2,$AP$3:$BT$47,1))))),0)</f>
        <v>0.001162134999999953</v>
      </c>
      <c r="W33" s="51">
        <f>IF($G28&gt;$G34,(IF($G28*$AN$2&gt;$AP$47,VLOOKUP($G28*$AN$2,$AP$3:$BT$47,19),VLOOKUP($G28*$AN$2,$AP$3:$BT$47,19)+((VLOOKUP($G28*$AN$2,$AN$4:$BT$48,21)-VLOOKUP($G28*$AN$2,$AP$3:$BT$47,19))*($G28*$AN$2-VLOOKUP($G28*$AN$2,$AP$3:$BT$47,1))/(VLOOKUP($G28*$AN$2,$AN$4:$BT$48,3)-VLOOKUP($G28*$AN$2,$AP$3:$BT$47,1)))))-(IF($G34*$AN$2&gt;$AP$47,VLOOKUP($G34*$AN$2,$AP$3:$BT$47,19),VLOOKUP($G34*$AN$2,$AP$3:$BT$47,19)+((VLOOKUP($G34*$AN$2,$AN$4:$BT$48,21)-VLOOKUP($G34*$AN$2,$AP$3:$BT$47,19))*($G34*$AN$2-VLOOKUP($G34*$AN$2,$AP$3:$BT$47,1))/(VLOOKUP($G34*$AN$2,$AN$4:$BT$48,3)-VLOOKUP($G34*$AN$2,$AP$3:$BT$47,1))))),0)</f>
        <v>0</v>
      </c>
      <c r="X33" s="80">
        <v>0</v>
      </c>
      <c r="Y33" s="50">
        <f>IF($D28&gt;$D34,(IF($D28*$AN$2&gt;$AP$47,VLOOKUP($D28*$AN$2,$AP$3:$BT$47,20),VLOOKUP($D28*$AN$2,$AP$3:$BT$47,20)+((VLOOKUP($D28*$AN$2,$AN$4:$BT$48,22)-VLOOKUP($D28*$AN$2,$AP$3:$BT$47,20))*($D28*$AN$2-VLOOKUP($D28*$AN$2,$AP$3:$BT$47,1))/(VLOOKUP($D28*$AN$2,$AN$4:$BT$48,3)-VLOOKUP($D28*$AN$2,$AP$3:$BT$47,1)))))-(IF($D34*$AN$2&gt;$AP$47,VLOOKUP($D34*$AN$2,$AP$3:$BT$47,20),VLOOKUP($D34*$AN$2,$AP$3:$BT$47,20)+((VLOOKUP($D34*$AN$2,$AN$4:$BT$48,22)-VLOOKUP($D34*$AN$2,$AP$3:$BT$47,20))*($D34*$AN$2-VLOOKUP($D34*$AN$2,$AP$3:$BT$47,1))/(VLOOKUP($D34*$AN$2,$AN$4:$BT$48,3)-VLOOKUP($D34*$AN$2,$AP$3:$BT$47,1))))),0)</f>
        <v>0</v>
      </c>
      <c r="Z33" s="50">
        <f>IF($E28&gt;$E34,(IF($E28*$AN$2&gt;$AP$47,VLOOKUP($E28*$AN$2,$AP$3:$BT$47,21),VLOOKUP($E28*$AN$2,$AP$3:$BT$47,21)+((VLOOKUP($E28*$AN$2,$AN$4:$BT$48,23)-VLOOKUP($E28*$AN$2,$AP$3:$BT$47,21))*($E28*$AN$2-VLOOKUP($E28*$AN$2,$AP$3:$BT$47,1))/(VLOOKUP($E28*$AN$2,$AN$4:$BT$48,3)-VLOOKUP($E28*$AN$2,$AP$3:$BT$47,1)))))-(IF($E34*$AN$2&gt;$AP$47,VLOOKUP($E34*$AN$2,$AP$3:$BT$47,21),VLOOKUP($E34*$AN$2,$AP$3:$BT$47,21)+((VLOOKUP($E34*$AN$2,$AN$4:$BT$48,23)-VLOOKUP($E34*$AN$2,$AP$3:$BT$47,21))*($E34*$AN$2-VLOOKUP($E34*$AN$2,$AP$3:$BT$47,1))/(VLOOKUP($E34*$AN$2,$AN$4:$BT$48,3)-VLOOKUP($E34*$AN$2,$AP$3:$BT$47,1))))),0)</f>
        <v>0.8675081856725112</v>
      </c>
      <c r="AA33" s="50">
        <f>IF($F28&gt;$F34,(IF($F28*$AN$2&gt;$AP$47,VLOOKUP($F28*$AN$2,$AP$3:$BT$47,22),VLOOKUP($F28*$AN$2,$AP$3:$BT$47,22)+((VLOOKUP($F28*$AN$2,$AN$4:$BT$48,24)-VLOOKUP($F28*$AN$2,$AP$3:$BT$47,22))*($F28*$AN$2-VLOOKUP($F28*$AN$2,$AP$3:$BT$47,1))/(VLOOKUP($F28*$AN$2,$AN$4:$BT$48,3)-VLOOKUP($F28*$AN$2,$AP$3:$BT$47,1)))))-(IF($F34*$AN$2&gt;$AP$47,VLOOKUP($F34*$AN$2,$AP$3:$BT$47,22),VLOOKUP($F34*$AN$2,$AP$3:$BT$47,22)+((VLOOKUP($F34*$AN$2,$AN$4:$BT$48,24)-VLOOKUP($F34*$AN$2,$AP$3:$BT$47,22))*($F34*$AN$2-VLOOKUP($F34*$AN$2,$AP$3:$BT$47,1))/(VLOOKUP($F34*$AN$2,$AN$4:$BT$48,3)-VLOOKUP($F34*$AN$2,$AP$3:$BT$47,1))))),0)</f>
        <v>0.1295916477753838</v>
      </c>
      <c r="AB33" s="51">
        <f>IF($G28&gt;$G34,(IF($G28*$AN$2&gt;$AP$47,VLOOKUP($G28*$AN$2,$AP$3:$BT$47,23),VLOOKUP($G28*$AN$2,$AP$3:$BT$47,23)+((VLOOKUP($G28*$AN$2,$AN$4:$BT$48,25)-VLOOKUP($G28*$AN$2,$AP$3:$BT$47,23))*($G28*$AN$2-VLOOKUP($G28*$AN$2,$AP$3:$BT$47,1))/(VLOOKUP($G28*$AN$2,$AN$4:$BT$48,3)-VLOOKUP($G28*$AN$2,$AP$3:$BT$47,1)))))-(IF($G34*$AN$2&gt;$AP$47,VLOOKUP($G34*$AN$2,$AP$3:$BT$47,23),VLOOKUP($G34*$AN$2,$AP$3:$BT$47,23)+((VLOOKUP($G34*$AN$2,$AN$4:$BT$48,25)-VLOOKUP($G34*$AN$2,$AP$3:$BT$47,23))*($G34*$AN$2-VLOOKUP($G34*$AN$2,$AP$3:$BT$47,1))/(VLOOKUP($G34*$AN$2,$AN$4:$BT$48,3)-VLOOKUP($G34*$AN$2,$AP$3:$BT$47,1))))),0)</f>
        <v>0</v>
      </c>
      <c r="AC33" s="80">
        <v>0</v>
      </c>
      <c r="AD33" s="50">
        <f>IF($D28&gt;$D34,(IF($D28*$AN$2&gt;$AP$47,VLOOKUP($D28*$AN$2,$AP$3:$BT$47,24),VLOOKUP($D28*$AN$2,$AP$3:$BT$47,24)+((VLOOKUP($D28*$AN$2,$AN$4:$BT$48,26)-VLOOKUP($D28*$AN$2,$AP$3:$BT$47,24))*($D28*$AN$2-VLOOKUP($D28*$AN$2,$AP$3:$BT$47,1))/(VLOOKUP($D28*$AN$2,$AN$4:$BT$48,3)-VLOOKUP($D28*$AN$2,$AP$3:$BT$47,1)))))-(IF($D34*$AN$2&gt;$AP$47,VLOOKUP($D34*$AN$2,$AP$3:$BT$47,24),VLOOKUP($D34*$AN$2,$AP$3:$BT$47,24)+((VLOOKUP($D34*$AN$2,$AN$4:$BT$48,26)-VLOOKUP($D34*$AN$2,$AP$3:$BT$47,24))*($D34*$AN$2-VLOOKUP($D34*$AN$2,$AP$3:$BT$47,1))/(VLOOKUP($D34*$AN$2,$AN$4:$BT$48,3)-VLOOKUP($D34*$AN$2,$AP$3:$BT$47,1))))),0)</f>
        <v>0</v>
      </c>
      <c r="AE33" s="50">
        <f>IF($E28&gt;$E34,(IF($E28*$AN$2&gt;$AP$47,VLOOKUP($E28*$AN$2,$AP$3:$BT$47,25),VLOOKUP($E28*$AN$2,$AP$3:$BT$47,25)+((VLOOKUP($E28*$AN$2,$AN$4:$BT$48,27)-VLOOKUP($E28*$AN$2,$AP$3:$BT$47,25))*($E28*$AN$2-VLOOKUP($E28*$AN$2,$AP$3:$BT$47,1))/(VLOOKUP($E28*$AN$2,$AN$4:$BT$48,3)-VLOOKUP($E28*$AN$2,$AP$3:$BT$47,1)))))-(IF($E34*$AN$2&gt;$AP$47,VLOOKUP($E34*$AN$2,$AP$3:$BT$47,25),VLOOKUP($E34*$AN$2,$AP$3:$BT$47,25)+((VLOOKUP($E34*$AN$2,$AN$4:$BT$48,27)-VLOOKUP($E34*$AN$2,$AP$3:$BT$47,25))*($E34*$AN$2-VLOOKUP($E34*$AN$2,$AP$3:$BT$47,1))/(VLOOKUP($E34*$AN$2,$AN$4:$BT$48,3)-VLOOKUP($E34*$AN$2,$AP$3:$BT$47,1))))),0)</f>
        <v>0.9512622891273415</v>
      </c>
      <c r="AF33" s="50">
        <f>IF($F28&gt;$F34,(IF($F28*$AN$2&gt;$AP$47,VLOOKUP($F28*$AN$2,$AP$3:$BT$47,26),VLOOKUP($F28*$AN$2,$AP$3:$BT$47,26)+((VLOOKUP($F28*$AN$2,$AN$4:$BT$48,28)-VLOOKUP($F28*$AN$2,$AP$3:$BT$47,26))*($F28*$AN$2-VLOOKUP($F28*$AN$2,$AP$3:$BT$47,1))/(VLOOKUP($F28*$AN$2,$AN$4:$BT$48,3)-VLOOKUP($F28*$AN$2,$AP$3:$BT$47,1)))))-(IF($F34*$AN$2&gt;$AP$47,VLOOKUP($F34*$AN$2,$AP$3:$BT$47,26),VLOOKUP($F34*$AN$2,$AP$3:$BT$47,26)+((VLOOKUP($F34*$AN$2,$AN$4:$BT$48,28)-VLOOKUP($F34*$AN$2,$AP$3:$BT$47,26))*($F34*$AN$2-VLOOKUP($F34*$AN$2,$AP$3:$BT$47,1))/(VLOOKUP($F34*$AN$2,$AN$4:$BT$48,3)-VLOOKUP($F34*$AN$2,$AP$3:$BT$47,1))))),0)</f>
        <v>0.2239373640039648</v>
      </c>
      <c r="AG33" s="51">
        <f>IF($G28&gt;$G34,(IF($G28*$AN$2&gt;$AP$47,VLOOKUP($G28*$AN$2,$AP$3:$BT$47,27),VLOOKUP($G28*$AN$2,$AP$3:$BT$47,27)+((VLOOKUP($G28*$AN$2,$AN$4:$BT$48,29)-VLOOKUP($G28*$AN$2,$AP$3:$BT$47,27))*($G28*$AN$2-VLOOKUP($G28*$AN$2,$AP$3:$BT$47,1))/(VLOOKUP($G28*$AN$2,$AN$4:$BT$48,3)-VLOOKUP($G28*$AN$2,$AP$3:$BT$47,1)))))-(IF($G34*$AN$2&gt;$AP$47,VLOOKUP($G34*$AN$2,$AP$3:$BT$47,27),VLOOKUP($G34*$AN$2,$AP$3:$BT$47,27)+((VLOOKUP($G34*$AN$2,$AN$4:$BT$48,29)-VLOOKUP($G34*$AN$2,$AP$3:$BT$47,27))*($G34*$AN$2-VLOOKUP($G34*$AN$2,$AP$3:$BT$47,1))/(VLOOKUP($G34*$AN$2,$AN$4:$BT$48,3)-VLOOKUP($G34*$AN$2,$AP$3:$BT$47,1))))),0)</f>
        <v>0</v>
      </c>
      <c r="AH33" s="59">
        <v>0</v>
      </c>
      <c r="AI33" s="50">
        <f>IF($D28&gt;$D34,(IF($D28*$AN$2&gt;$AP$47,VLOOKUP($D28*$AN$2,$AP$3:$BT$47,28),VLOOKUP($D28*$AN$2,$AP$3:$BT$47,28)+((VLOOKUP($D28*$AN$2,$AN$4:$BT$48,30)-VLOOKUP($D28*$AN$2,$AP$3:$BT$47,28))*($D28*$AN$2-VLOOKUP($D28*$AN$2,$AP$3:$BT$47,1))/(VLOOKUP($D28*$AN$2,$AN$4:$BT$48,3)-VLOOKUP($D28*$AN$2,$AP$3:$BT$47,1)))))-(IF($D34*$AN$2&gt;$AP$47,VLOOKUP($D34*$AN$2,$AP$3:$BT$47,28),VLOOKUP($D34*$AN$2,$AP$3:$BT$47,28)+((VLOOKUP($D34*$AN$2,$AN$4:$BT$48,30)-VLOOKUP($D34*$AN$2,$AP$3:$BT$47,28))*($D34*$AN$2-VLOOKUP($D34*$AN$2,$AP$3:$BT$47,1))/(VLOOKUP($D34*$AN$2,$AN$4:$BT$48,3)-VLOOKUP($D34*$AN$2,$AP$3:$BT$47,1))))),0)</f>
        <v>0</v>
      </c>
      <c r="AJ33" s="50">
        <f>IF($E28&gt;$E34,(IF($E28*$AN$2&gt;$AP$47,VLOOKUP($E28*$AN$2,$AP$3:$BT$47,29),VLOOKUP($E28*$AN$2,$AP$3:$BT$47,29)+((VLOOKUP($E28*$AN$2,$AN$4:$BT$48,31)-VLOOKUP($E28*$AN$2,$AP$3:$BT$47,29))*($E28*$AN$2-VLOOKUP($E28*$AN$2,$AP$3:$BT$47,1))/(VLOOKUP($E28*$AN$2,$AN$4:$BT$48,3)-VLOOKUP($E28*$AN$2,$AP$3:$BT$47,1)))))-(IF($E34*$AN$2&gt;$AP$47,VLOOKUP($E34*$AN$2,$AP$3:$BT$47,29),VLOOKUP($E34*$AN$2,$AP$3:$BT$47,29)+((VLOOKUP($E34*$AN$2,$AN$4:$BT$48,31)-VLOOKUP($E34*$AN$2,$AP$3:$BT$47,29))*($E34*$AN$2-VLOOKUP($E34*$AN$2,$AP$3:$BT$47,1))/(VLOOKUP($E34*$AN$2,$AN$4:$BT$48,3)-VLOOKUP($E34*$AN$2,$AP$3:$BT$47,1))))),0)</f>
        <v>1.0231024918944658</v>
      </c>
      <c r="AK33" s="50">
        <f>IF($F28&gt;$F34,(IF($F28*$AN$2&gt;$AP$47,VLOOKUP($F28*$AN$2,$AP$3:$BT$47,30),VLOOKUP($F28*$AN$2,$AP$3:$BT$47,30)+((VLOOKUP($F28*$AN$2,$AN$4:$BT$48,32)-VLOOKUP($F28*$AN$2,$AP$3:$BT$47,30))*($F28*$AN$2-VLOOKUP($F28*$AN$2,$AP$3:$BT$47,1))/(VLOOKUP($F28*$AN$2,$AN$4:$BT$48,3)-VLOOKUP($F28*$AN$2,$AP$3:$BT$47,1)))))-(IF($F34*$AN$2&gt;$AP$47,VLOOKUP($F34*$AN$2,$AP$3:$BT$47,30),VLOOKUP($F34*$AN$2,$AP$3:$BT$47,30)+((VLOOKUP($F34*$AN$2,$AN$4:$BT$48,32)-VLOOKUP($F34*$AN$2,$AP$3:$BT$47,30))*($F34*$AN$2-VLOOKUP($F34*$AN$2,$AP$3:$BT$47,1))/(VLOOKUP($F34*$AN$2,$AN$4:$BT$48,3)-VLOOKUP($F34*$AN$2,$AP$3:$BT$47,1))))),0)</f>
        <v>0.4615058934270291</v>
      </c>
      <c r="AL33" s="51">
        <f>IF($G28&gt;$G34,(IF($G28*$AN$2&gt;$AP$47,VLOOKUP($G28*$AN$2,$AP$3:$BT$47,31),VLOOKUP($G28*$AN$2,$AP$3:$BT$47,31)+((VLOOKUP($G28*$AN$2,$AN$4:$BT$48,33)-VLOOKUP($G28*$AN$2,$AP$3:$BT$47,31))*($G28*$AN$2-VLOOKUP($G28*$AN$2,$AP$3:$BT$47,1))/(VLOOKUP($G28*$AN$2,$AN$4:$BT$48,3)-VLOOKUP($G28*$AN$2,$AP$3:$BT$47,1)))))-(IF($G34*$AN$2&gt;$AP$47,VLOOKUP($G34*$AN$2,$AP$3:$BT$47,31),VLOOKUP($G34*$AN$2,$AP$3:$BT$47,31)+((VLOOKUP($G34*$AN$2,$AN$4:$BT$48,33)-VLOOKUP($G34*$AN$2,$AP$3:$BT$47,31))*($G34*$AN$2-VLOOKUP($G34*$AN$2,$AP$3:$BT$47,1))/(VLOOKUP($G34*$AN$2,$AN$4:$BT$48,3)-VLOOKUP($G34*$AN$2,$AP$3:$BT$47,1))))),0)</f>
        <v>0</v>
      </c>
      <c r="AN33" s="23">
        <v>870</v>
      </c>
      <c r="AO33" s="25">
        <f t="shared" si="0"/>
        <v>274.30661383724475</v>
      </c>
      <c r="AP33" s="23">
        <v>900</v>
      </c>
      <c r="AQ33" s="31">
        <v>1</v>
      </c>
      <c r="AR33" s="31">
        <v>1</v>
      </c>
      <c r="AS33" s="24">
        <v>0.999960751540577</v>
      </c>
      <c r="AT33" s="24">
        <v>0.9945430850196546</v>
      </c>
      <c r="AU33" s="26">
        <v>0.9837077519778096</v>
      </c>
      <c r="AV33" s="92"/>
      <c r="AW33" s="31"/>
      <c r="AX33" s="31"/>
      <c r="AY33" s="31"/>
      <c r="AZ33" s="93"/>
      <c r="BA33" s="101">
        <v>0.21415810000000002</v>
      </c>
      <c r="BB33" s="102">
        <v>0.8139648</v>
      </c>
      <c r="BC33" s="102">
        <v>0.8366087999999998</v>
      </c>
      <c r="BD33" s="103">
        <v>1.0519543999999998</v>
      </c>
      <c r="BE33" s="102">
        <v>0.21962019999999996</v>
      </c>
      <c r="BF33" s="102">
        <v>0.8576615999999998</v>
      </c>
      <c r="BG33" s="102">
        <v>0.8907095999999999</v>
      </c>
      <c r="BH33" s="103">
        <v>1.0790048</v>
      </c>
      <c r="BI33" s="102">
        <v>0.24360604190423585</v>
      </c>
      <c r="BJ33" s="102">
        <v>1.0495836313734452</v>
      </c>
      <c r="BK33" s="102">
        <v>1.1283340707832037</v>
      </c>
      <c r="BL33" s="103">
        <v>1.1977921656052888</v>
      </c>
      <c r="BM33" s="53">
        <v>0.30859941436101807</v>
      </c>
      <c r="BN33" s="53">
        <v>1.3019973675430863</v>
      </c>
      <c r="BO33" s="53">
        <v>1.3990413866676596</v>
      </c>
      <c r="BP33" s="54">
        <v>1.4898840829989497</v>
      </c>
      <c r="BQ33" s="52">
        <v>0.4368349386995375</v>
      </c>
      <c r="BR33" s="53">
        <v>1.8011282437913037</v>
      </c>
      <c r="BS33" s="53">
        <v>1.9345561795952868</v>
      </c>
      <c r="BT33" s="54">
        <v>2.065784536431264</v>
      </c>
      <c r="BU33" s="99"/>
      <c r="BV33" s="99"/>
      <c r="BW33" s="99"/>
      <c r="BX33" s="99"/>
      <c r="BY33" s="99"/>
      <c r="BZ33" s="99"/>
      <c r="CA33" s="78"/>
      <c r="CB33" s="78"/>
      <c r="CC33" s="78"/>
      <c r="CD33" s="78"/>
      <c r="CE33" s="78"/>
      <c r="CF33" s="78"/>
      <c r="CG33" s="78"/>
      <c r="CH33" s="78"/>
      <c r="CI33" s="78"/>
      <c r="CJ33" s="78"/>
      <c r="CK33" s="78"/>
      <c r="CL33" s="78"/>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78"/>
      <c r="EB33" s="78"/>
      <c r="EC33" s="78"/>
    </row>
    <row r="34" spans="1:133" ht="12.75">
      <c r="A34" s="72"/>
      <c r="B34" s="4"/>
      <c r="C34" s="48">
        <v>0</v>
      </c>
      <c r="D34" s="48">
        <f>MAX(C26:C28,D26:G27)</f>
        <v>0</v>
      </c>
      <c r="E34" s="48">
        <f>MAX(C26:D28,E26:G27)</f>
        <v>0</v>
      </c>
      <c r="F34" s="48">
        <f>MAX(C26:E28,F26:G27)</f>
        <v>100</v>
      </c>
      <c r="G34" s="48">
        <f>MAX(C26:F28,G26:G27)</f>
        <v>150</v>
      </c>
      <c r="H34" s="4"/>
      <c r="I34" s="4"/>
      <c r="J34" s="4"/>
      <c r="K34" s="4"/>
      <c r="L34" s="46"/>
      <c r="M34" s="4"/>
      <c r="N34" s="80">
        <v>0</v>
      </c>
      <c r="O34" s="50">
        <f>IF($D29&gt;$D35,(IF($D29*$AN$2&gt;$AP$47,VLOOKUP($D29*$AN$2,$AP$3:$BT$47,12),VLOOKUP($D29*$AN$2,$AP$3:$BT$47,12)+((VLOOKUP($D29*$AN$2,$AN$4:$BT$48,14)-VLOOKUP($D29*$AN$2,$AP$3:$BT$47,12))*($D29*$AN$2-VLOOKUP($D29*$AN$2,$AP$3:$BT$47,1))/(VLOOKUP($D29*$AN$2,$AN$4:$BT$48,3)-VLOOKUP($D29*$AN$2,$AP$3:$BT$47,1)))))-(IF($D35*$AN$2&gt;$AP$47,VLOOKUP($D35*$AN$2,$AP$3:$BT$47,12),VLOOKUP($D35*$AN$2,$AP$3:$BT$47,12)+((VLOOKUP($D35*$AN$2,$AN$4:$BT$48,14)-VLOOKUP($D35*$AN$2,$AP$3:$BT$47,12))*($D35*$AN$2-VLOOKUP($D35*$AN$2,$AP$3:$BT$47,1))/(VLOOKUP($D35*$AN$2,$AN$4:$BT$48,3)-VLOOKUP($D35*$AN$2,$AP$3:$BT$47,1))))),0)</f>
        <v>0</v>
      </c>
      <c r="P34" s="50">
        <f>IF($E29&gt;$E35,(IF($E29*$AN$2&gt;$AP$47,VLOOKUP($E29*$AN$2,$AP$3:$BT$47,13),VLOOKUP($E29*$AN$2,$AP$3:$BT$47,13)+((VLOOKUP($E29*$AN$2,$AN$4:$BT$48,15)-VLOOKUP($E29*$AN$2,$AP$3:$BT$47,13))*($E29*$AN$2-VLOOKUP($E29*$AN$2,$AP$3:$BT$47,1))/(VLOOKUP($E29*$AN$2,$AN$4:$BT$48,3)-VLOOKUP($E29*$AN$2,$AP$3:$BT$47,1)))))-(IF($E35*$AN$2&gt;$AP$47,VLOOKUP($E35*$AN$2,$AP$3:$BT$47,13),VLOOKUP($E35*$AN$2,$AP$3:$BT$47,13)+((VLOOKUP($E35*$AN$2,$AN$4:$BT$48,15)-VLOOKUP($E35*$AN$2,$AP$3:$BT$47,13))*($E35*$AN$2-VLOOKUP($E35*$AN$2,$AP$3:$BT$47,1))/(VLOOKUP($E35*$AN$2,$AN$4:$BT$48,3)-VLOOKUP($E35*$AN$2,$AP$3:$BT$47,1))))),0)</f>
        <v>0</v>
      </c>
      <c r="Q34" s="50">
        <f>IF($F29&gt;$F35,(IF($F29*$AN$2&gt;$AP$47,VLOOKUP($F29*$AN$2,$AP$3:$BT$47,14),VLOOKUP($F29*$AN$2,$AP$3:$BT$47,14)+((VLOOKUP($F29*$AN$2,$AN$4:$BT$48,16)-VLOOKUP($F29*$AN$2,$AP$3:$BT$47,14))*($F29*$AN$2-VLOOKUP($F29*$AN$2,$AP$3:$BT$47,1))/(VLOOKUP($F29*$AN$2,$AN$4:$BT$48,3)-VLOOKUP($F29*$AN$2,$AP$3:$BT$47,1)))))-(IF($F35*$AN$2&gt;$AP$47,VLOOKUP($F35*$AN$2,$AP$3:$BT$47,14),VLOOKUP($F35*$AN$2,$AP$3:$BT$47,14)+((VLOOKUP($F35*$AN$2,$AN$4:$BT$48,16)-VLOOKUP($F35*$AN$2,$AP$3:$BT$47,14))*($F35*$AN$2-VLOOKUP($F35*$AN$2,$AP$3:$BT$47,1))/(VLOOKUP($F35*$AN$2,$AN$4:$BT$48,3)-VLOOKUP($F35*$AN$2,$AP$3:$BT$47,1))))),0)</f>
        <v>0</v>
      </c>
      <c r="R34" s="51">
        <f>IF($G29&gt;$G35,(IF($G29*$AN$2&gt;$AP$47,VLOOKUP($G29*$AN$2,$AP$3:$BT$47,15),VLOOKUP($G29*$AN$2,$AP$3:$BT$47,15)+((VLOOKUP($G29*$AN$2,$AN$4:$BT$48,17)-VLOOKUP($G29*$AN$2,$AP$3:$BT$47,15))*($G29*$AN$2-VLOOKUP($G29*$AN$2,$AP$3:$BT$47,1))/(VLOOKUP($G29*$AN$2,$AN$4:$BT$48,3)-VLOOKUP($G29*$AN$2,$AP$3:$BT$47,1)))))-(IF($G35*$AN$2&gt;$AP$47,VLOOKUP($G35*$AN$2,$AP$3:$BT$47,15),VLOOKUP($G35*$AN$2,$AP$3:$BT$47,15)+((VLOOKUP($G35*$AN$2,$AN$4:$BT$48,17)-VLOOKUP($G35*$AN$2,$AP$3:$BT$47,15))*($G35*$AN$2-VLOOKUP($G35*$AN$2,$AP$3:$BT$47,1))/(VLOOKUP($G35*$AN$2,$AN$4:$BT$48,3)-VLOOKUP($G35*$AN$2,$AP$3:$BT$47,1))))),0)</f>
        <v>0</v>
      </c>
      <c r="S34" s="59">
        <v>0</v>
      </c>
      <c r="T34" s="50">
        <f>IF($D29&gt;$D35,(IF($D29*$AN$2&gt;$AP$47,VLOOKUP($D29*$AN$2,$AP$3:$BT$47,16),VLOOKUP($D29*$AN$2,$AP$3:$BT$47,16)+((VLOOKUP($D29*$AN$2,$AN$4:$BT$48,18)-VLOOKUP($D29*$AN$2,$AP$3:$BT$47,16))*($D29*$AN$2-VLOOKUP($D29*$AN$2,$AP$3:$BT$47,1))/(VLOOKUP($D29*$AN$2,$AN$4:$BT$48,3)-VLOOKUP($D29*$AN$2,$AP$3:$BT$47,1)))))-(IF($D35*$AN$2&gt;$AP$47,VLOOKUP($D35*$AN$2,$AP$3:$BT$47,16),VLOOKUP($D35*$AN$2,$AP$3:$BT$47,16)+((VLOOKUP($D35*$AN$2,$AN$4:$BT$48,18)-VLOOKUP($D35*$AN$2,$AP$3:$BT$47,16))*($D35*$AN$2-VLOOKUP($D35*$AN$2,$AP$3:$BT$47,1))/(VLOOKUP($D35*$AN$2,$AN$4:$BT$48,3)-VLOOKUP($D35*$AN$2,$AP$3:$BT$47,1))))),0)</f>
        <v>0</v>
      </c>
      <c r="U34" s="50">
        <f>IF($E29&gt;$E35,(IF($E29*$AN$2&gt;$AP$47,VLOOKUP($E29*$AN$2,$AP$3:$BT$47,17),VLOOKUP($E29*$AN$2,$AP$3:$BT$47,17)+((VLOOKUP($E29*$AN$2,$AN$4:$BT$48,19)-VLOOKUP($E29*$AN$2,$AP$3:$BT$47,17))*($E29*$AN$2-VLOOKUP($E29*$AN$2,$AP$3:$BT$47,1))/(VLOOKUP($E29*$AN$2,$AN$4:$BT$48,3)-VLOOKUP($E29*$AN$2,$AP$3:$BT$47,1)))))-(IF($E35*$AN$2&gt;$AP$47,VLOOKUP($E35*$AN$2,$AP$3:$BT$47,17),VLOOKUP($E35*$AN$2,$AP$3:$BT$47,17)+((VLOOKUP($E35*$AN$2,$AN$4:$BT$48,19)-VLOOKUP($E35*$AN$2,$AP$3:$BT$47,17))*($E35*$AN$2-VLOOKUP($E35*$AN$2,$AP$3:$BT$47,1))/(VLOOKUP($E35*$AN$2,$AN$4:$BT$48,3)-VLOOKUP($E35*$AN$2,$AP$3:$BT$47,1))))),0)</f>
        <v>0</v>
      </c>
      <c r="V34" s="50">
        <f>IF($F29&gt;$F35,(IF($F29*$AN$2&gt;$AP$47,VLOOKUP($F29*$AN$2,$AP$3:$BT$47,18),VLOOKUP($F29*$AN$2,$AP$3:$BT$47,18)+((VLOOKUP($F29*$AN$2,$AN$4:$BT$48,20)-VLOOKUP($F29*$AN$2,$AP$3:$BT$47,18))*($F29*$AN$2-VLOOKUP($F29*$AN$2,$AP$3:$BT$47,1))/(VLOOKUP($F29*$AN$2,$AN$4:$BT$48,3)-VLOOKUP($F29*$AN$2,$AP$3:$BT$47,1)))))-(IF($F35*$AN$2&gt;$AP$47,VLOOKUP($F35*$AN$2,$AP$3:$BT$47,18),VLOOKUP($F35*$AN$2,$AP$3:$BT$47,18)+((VLOOKUP($F35*$AN$2,$AN$4:$BT$48,20)-VLOOKUP($F35*$AN$2,$AP$3:$BT$47,18))*($F35*$AN$2-VLOOKUP($F35*$AN$2,$AP$3:$BT$47,1))/(VLOOKUP($F35*$AN$2,$AN$4:$BT$48,3)-VLOOKUP($F35*$AN$2,$AP$3:$BT$47,1))))),0)</f>
        <v>0</v>
      </c>
      <c r="W34" s="51">
        <f>IF($G29&gt;$G35,(IF($G29*$AN$2&gt;$AP$47,VLOOKUP($G29*$AN$2,$AP$3:$BT$47,19),VLOOKUP($G29*$AN$2,$AP$3:$BT$47,19)+((VLOOKUP($G29*$AN$2,$AN$4:$BT$48,21)-VLOOKUP($G29*$AN$2,$AP$3:$BT$47,19))*($G29*$AN$2-VLOOKUP($G29*$AN$2,$AP$3:$BT$47,1))/(VLOOKUP($G29*$AN$2,$AN$4:$BT$48,3)-VLOOKUP($G29*$AN$2,$AP$3:$BT$47,1)))))-(IF($G35*$AN$2&gt;$AP$47,VLOOKUP($G35*$AN$2,$AP$3:$BT$47,19),VLOOKUP($G35*$AN$2,$AP$3:$BT$47,19)+((VLOOKUP($G35*$AN$2,$AN$4:$BT$48,21)-VLOOKUP($G35*$AN$2,$AP$3:$BT$47,19))*($G35*$AN$2-VLOOKUP($G35*$AN$2,$AP$3:$BT$47,1))/(VLOOKUP($G35*$AN$2,$AN$4:$BT$48,3)-VLOOKUP($G35*$AN$2,$AP$3:$BT$47,1))))),0)</f>
        <v>0</v>
      </c>
      <c r="X34" s="80">
        <v>0</v>
      </c>
      <c r="Y34" s="50">
        <f>IF($D29&gt;$D35,(IF($D29*$AN$2&gt;$AP$47,VLOOKUP($D29*$AN$2,$AP$3:$BT$47,20),VLOOKUP($D29*$AN$2,$AP$3:$BT$47,20)+((VLOOKUP($D29*$AN$2,$AN$4:$BT$48,22)-VLOOKUP($D29*$AN$2,$AP$3:$BT$47,20))*($D29*$AN$2-VLOOKUP($D29*$AN$2,$AP$3:$BT$47,1))/(VLOOKUP($D29*$AN$2,$AN$4:$BT$48,3)-VLOOKUP($D29*$AN$2,$AP$3:$BT$47,1)))))-(IF($D35*$AN$2&gt;$AP$47,VLOOKUP($D35*$AN$2,$AP$3:$BT$47,20),VLOOKUP($D35*$AN$2,$AP$3:$BT$47,20)+((VLOOKUP($D35*$AN$2,$AN$4:$BT$48,22)-VLOOKUP($D35*$AN$2,$AP$3:$BT$47,20))*($D35*$AN$2-VLOOKUP($D35*$AN$2,$AP$3:$BT$47,1))/(VLOOKUP($D35*$AN$2,$AN$4:$BT$48,3)-VLOOKUP($D35*$AN$2,$AP$3:$BT$47,1))))),0)</f>
        <v>0.01241263203037768</v>
      </c>
      <c r="Z34" s="50">
        <f>IF($E29&gt;$E35,(IF($E29*$AN$2&gt;$AP$47,VLOOKUP($E29*$AN$2,$AP$3:$BT$47,21),VLOOKUP($E29*$AN$2,$AP$3:$BT$47,21)+((VLOOKUP($E29*$AN$2,$AN$4:$BT$48,23)-VLOOKUP($E29*$AN$2,$AP$3:$BT$47,21))*($E29*$AN$2-VLOOKUP($E29*$AN$2,$AP$3:$BT$47,1))/(VLOOKUP($E29*$AN$2,$AN$4:$BT$48,3)-VLOOKUP($E29*$AN$2,$AP$3:$BT$47,1)))))-(IF($E35*$AN$2&gt;$AP$47,VLOOKUP($E35*$AN$2,$AP$3:$BT$47,21),VLOOKUP($E35*$AN$2,$AP$3:$BT$47,21)+((VLOOKUP($E35*$AN$2,$AN$4:$BT$48,23)-VLOOKUP($E35*$AN$2,$AP$3:$BT$47,21))*($E35*$AN$2-VLOOKUP($E35*$AN$2,$AP$3:$BT$47,1))/(VLOOKUP($E35*$AN$2,$AN$4:$BT$48,3)-VLOOKUP($E35*$AN$2,$AP$3:$BT$47,1))))),0)</f>
        <v>0</v>
      </c>
      <c r="AA34" s="50">
        <f>IF($F29&gt;$F35,(IF($F29*$AN$2&gt;$AP$47,VLOOKUP($F29*$AN$2,$AP$3:$BT$47,22),VLOOKUP($F29*$AN$2,$AP$3:$BT$47,22)+((VLOOKUP($F29*$AN$2,$AN$4:$BT$48,24)-VLOOKUP($F29*$AN$2,$AP$3:$BT$47,22))*($F29*$AN$2-VLOOKUP($F29*$AN$2,$AP$3:$BT$47,1))/(VLOOKUP($F29*$AN$2,$AN$4:$BT$48,3)-VLOOKUP($F29*$AN$2,$AP$3:$BT$47,1)))))-(IF($F35*$AN$2&gt;$AP$47,VLOOKUP($F35*$AN$2,$AP$3:$BT$47,22),VLOOKUP($F35*$AN$2,$AP$3:$BT$47,22)+((VLOOKUP($F35*$AN$2,$AN$4:$BT$48,24)-VLOOKUP($F35*$AN$2,$AP$3:$BT$47,22))*($F35*$AN$2-VLOOKUP($F35*$AN$2,$AP$3:$BT$47,1))/(VLOOKUP($F35*$AN$2,$AN$4:$BT$48,3)-VLOOKUP($F35*$AN$2,$AP$3:$BT$47,1))))),0)</f>
        <v>0</v>
      </c>
      <c r="AB34" s="51">
        <f>IF($G29&gt;$G35,(IF($G29*$AN$2&gt;$AP$47,VLOOKUP($G29*$AN$2,$AP$3:$BT$47,23),VLOOKUP($G29*$AN$2,$AP$3:$BT$47,23)+((VLOOKUP($G29*$AN$2,$AN$4:$BT$48,25)-VLOOKUP($G29*$AN$2,$AP$3:$BT$47,23))*($G29*$AN$2-VLOOKUP($G29*$AN$2,$AP$3:$BT$47,1))/(VLOOKUP($G29*$AN$2,$AN$4:$BT$48,3)-VLOOKUP($G29*$AN$2,$AP$3:$BT$47,1)))))-(IF($G35*$AN$2&gt;$AP$47,VLOOKUP($G35*$AN$2,$AP$3:$BT$47,23),VLOOKUP($G35*$AN$2,$AP$3:$BT$47,23)+((VLOOKUP($G35*$AN$2,$AN$4:$BT$48,25)-VLOOKUP($G35*$AN$2,$AP$3:$BT$47,23))*($G35*$AN$2-VLOOKUP($G35*$AN$2,$AP$3:$BT$47,1))/(VLOOKUP($G35*$AN$2,$AN$4:$BT$48,3)-VLOOKUP($G35*$AN$2,$AP$3:$BT$47,1))))),0)</f>
        <v>0</v>
      </c>
      <c r="AC34" s="80">
        <v>0</v>
      </c>
      <c r="AD34" s="50">
        <f>IF($D29&gt;$D35,(IF($D29*$AN$2&gt;$AP$47,VLOOKUP($D29*$AN$2,$AP$3:$BT$47,24),VLOOKUP($D29*$AN$2,$AP$3:$BT$47,24)+((VLOOKUP($D29*$AN$2,$AN$4:$BT$48,26)-VLOOKUP($D29*$AN$2,$AP$3:$BT$47,24))*($D29*$AN$2-VLOOKUP($D29*$AN$2,$AP$3:$BT$47,1))/(VLOOKUP($D29*$AN$2,$AN$4:$BT$48,3)-VLOOKUP($D29*$AN$2,$AP$3:$BT$47,1)))))-(IF($D35*$AN$2&gt;$AP$47,VLOOKUP($D35*$AN$2,$AP$3:$BT$47,24),VLOOKUP($D35*$AN$2,$AP$3:$BT$47,24)+((VLOOKUP($D35*$AN$2,$AN$4:$BT$48,26)-VLOOKUP($D35*$AN$2,$AP$3:$BT$47,24))*($D35*$AN$2-VLOOKUP($D35*$AN$2,$AP$3:$BT$47,1))/(VLOOKUP($D35*$AN$2,$AN$4:$BT$48,3)-VLOOKUP($D35*$AN$2,$AP$3:$BT$47,1))))),0)</f>
        <v>0.03207087321706181</v>
      </c>
      <c r="AE34" s="50">
        <f>IF($E29&gt;$E35,(IF($E29*$AN$2&gt;$AP$47,VLOOKUP($E29*$AN$2,$AP$3:$BT$47,25),VLOOKUP($E29*$AN$2,$AP$3:$BT$47,25)+((VLOOKUP($E29*$AN$2,$AN$4:$BT$48,27)-VLOOKUP($E29*$AN$2,$AP$3:$BT$47,25))*($E29*$AN$2-VLOOKUP($E29*$AN$2,$AP$3:$BT$47,1))/(VLOOKUP($E29*$AN$2,$AN$4:$BT$48,3)-VLOOKUP($E29*$AN$2,$AP$3:$BT$47,1)))))-(IF($E35*$AN$2&gt;$AP$47,VLOOKUP($E35*$AN$2,$AP$3:$BT$47,25),VLOOKUP($E35*$AN$2,$AP$3:$BT$47,25)+((VLOOKUP($E35*$AN$2,$AN$4:$BT$48,27)-VLOOKUP($E35*$AN$2,$AP$3:$BT$47,25))*($E35*$AN$2-VLOOKUP($E35*$AN$2,$AP$3:$BT$47,1))/(VLOOKUP($E35*$AN$2,$AN$4:$BT$48,3)-VLOOKUP($E35*$AN$2,$AP$3:$BT$47,1))))),0)</f>
        <v>0</v>
      </c>
      <c r="AF34" s="50">
        <f>IF($F29&gt;$F35,(IF($F29*$AN$2&gt;$AP$47,VLOOKUP($F29*$AN$2,$AP$3:$BT$47,26),VLOOKUP($F29*$AN$2,$AP$3:$BT$47,26)+((VLOOKUP($F29*$AN$2,$AN$4:$BT$48,28)-VLOOKUP($F29*$AN$2,$AP$3:$BT$47,26))*($F29*$AN$2-VLOOKUP($F29*$AN$2,$AP$3:$BT$47,1))/(VLOOKUP($F29*$AN$2,$AN$4:$BT$48,3)-VLOOKUP($F29*$AN$2,$AP$3:$BT$47,1)))))-(IF($F35*$AN$2&gt;$AP$47,VLOOKUP($F35*$AN$2,$AP$3:$BT$47,26),VLOOKUP($F35*$AN$2,$AP$3:$BT$47,26)+((VLOOKUP($F35*$AN$2,$AN$4:$BT$48,28)-VLOOKUP($F35*$AN$2,$AP$3:$BT$47,26))*($F35*$AN$2-VLOOKUP($F35*$AN$2,$AP$3:$BT$47,1))/(VLOOKUP($F35*$AN$2,$AN$4:$BT$48,3)-VLOOKUP($F35*$AN$2,$AP$3:$BT$47,1))))),0)</f>
        <v>0</v>
      </c>
      <c r="AG34" s="51">
        <f>IF($G29&gt;$G35,(IF($G29*$AN$2&gt;$AP$47,VLOOKUP($G29*$AN$2,$AP$3:$BT$47,27),VLOOKUP($G29*$AN$2,$AP$3:$BT$47,27)+((VLOOKUP($G29*$AN$2,$AN$4:$BT$48,29)-VLOOKUP($G29*$AN$2,$AP$3:$BT$47,27))*($G29*$AN$2-VLOOKUP($G29*$AN$2,$AP$3:$BT$47,1))/(VLOOKUP($G29*$AN$2,$AN$4:$BT$48,3)-VLOOKUP($G29*$AN$2,$AP$3:$BT$47,1)))))-(IF($G35*$AN$2&gt;$AP$47,VLOOKUP($G35*$AN$2,$AP$3:$BT$47,27),VLOOKUP($G35*$AN$2,$AP$3:$BT$47,27)+((VLOOKUP($G35*$AN$2,$AN$4:$BT$48,29)-VLOOKUP($G35*$AN$2,$AP$3:$BT$47,27))*($G35*$AN$2-VLOOKUP($G35*$AN$2,$AP$3:$BT$47,1))/(VLOOKUP($G35*$AN$2,$AN$4:$BT$48,3)-VLOOKUP($G35*$AN$2,$AP$3:$BT$47,1))))),0)</f>
        <v>0</v>
      </c>
      <c r="AH34" s="59">
        <v>0</v>
      </c>
      <c r="AI34" s="50">
        <f>IF($D29&gt;$D35,(IF($D29*$AN$2&gt;$AP$47,VLOOKUP($D29*$AN$2,$AP$3:$BT$47,28),VLOOKUP($D29*$AN$2,$AP$3:$BT$47,28)+((VLOOKUP($D29*$AN$2,$AN$4:$BT$48,30)-VLOOKUP($D29*$AN$2,$AP$3:$BT$47,28))*($D29*$AN$2-VLOOKUP($D29*$AN$2,$AP$3:$BT$47,1))/(VLOOKUP($D29*$AN$2,$AN$4:$BT$48,3)-VLOOKUP($D29*$AN$2,$AP$3:$BT$47,1)))))-(IF($D35*$AN$2&gt;$AP$47,VLOOKUP($D35*$AN$2,$AP$3:$BT$47,28),VLOOKUP($D35*$AN$2,$AP$3:$BT$47,28)+((VLOOKUP($D35*$AN$2,$AN$4:$BT$48,30)-VLOOKUP($D35*$AN$2,$AP$3:$BT$47,28))*($D35*$AN$2-VLOOKUP($D35*$AN$2,$AP$3:$BT$47,1))/(VLOOKUP($D35*$AN$2,$AN$4:$BT$48,3)-VLOOKUP($D35*$AN$2,$AP$3:$BT$47,1))))),0)</f>
        <v>0.08614470860072926</v>
      </c>
      <c r="AJ34" s="50">
        <f>IF($E29&gt;$E35,(IF($E29*$AN$2&gt;$AP$47,VLOOKUP($E29*$AN$2,$AP$3:$BT$47,29),VLOOKUP($E29*$AN$2,$AP$3:$BT$47,29)+((VLOOKUP($E29*$AN$2,$AN$4:$BT$48,31)-VLOOKUP($E29*$AN$2,$AP$3:$BT$47,29))*($E29*$AN$2-VLOOKUP($E29*$AN$2,$AP$3:$BT$47,1))/(VLOOKUP($E29*$AN$2,$AN$4:$BT$48,3)-VLOOKUP($E29*$AN$2,$AP$3:$BT$47,1)))))-(IF($E35*$AN$2&gt;$AP$47,VLOOKUP($E35*$AN$2,$AP$3:$BT$47,29),VLOOKUP($E35*$AN$2,$AP$3:$BT$47,29)+((VLOOKUP($E35*$AN$2,$AN$4:$BT$48,31)-VLOOKUP($E35*$AN$2,$AP$3:$BT$47,29))*($E35*$AN$2-VLOOKUP($E35*$AN$2,$AP$3:$BT$47,1))/(VLOOKUP($E35*$AN$2,$AN$4:$BT$48,3)-VLOOKUP($E35*$AN$2,$AP$3:$BT$47,1))))),0)</f>
        <v>0</v>
      </c>
      <c r="AK34" s="50">
        <f>IF($F29&gt;$F35,(IF($F29*$AN$2&gt;$AP$47,VLOOKUP($F29*$AN$2,$AP$3:$BT$47,30),VLOOKUP($F29*$AN$2,$AP$3:$BT$47,30)+((VLOOKUP($F29*$AN$2,$AN$4:$BT$48,32)-VLOOKUP($F29*$AN$2,$AP$3:$BT$47,30))*($F29*$AN$2-VLOOKUP($F29*$AN$2,$AP$3:$BT$47,1))/(VLOOKUP($F29*$AN$2,$AN$4:$BT$48,3)-VLOOKUP($F29*$AN$2,$AP$3:$BT$47,1)))))-(IF($F35*$AN$2&gt;$AP$47,VLOOKUP($F35*$AN$2,$AP$3:$BT$47,30),VLOOKUP($F35*$AN$2,$AP$3:$BT$47,30)+((VLOOKUP($F35*$AN$2,$AN$4:$BT$48,32)-VLOOKUP($F35*$AN$2,$AP$3:$BT$47,30))*($F35*$AN$2-VLOOKUP($F35*$AN$2,$AP$3:$BT$47,1))/(VLOOKUP($F35*$AN$2,$AN$4:$BT$48,3)-VLOOKUP($F35*$AN$2,$AP$3:$BT$47,1))))),0)</f>
        <v>0</v>
      </c>
      <c r="AL34" s="51">
        <f>IF($G29&gt;$G35,(IF($G29*$AN$2&gt;$AP$47,VLOOKUP($G29*$AN$2,$AP$3:$BT$47,31),VLOOKUP($G29*$AN$2,$AP$3:$BT$47,31)+((VLOOKUP($G29*$AN$2,$AN$4:$BT$48,33)-VLOOKUP($G29*$AN$2,$AP$3:$BT$47,31))*($G29*$AN$2-VLOOKUP($G29*$AN$2,$AP$3:$BT$47,1))/(VLOOKUP($G29*$AN$2,$AN$4:$BT$48,3)-VLOOKUP($G29*$AN$2,$AP$3:$BT$47,1)))))-(IF($G35*$AN$2&gt;$AP$47,VLOOKUP($G35*$AN$2,$AP$3:$BT$47,31),VLOOKUP($G35*$AN$2,$AP$3:$BT$47,31)+((VLOOKUP($G35*$AN$2,$AN$4:$BT$48,33)-VLOOKUP($G35*$AN$2,$AP$3:$BT$47,31))*($G35*$AN$2-VLOOKUP($G35*$AN$2,$AP$3:$BT$47,1))/(VLOOKUP($G35*$AN$2,$AN$4:$BT$48,3)-VLOOKUP($G35*$AN$2,$AP$3:$BT$47,1))))),0)</f>
        <v>0</v>
      </c>
      <c r="AN34" s="23">
        <v>900</v>
      </c>
      <c r="AO34" s="25">
        <f t="shared" si="0"/>
        <v>283.45016763181957</v>
      </c>
      <c r="AP34" s="23">
        <v>930</v>
      </c>
      <c r="AQ34" s="31">
        <v>1</v>
      </c>
      <c r="AR34" s="31">
        <v>1</v>
      </c>
      <c r="AS34" s="24">
        <v>1</v>
      </c>
      <c r="AT34" s="24">
        <v>0.9958780207234826</v>
      </c>
      <c r="AU34" s="26">
        <v>0.9876340621704477</v>
      </c>
      <c r="AV34" s="92"/>
      <c r="AW34" s="31"/>
      <c r="AX34" s="31"/>
      <c r="AY34" s="31"/>
      <c r="AZ34" s="93"/>
      <c r="BA34" s="101">
        <v>0.21415810000000002</v>
      </c>
      <c r="BB34" s="102">
        <v>0.8139648</v>
      </c>
      <c r="BC34" s="102">
        <v>0.8366087999999998</v>
      </c>
      <c r="BD34" s="103">
        <v>1.0519543999999998</v>
      </c>
      <c r="BE34" s="102">
        <v>0.21962019999999996</v>
      </c>
      <c r="BF34" s="102">
        <v>0.8576615999999998</v>
      </c>
      <c r="BG34" s="102">
        <v>0.8907095999999999</v>
      </c>
      <c r="BH34" s="103">
        <v>1.0790048</v>
      </c>
      <c r="BI34" s="102">
        <v>0.2436216706407781</v>
      </c>
      <c r="BJ34" s="102">
        <v>1.0496733651262242</v>
      </c>
      <c r="BK34" s="102">
        <v>1.1284384520610393</v>
      </c>
      <c r="BL34" s="103">
        <v>1.19786922603052</v>
      </c>
      <c r="BM34" s="53">
        <v>0.3092069435998302</v>
      </c>
      <c r="BN34" s="53">
        <v>1.3052914548858523</v>
      </c>
      <c r="BO34" s="53">
        <v>1.402833939002235</v>
      </c>
      <c r="BP34" s="54">
        <v>1.4928412325700695</v>
      </c>
      <c r="BQ34" s="52">
        <v>0.4390690091991486</v>
      </c>
      <c r="BR34" s="53">
        <v>1.8122412721605465</v>
      </c>
      <c r="BS34" s="53">
        <v>1.9471360774524993</v>
      </c>
      <c r="BT34" s="54">
        <v>2.0764589959519895</v>
      </c>
      <c r="BU34" s="99"/>
      <c r="BV34" s="99"/>
      <c r="BW34" s="99"/>
      <c r="BX34" s="99"/>
      <c r="BY34" s="99"/>
      <c r="BZ34" s="99"/>
      <c r="CA34" s="78"/>
      <c r="CB34" s="78"/>
      <c r="CC34" s="78"/>
      <c r="CD34" s="78"/>
      <c r="CE34" s="78"/>
      <c r="CF34" s="78"/>
      <c r="CG34" s="78"/>
      <c r="CH34" s="78"/>
      <c r="CI34" s="78"/>
      <c r="CJ34" s="78"/>
      <c r="CK34" s="78"/>
      <c r="CL34" s="78"/>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78"/>
      <c r="EB34" s="78"/>
      <c r="EC34" s="78"/>
    </row>
    <row r="35" spans="1:133" ht="12.75">
      <c r="A35" s="12"/>
      <c r="B35" s="13"/>
      <c r="C35" s="49">
        <v>0</v>
      </c>
      <c r="D35" s="49">
        <f>MAX(C26:C29,D26:G28)</f>
        <v>150</v>
      </c>
      <c r="E35" s="49">
        <f>MAX(C26:D29,E26:G28)</f>
        <v>10000</v>
      </c>
      <c r="F35" s="49">
        <f>MAX(C26:E29,F26:G28)</f>
        <v>10000</v>
      </c>
      <c r="G35" s="49">
        <f>MAX(C26:F29,G26:G28)</f>
        <v>10000</v>
      </c>
      <c r="H35" s="13"/>
      <c r="I35" s="13"/>
      <c r="J35" s="13"/>
      <c r="K35" s="13"/>
      <c r="L35" s="47"/>
      <c r="M35" s="4"/>
      <c r="N35" s="12"/>
      <c r="O35" s="13"/>
      <c r="P35" s="13"/>
      <c r="Q35" s="13"/>
      <c r="R35" s="47"/>
      <c r="S35" s="13"/>
      <c r="T35" s="13"/>
      <c r="U35" s="13"/>
      <c r="V35" s="13"/>
      <c r="W35" s="47"/>
      <c r="X35" s="12"/>
      <c r="Y35" s="13"/>
      <c r="Z35" s="13"/>
      <c r="AA35" s="13"/>
      <c r="AB35" s="47"/>
      <c r="AC35" s="12"/>
      <c r="AD35" s="13"/>
      <c r="AE35" s="13"/>
      <c r="AF35" s="13"/>
      <c r="AG35" s="47"/>
      <c r="AH35" s="13"/>
      <c r="AI35" s="13"/>
      <c r="AJ35" s="13"/>
      <c r="AK35" s="13"/>
      <c r="AL35" s="47"/>
      <c r="AN35" s="23">
        <v>930</v>
      </c>
      <c r="AO35" s="25">
        <f t="shared" si="0"/>
        <v>292.5937214263944</v>
      </c>
      <c r="AP35" s="23">
        <v>960</v>
      </c>
      <c r="AQ35" s="31">
        <v>1</v>
      </c>
      <c r="AR35" s="31">
        <v>1</v>
      </c>
      <c r="AS35" s="24">
        <v>1</v>
      </c>
      <c r="AT35" s="24">
        <v>0.9963788086476063</v>
      </c>
      <c r="AU35" s="26">
        <v>0.9891364259428189</v>
      </c>
      <c r="AV35" s="92"/>
      <c r="AW35" s="31"/>
      <c r="AX35" s="31"/>
      <c r="AY35" s="31"/>
      <c r="AZ35" s="93"/>
      <c r="BA35" s="101">
        <v>0.21415810000000002</v>
      </c>
      <c r="BB35" s="102">
        <v>0.8139648</v>
      </c>
      <c r="BC35" s="102">
        <v>0.8366087999999998</v>
      </c>
      <c r="BD35" s="103">
        <v>1.0519543999999998</v>
      </c>
      <c r="BE35" s="102">
        <v>0.21962019999999996</v>
      </c>
      <c r="BF35" s="102">
        <v>0.8576615999999998</v>
      </c>
      <c r="BG35" s="102">
        <v>0.8907095999999999</v>
      </c>
      <c r="BH35" s="103">
        <v>1.0790048</v>
      </c>
      <c r="BI35" s="102">
        <v>0.2436216706407781</v>
      </c>
      <c r="BJ35" s="102">
        <v>1.0496733651262242</v>
      </c>
      <c r="BK35" s="102">
        <v>1.1284384520610393</v>
      </c>
      <c r="BL35" s="103">
        <v>1.19786922603052</v>
      </c>
      <c r="BM35" s="53">
        <v>0.30943800714802083</v>
      </c>
      <c r="BN35" s="53">
        <v>1.3065524388787957</v>
      </c>
      <c r="BO35" s="53">
        <v>1.4042879266611357</v>
      </c>
      <c r="BP35" s="54">
        <v>1.4939662025628209</v>
      </c>
      <c r="BQ35" s="52">
        <v>0.43993331907739375</v>
      </c>
      <c r="BR35" s="53">
        <v>1.8165692817159935</v>
      </c>
      <c r="BS35" s="53">
        <v>1.9520433984785726</v>
      </c>
      <c r="BT35" s="54">
        <v>2.080590346089633</v>
      </c>
      <c r="BU35" s="99"/>
      <c r="BV35" s="99"/>
      <c r="BW35" s="99"/>
      <c r="BX35" s="99"/>
      <c r="BY35" s="99"/>
      <c r="BZ35" s="99"/>
      <c r="CA35" s="78"/>
      <c r="CB35" s="78"/>
      <c r="CC35" s="78"/>
      <c r="CD35" s="78"/>
      <c r="CE35" s="78"/>
      <c r="CF35" s="78"/>
      <c r="CG35" s="78"/>
      <c r="CH35" s="78"/>
      <c r="CI35" s="78"/>
      <c r="CJ35" s="78"/>
      <c r="CK35" s="78"/>
      <c r="CL35" s="78"/>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78"/>
      <c r="EB35" s="78"/>
      <c r="EC35" s="78"/>
    </row>
    <row r="36" spans="14:133" ht="12.75">
      <c r="N36" s="11"/>
      <c r="O36" s="4"/>
      <c r="P36" s="4"/>
      <c r="Q36" s="4"/>
      <c r="R36" s="46"/>
      <c r="S36" s="4"/>
      <c r="T36" s="4"/>
      <c r="U36" s="4"/>
      <c r="V36" s="4"/>
      <c r="W36" s="46"/>
      <c r="X36" s="11"/>
      <c r="Y36" s="4"/>
      <c r="Z36" s="4"/>
      <c r="AA36" s="4"/>
      <c r="AB36" s="46"/>
      <c r="AC36" s="11"/>
      <c r="AD36" s="4"/>
      <c r="AE36" s="4"/>
      <c r="AF36" s="4"/>
      <c r="AG36" s="46"/>
      <c r="AH36" s="4"/>
      <c r="AI36" s="4"/>
      <c r="AJ36" s="4"/>
      <c r="AK36" s="4"/>
      <c r="AL36" s="46"/>
      <c r="AN36" s="23">
        <v>960</v>
      </c>
      <c r="AO36" s="25">
        <f t="shared" si="0"/>
        <v>301.7372752209692</v>
      </c>
      <c r="AP36" s="23">
        <v>990</v>
      </c>
      <c r="AQ36" s="31">
        <v>1</v>
      </c>
      <c r="AR36" s="31">
        <v>1</v>
      </c>
      <c r="AS36" s="24">
        <v>1</v>
      </c>
      <c r="AT36" s="24">
        <v>0.9965100592243976</v>
      </c>
      <c r="AU36" s="26">
        <v>0.989530177673193</v>
      </c>
      <c r="AV36" s="92"/>
      <c r="AW36" s="31"/>
      <c r="AX36" s="31"/>
      <c r="AY36" s="31"/>
      <c r="AZ36" s="93"/>
      <c r="BA36" s="101">
        <v>0.21415810000000002</v>
      </c>
      <c r="BB36" s="102">
        <v>0.8139648</v>
      </c>
      <c r="BC36" s="102">
        <v>0.8366087999999998</v>
      </c>
      <c r="BD36" s="103">
        <v>1.0519543999999998</v>
      </c>
      <c r="BE36" s="102">
        <v>0.21962019999999996</v>
      </c>
      <c r="BF36" s="102">
        <v>0.8576615999999998</v>
      </c>
      <c r="BG36" s="102">
        <v>0.8907095999999999</v>
      </c>
      <c r="BH36" s="103">
        <v>1.0790048</v>
      </c>
      <c r="BI36" s="102">
        <v>0.2436216706407781</v>
      </c>
      <c r="BJ36" s="102">
        <v>1.0496733651262242</v>
      </c>
      <c r="BK36" s="102">
        <v>1.1284384520610393</v>
      </c>
      <c r="BL36" s="103">
        <v>1.19786922603052</v>
      </c>
      <c r="BM36" s="53">
        <v>0.3094993930427861</v>
      </c>
      <c r="BN36" s="53">
        <v>1.3068895428602265</v>
      </c>
      <c r="BO36" s="53">
        <v>1.4046771896217833</v>
      </c>
      <c r="BP36" s="54">
        <v>1.4942651388765207</v>
      </c>
      <c r="BQ36" s="52">
        <v>0.4401623250837793</v>
      </c>
      <c r="BR36" s="53">
        <v>1.8177234467880659</v>
      </c>
      <c r="BS36" s="53">
        <v>1.9533541192386417</v>
      </c>
      <c r="BT36" s="54">
        <v>2.081685409026976</v>
      </c>
      <c r="BU36" s="99"/>
      <c r="BV36" s="99"/>
      <c r="BW36" s="99"/>
      <c r="BX36" s="99"/>
      <c r="BY36" s="99"/>
      <c r="BZ36" s="99"/>
      <c r="CA36" s="78"/>
      <c r="CB36" s="78"/>
      <c r="CC36" s="78"/>
      <c r="CD36" s="78"/>
      <c r="CE36" s="78"/>
      <c r="CF36" s="78"/>
      <c r="CG36" s="78"/>
      <c r="CH36" s="78"/>
      <c r="CI36" s="78"/>
      <c r="CJ36" s="78"/>
      <c r="CK36" s="78"/>
      <c r="CL36" s="78"/>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78"/>
      <c r="EB36" s="78"/>
      <c r="EC36" s="78"/>
    </row>
    <row r="37" spans="1:133" ht="12.75">
      <c r="A37" s="73">
        <v>4</v>
      </c>
      <c r="B37" s="56"/>
      <c r="C37" s="74"/>
      <c r="D37" s="74"/>
      <c r="E37" s="74"/>
      <c r="F37" s="74"/>
      <c r="G37" s="76"/>
      <c r="H37" s="63"/>
      <c r="I37" s="63"/>
      <c r="J37" s="63"/>
      <c r="K37" s="63"/>
      <c r="L37" s="64"/>
      <c r="M37" s="4"/>
      <c r="N37" s="66"/>
      <c r="O37" s="63"/>
      <c r="P37" s="63"/>
      <c r="Q37" s="63"/>
      <c r="R37" s="64"/>
      <c r="S37" s="63"/>
      <c r="T37" s="63"/>
      <c r="U37" s="63"/>
      <c r="V37" s="63"/>
      <c r="W37" s="64"/>
      <c r="X37" s="66"/>
      <c r="Y37" s="63"/>
      <c r="Z37" s="63"/>
      <c r="AA37" s="63"/>
      <c r="AB37" s="64"/>
      <c r="AC37" s="66"/>
      <c r="AD37" s="63"/>
      <c r="AE37" s="63"/>
      <c r="AF37" s="63"/>
      <c r="AG37" s="64"/>
      <c r="AH37" s="63"/>
      <c r="AI37" s="63"/>
      <c r="AJ37" s="63"/>
      <c r="AK37" s="63"/>
      <c r="AL37" s="64"/>
      <c r="AN37" s="23">
        <v>990</v>
      </c>
      <c r="AO37" s="25">
        <f t="shared" si="0"/>
        <v>310.880829015544</v>
      </c>
      <c r="AP37" s="23">
        <v>1020</v>
      </c>
      <c r="AQ37" s="31">
        <v>1</v>
      </c>
      <c r="AR37" s="31">
        <v>1</v>
      </c>
      <c r="AS37" s="24">
        <v>1</v>
      </c>
      <c r="AT37" s="24">
        <v>0.9965318546663124</v>
      </c>
      <c r="AU37" s="26">
        <v>0.9895955639989374</v>
      </c>
      <c r="AV37" s="92"/>
      <c r="AW37" s="31"/>
      <c r="AX37" s="31"/>
      <c r="AY37" s="31"/>
      <c r="AZ37" s="93"/>
      <c r="BA37" s="101">
        <v>0.21415810000000002</v>
      </c>
      <c r="BB37" s="102">
        <v>0.8139648</v>
      </c>
      <c r="BC37" s="102">
        <v>0.8366087999999998</v>
      </c>
      <c r="BD37" s="103">
        <v>1.0519543999999998</v>
      </c>
      <c r="BE37" s="102">
        <v>0.21962019999999996</v>
      </c>
      <c r="BF37" s="102">
        <v>0.8576615999999998</v>
      </c>
      <c r="BG37" s="102">
        <v>0.8907095999999999</v>
      </c>
      <c r="BH37" s="103">
        <v>1.0790048</v>
      </c>
      <c r="BI37" s="102">
        <v>0.2436216706407781</v>
      </c>
      <c r="BJ37" s="102">
        <v>1.0496733651262242</v>
      </c>
      <c r="BK37" s="102">
        <v>1.1284384520610393</v>
      </c>
      <c r="BL37" s="103">
        <v>1.19786922603052</v>
      </c>
      <c r="BM37" s="53">
        <v>0.30950972408225375</v>
      </c>
      <c r="BN37" s="53">
        <v>1.306946620763513</v>
      </c>
      <c r="BO37" s="53">
        <v>1.4047431905789898</v>
      </c>
      <c r="BP37" s="54">
        <v>1.4943154601928137</v>
      </c>
      <c r="BQ37" s="52">
        <v>0.44020076570468447</v>
      </c>
      <c r="BR37" s="53">
        <v>1.8179184026569055</v>
      </c>
      <c r="BS37" s="53">
        <v>1.9535758573465063</v>
      </c>
      <c r="BT37" s="54">
        <v>2.0818692949908675</v>
      </c>
      <c r="BU37" s="99"/>
      <c r="BV37" s="99"/>
      <c r="BW37" s="99"/>
      <c r="BX37" s="99"/>
      <c r="BY37" s="99"/>
      <c r="BZ37" s="99"/>
      <c r="CA37" s="78"/>
      <c r="CB37" s="78"/>
      <c r="CC37" s="78"/>
      <c r="CD37" s="78"/>
      <c r="CE37" s="78"/>
      <c r="CF37" s="78"/>
      <c r="CG37" s="78"/>
      <c r="CH37" s="78"/>
      <c r="CI37" s="78"/>
      <c r="CJ37" s="78"/>
      <c r="CK37" s="78"/>
      <c r="CL37" s="78"/>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78"/>
      <c r="EB37" s="78"/>
      <c r="EC37" s="78"/>
    </row>
    <row r="38" spans="1:133" ht="12.75">
      <c r="A38" s="65"/>
      <c r="B38" s="57"/>
      <c r="C38" s="62"/>
      <c r="D38" s="62"/>
      <c r="E38" s="62"/>
      <c r="F38" s="62"/>
      <c r="G38" s="67"/>
      <c r="H38" s="4"/>
      <c r="I38" s="4"/>
      <c r="J38" s="4"/>
      <c r="K38" s="4"/>
      <c r="L38" s="46"/>
      <c r="M38" s="4"/>
      <c r="N38" s="11"/>
      <c r="O38" s="4"/>
      <c r="P38" s="4"/>
      <c r="Q38" s="4"/>
      <c r="R38" s="46"/>
      <c r="S38" s="4"/>
      <c r="T38" s="4"/>
      <c r="U38" s="4"/>
      <c r="V38" s="4"/>
      <c r="W38" s="46"/>
      <c r="X38" s="11"/>
      <c r="Y38" s="4"/>
      <c r="Z38" s="4"/>
      <c r="AA38" s="4"/>
      <c r="AB38" s="46"/>
      <c r="AC38" s="11"/>
      <c r="AD38" s="4"/>
      <c r="AE38" s="4"/>
      <c r="AF38" s="4"/>
      <c r="AG38" s="46"/>
      <c r="AH38" s="4"/>
      <c r="AI38" s="4"/>
      <c r="AJ38" s="4"/>
      <c r="AK38" s="4"/>
      <c r="AL38" s="46"/>
      <c r="AN38" s="23">
        <v>1020</v>
      </c>
      <c r="AO38" s="25">
        <f t="shared" si="0"/>
        <v>320.0243828101189</v>
      </c>
      <c r="AP38" s="23">
        <v>1050</v>
      </c>
      <c r="AQ38" s="31">
        <v>1</v>
      </c>
      <c r="AR38" s="31">
        <v>1</v>
      </c>
      <c r="AS38" s="24">
        <v>1</v>
      </c>
      <c r="AT38" s="24">
        <v>0.9965341698223688</v>
      </c>
      <c r="AU38" s="26">
        <v>0.9896025094671065</v>
      </c>
      <c r="AV38" s="92"/>
      <c r="AW38" s="31"/>
      <c r="AX38" s="31"/>
      <c r="AY38" s="31"/>
      <c r="AZ38" s="93"/>
      <c r="BA38" s="101">
        <v>0.21415810000000002</v>
      </c>
      <c r="BB38" s="102">
        <v>0.8139648</v>
      </c>
      <c r="BC38" s="102">
        <v>0.8366087999999998</v>
      </c>
      <c r="BD38" s="103">
        <v>1.0519543999999998</v>
      </c>
      <c r="BE38" s="102">
        <v>0.21962019999999996</v>
      </c>
      <c r="BF38" s="102">
        <v>0.8576615999999998</v>
      </c>
      <c r="BG38" s="102">
        <v>0.8907095999999999</v>
      </c>
      <c r="BH38" s="103">
        <v>1.0790048</v>
      </c>
      <c r="BI38" s="102">
        <v>0.2436216706407781</v>
      </c>
      <c r="BJ38" s="102">
        <v>1.0496733651262242</v>
      </c>
      <c r="BK38" s="102">
        <v>1.1284384520610393</v>
      </c>
      <c r="BL38" s="103">
        <v>1.19786922603052</v>
      </c>
      <c r="BM38" s="53">
        <v>0.3095108360517076</v>
      </c>
      <c r="BN38" s="53">
        <v>1.3069528003780584</v>
      </c>
      <c r="BO38" s="53">
        <v>1.4047503458002975</v>
      </c>
      <c r="BP38" s="54">
        <v>1.4943208776579855</v>
      </c>
      <c r="BQ38" s="52">
        <v>0.4402048927018705</v>
      </c>
      <c r="BR38" s="53">
        <v>1.817939461316394</v>
      </c>
      <c r="BS38" s="53">
        <v>1.9535998442153748</v>
      </c>
      <c r="BT38" s="54">
        <v>2.081889044429606</v>
      </c>
      <c r="BU38" s="99"/>
      <c r="BV38" s="99"/>
      <c r="BW38" s="99"/>
      <c r="BX38" s="99"/>
      <c r="BY38" s="99"/>
      <c r="BZ38" s="99"/>
      <c r="CA38" s="78"/>
      <c r="CB38" s="78"/>
      <c r="CC38" s="78"/>
      <c r="CD38" s="78"/>
      <c r="CE38" s="78"/>
      <c r="CF38" s="78"/>
      <c r="CG38" s="78"/>
      <c r="CH38" s="78"/>
      <c r="CI38" s="78"/>
      <c r="CJ38" s="78"/>
      <c r="CK38" s="78"/>
      <c r="CL38" s="78"/>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78"/>
      <c r="EB38" s="78"/>
      <c r="EC38" s="78"/>
    </row>
    <row r="39" spans="1:133" ht="12.75">
      <c r="A39" s="65"/>
      <c r="B39" s="57"/>
      <c r="C39" s="62"/>
      <c r="D39" s="62"/>
      <c r="E39" s="62"/>
      <c r="F39" s="62"/>
      <c r="G39" s="67"/>
      <c r="H39" s="4"/>
      <c r="I39" s="4"/>
      <c r="J39" s="4"/>
      <c r="K39" s="4"/>
      <c r="L39" s="46"/>
      <c r="M39" s="4"/>
      <c r="N39" s="11"/>
      <c r="O39" s="4"/>
      <c r="P39" s="4"/>
      <c r="Q39" s="4"/>
      <c r="R39" s="46"/>
      <c r="S39" s="4"/>
      <c r="T39" s="4"/>
      <c r="U39" s="4"/>
      <c r="V39" s="4"/>
      <c r="W39" s="46"/>
      <c r="X39" s="11"/>
      <c r="Y39" s="4"/>
      <c r="Z39" s="4"/>
      <c r="AA39" s="4"/>
      <c r="AB39" s="46"/>
      <c r="AC39" s="11"/>
      <c r="AD39" s="4"/>
      <c r="AE39" s="4"/>
      <c r="AF39" s="4"/>
      <c r="AG39" s="46"/>
      <c r="AH39" s="4"/>
      <c r="AI39" s="4"/>
      <c r="AJ39" s="4"/>
      <c r="AK39" s="4"/>
      <c r="AL39" s="46"/>
      <c r="AN39" s="23">
        <v>1050</v>
      </c>
      <c r="AO39" s="25">
        <f t="shared" si="0"/>
        <v>329.1679366046937</v>
      </c>
      <c r="AP39" s="23">
        <v>1080</v>
      </c>
      <c r="AQ39" s="31">
        <v>1</v>
      </c>
      <c r="AR39" s="31">
        <v>1</v>
      </c>
      <c r="AS39" s="24">
        <v>1</v>
      </c>
      <c r="AT39" s="24">
        <v>0.996534313839085</v>
      </c>
      <c r="AU39" s="26">
        <v>0.9896029415172549</v>
      </c>
      <c r="AV39" s="92"/>
      <c r="AW39" s="31"/>
      <c r="AX39" s="31"/>
      <c r="AY39" s="31"/>
      <c r="AZ39" s="93"/>
      <c r="BA39" s="101">
        <v>0.21415810000000002</v>
      </c>
      <c r="BB39" s="102">
        <v>0.8139648</v>
      </c>
      <c r="BC39" s="102">
        <v>0.8366087999999998</v>
      </c>
      <c r="BD39" s="103">
        <v>1.0519543999999998</v>
      </c>
      <c r="BE39" s="102">
        <v>0.21962019999999996</v>
      </c>
      <c r="BF39" s="102">
        <v>0.8576615999999998</v>
      </c>
      <c r="BG39" s="102">
        <v>0.8907095999999999</v>
      </c>
      <c r="BH39" s="103">
        <v>1.0790048</v>
      </c>
      <c r="BI39" s="102">
        <v>0.2436216706407781</v>
      </c>
      <c r="BJ39" s="102">
        <v>1.0496733651262242</v>
      </c>
      <c r="BK39" s="102">
        <v>1.1284384520610393</v>
      </c>
      <c r="BL39" s="103">
        <v>1.19786922603052</v>
      </c>
      <c r="BM39" s="53">
        <v>0.3095109061302417</v>
      </c>
      <c r="BN39" s="53">
        <v>1.3069531920459199</v>
      </c>
      <c r="BO39" s="53">
        <v>1.4047507998850037</v>
      </c>
      <c r="BP39" s="54">
        <v>1.494321219150423</v>
      </c>
      <c r="BQ39" s="52">
        <v>0.44020515214798467</v>
      </c>
      <c r="BR39" s="53">
        <v>1.8179407930677716</v>
      </c>
      <c r="BS39" s="53">
        <v>1.9536013633036966</v>
      </c>
      <c r="BT39" s="54">
        <v>2.081890286444168</v>
      </c>
      <c r="BU39" s="99"/>
      <c r="BV39" s="99"/>
      <c r="BW39" s="99"/>
      <c r="BX39" s="99"/>
      <c r="BY39" s="99"/>
      <c r="BZ39" s="99"/>
      <c r="CA39" s="78"/>
      <c r="CB39" s="78"/>
      <c r="CC39" s="78"/>
      <c r="CD39" s="78"/>
      <c r="CE39" s="78"/>
      <c r="CF39" s="78"/>
      <c r="CG39" s="78"/>
      <c r="CH39" s="78"/>
      <c r="CI39" s="78"/>
      <c r="CJ39" s="78"/>
      <c r="CK39" s="78"/>
      <c r="CL39" s="78"/>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78"/>
      <c r="EB39" s="78"/>
      <c r="EC39" s="78"/>
    </row>
    <row r="40" spans="1:133" ht="12.75">
      <c r="A40" s="68"/>
      <c r="B40" s="69"/>
      <c r="C40" s="70"/>
      <c r="D40" s="70"/>
      <c r="E40" s="70"/>
      <c r="F40" s="70"/>
      <c r="G40" s="71"/>
      <c r="H40" s="50"/>
      <c r="I40" s="50"/>
      <c r="J40" s="50"/>
      <c r="K40" s="50"/>
      <c r="L40" s="51"/>
      <c r="M40" s="50"/>
      <c r="N40" s="11"/>
      <c r="O40" s="4"/>
      <c r="P40" s="4"/>
      <c r="Q40" s="4"/>
      <c r="R40" s="46"/>
      <c r="S40" s="4"/>
      <c r="T40" s="4"/>
      <c r="U40" s="4"/>
      <c r="V40" s="4"/>
      <c r="W40" s="46"/>
      <c r="X40" s="11"/>
      <c r="Y40" s="4"/>
      <c r="Z40" s="4"/>
      <c r="AA40" s="4"/>
      <c r="AB40" s="46"/>
      <c r="AC40" s="11"/>
      <c r="AD40" s="4"/>
      <c r="AE40" s="4"/>
      <c r="AF40" s="4"/>
      <c r="AG40" s="46"/>
      <c r="AH40" s="4"/>
      <c r="AI40" s="4"/>
      <c r="AJ40" s="4"/>
      <c r="AK40" s="4"/>
      <c r="AL40" s="46"/>
      <c r="AN40" s="23">
        <v>1080</v>
      </c>
      <c r="AO40" s="25">
        <f t="shared" si="0"/>
        <v>341.35934166412676</v>
      </c>
      <c r="AP40" s="23">
        <v>1120</v>
      </c>
      <c r="AQ40" s="31">
        <v>1</v>
      </c>
      <c r="AR40" s="31">
        <v>1</v>
      </c>
      <c r="AS40" s="24">
        <v>1</v>
      </c>
      <c r="AT40" s="24">
        <v>0.9977791409177316</v>
      </c>
      <c r="AU40" s="26">
        <v>0.9933374227531947</v>
      </c>
      <c r="AV40" s="92"/>
      <c r="AW40" s="31"/>
      <c r="AX40" s="31"/>
      <c r="AY40" s="31"/>
      <c r="AZ40" s="93"/>
      <c r="BA40" s="101">
        <v>0.21415810000000002</v>
      </c>
      <c r="BB40" s="102">
        <v>0.8139648</v>
      </c>
      <c r="BC40" s="102">
        <v>0.8366087999999998</v>
      </c>
      <c r="BD40" s="103">
        <v>1.0519543999999998</v>
      </c>
      <c r="BE40" s="102">
        <v>0.21962019999999996</v>
      </c>
      <c r="BF40" s="102">
        <v>0.8576615999999998</v>
      </c>
      <c r="BG40" s="102">
        <v>0.8907095999999999</v>
      </c>
      <c r="BH40" s="103">
        <v>1.0790048</v>
      </c>
      <c r="BI40" s="102">
        <v>0.2436216706407781</v>
      </c>
      <c r="BJ40" s="102">
        <v>1.0496733651262242</v>
      </c>
      <c r="BK40" s="102">
        <v>1.1284384520610393</v>
      </c>
      <c r="BL40" s="103">
        <v>1.19786922603052</v>
      </c>
      <c r="BM40" s="53">
        <v>0.3101270955341717</v>
      </c>
      <c r="BN40" s="53">
        <v>1.3104222761486921</v>
      </c>
      <c r="BO40" s="53">
        <v>1.4087793092769199</v>
      </c>
      <c r="BP40" s="54">
        <v>1.4973247379257815</v>
      </c>
      <c r="BQ40" s="52">
        <v>0.4424790777725484</v>
      </c>
      <c r="BR40" s="53">
        <v>1.8297029151684876</v>
      </c>
      <c r="BS40" s="53">
        <v>1.9670425081680911</v>
      </c>
      <c r="BT40" s="54">
        <v>2.092781154072539</v>
      </c>
      <c r="BU40" s="99"/>
      <c r="BV40" s="99"/>
      <c r="BW40" s="99"/>
      <c r="BX40" s="99"/>
      <c r="BY40" s="99"/>
      <c r="BZ40" s="99"/>
      <c r="CA40" s="78"/>
      <c r="CB40" s="78"/>
      <c r="CC40" s="78"/>
      <c r="CD40" s="78"/>
      <c r="CE40" s="78"/>
      <c r="CF40" s="78"/>
      <c r="CG40" s="78"/>
      <c r="CH40" s="78"/>
      <c r="CI40" s="78"/>
      <c r="CJ40" s="78"/>
      <c r="CK40" s="78"/>
      <c r="CL40" s="78"/>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78"/>
      <c r="EB40" s="78"/>
      <c r="EC40" s="78"/>
    </row>
    <row r="41" spans="1:133" ht="12.75">
      <c r="A41" s="11" t="s">
        <v>83</v>
      </c>
      <c r="B41" s="4"/>
      <c r="C41" s="4"/>
      <c r="D41" s="4"/>
      <c r="E41" s="4"/>
      <c r="F41" s="4"/>
      <c r="G41" s="4"/>
      <c r="H41" s="4"/>
      <c r="I41" s="4"/>
      <c r="J41" s="4"/>
      <c r="K41" s="4"/>
      <c r="L41" s="46"/>
      <c r="M41" s="4"/>
      <c r="N41" s="11"/>
      <c r="O41" s="4"/>
      <c r="P41" s="4"/>
      <c r="Q41" s="4"/>
      <c r="R41" s="46"/>
      <c r="S41" s="4"/>
      <c r="T41" s="4"/>
      <c r="U41" s="4"/>
      <c r="V41" s="4"/>
      <c r="W41" s="46"/>
      <c r="X41" s="11"/>
      <c r="Y41" s="4"/>
      <c r="Z41" s="4"/>
      <c r="AA41" s="4"/>
      <c r="AB41" s="46"/>
      <c r="AC41" s="11"/>
      <c r="AD41" s="4"/>
      <c r="AE41" s="4"/>
      <c r="AF41" s="4"/>
      <c r="AG41" s="46"/>
      <c r="AH41" s="4"/>
      <c r="AI41" s="4"/>
      <c r="AJ41" s="4"/>
      <c r="AK41" s="4"/>
      <c r="AL41" s="46"/>
      <c r="AN41" s="23">
        <v>1120</v>
      </c>
      <c r="AO41" s="25">
        <f t="shared" si="0"/>
        <v>350.5028954587016</v>
      </c>
      <c r="AP41" s="23">
        <v>1150</v>
      </c>
      <c r="AQ41" s="31">
        <v>1</v>
      </c>
      <c r="AR41" s="31">
        <v>1</v>
      </c>
      <c r="AS41" s="24">
        <v>1</v>
      </c>
      <c r="AT41" s="24">
        <v>0.9992752472314373</v>
      </c>
      <c r="AU41" s="26">
        <v>0.9978257416943118</v>
      </c>
      <c r="AV41" s="92"/>
      <c r="AW41" s="31"/>
      <c r="AX41" s="31"/>
      <c r="AY41" s="31"/>
      <c r="AZ41" s="93"/>
      <c r="BA41" s="101">
        <v>0.21415810000000002</v>
      </c>
      <c r="BB41" s="102">
        <v>0.8139648</v>
      </c>
      <c r="BC41" s="102">
        <v>0.8366087999999998</v>
      </c>
      <c r="BD41" s="103">
        <v>1.0519543999999998</v>
      </c>
      <c r="BE41" s="102">
        <v>0.21962019999999996</v>
      </c>
      <c r="BF41" s="102">
        <v>0.8576615999999998</v>
      </c>
      <c r="BG41" s="102">
        <v>0.8907095999999999</v>
      </c>
      <c r="BH41" s="103">
        <v>1.0790048</v>
      </c>
      <c r="BI41" s="102">
        <v>0.2436216706407781</v>
      </c>
      <c r="BJ41" s="102">
        <v>1.0496733651262242</v>
      </c>
      <c r="BK41" s="102">
        <v>1.1284384520610393</v>
      </c>
      <c r="BL41" s="103">
        <v>1.19786922603052</v>
      </c>
      <c r="BM41" s="53">
        <v>0.31087709362923244</v>
      </c>
      <c r="BN41" s="53">
        <v>1.3146670289819382</v>
      </c>
      <c r="BO41" s="53">
        <v>1.4137143655633098</v>
      </c>
      <c r="BP41" s="54">
        <v>1.5009812217564784</v>
      </c>
      <c r="BQ41" s="52">
        <v>0.4452402915851237</v>
      </c>
      <c r="BR41" s="53">
        <v>1.8440655357800624</v>
      </c>
      <c r="BS41" s="53">
        <v>1.9834769368028855</v>
      </c>
      <c r="BT41" s="54">
        <v>2.106010474151482</v>
      </c>
      <c r="BU41" s="99"/>
      <c r="BV41" s="99"/>
      <c r="BW41" s="99"/>
      <c r="BX41" s="99"/>
      <c r="BY41" s="99"/>
      <c r="BZ41" s="99"/>
      <c r="CA41" s="78"/>
      <c r="CB41" s="78"/>
      <c r="CC41" s="78"/>
      <c r="CD41" s="78"/>
      <c r="CE41" s="78"/>
      <c r="CF41" s="78"/>
      <c r="CG41" s="78"/>
      <c r="CH41" s="78"/>
      <c r="CI41" s="78"/>
      <c r="CJ41" s="78"/>
      <c r="CK41" s="78"/>
      <c r="CL41" s="78"/>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78"/>
      <c r="EB41" s="78"/>
      <c r="EC41" s="78"/>
    </row>
    <row r="42" spans="1:133" ht="12.75">
      <c r="A42" s="75" t="s">
        <v>76</v>
      </c>
      <c r="B42" s="48"/>
      <c r="C42" s="48"/>
      <c r="D42" s="48"/>
      <c r="E42" s="48"/>
      <c r="F42" s="48"/>
      <c r="G42" s="48"/>
      <c r="H42" s="50">
        <f>SUM(N42:R45)</f>
        <v>0</v>
      </c>
      <c r="I42" s="50">
        <f>SUM(S42:W45)</f>
        <v>0</v>
      </c>
      <c r="J42" s="50">
        <f>SUM(X42:AB45)</f>
        <v>0</v>
      </c>
      <c r="K42" s="50">
        <f>SUM(AC42:AG45)</f>
        <v>0</v>
      </c>
      <c r="L42" s="51">
        <f>SUM(AH42:AL45)</f>
        <v>0</v>
      </c>
      <c r="M42" s="50"/>
      <c r="N42" s="80">
        <v>0</v>
      </c>
      <c r="O42" s="50">
        <f>IF($D37&gt;$D43,(IF($D37*$AN$2&gt;$AP$47,VLOOKUP($D37*$AN$2,$AP$3:$BT$47,12),VLOOKUP($D37*$AN$2,$AP$3:$BT$47,12)+((VLOOKUP($D37*$AN$2,$AN$4:$BT$48,14)-VLOOKUP($D37*$AN$2,$AP$3:$BT$47,12))*($D37*$AN$2-VLOOKUP($D37*$AN$2,$AP$3:$BT$47,1))/(VLOOKUP($D37*$AN$2,$AN$4:$BT$48,3)-VLOOKUP($D37*$AN$2,$AP$3:$BT$47,1)))))-(IF($D43*$AN$2&gt;$AP$47,VLOOKUP($D43*$AN$2,$AP$3:$BT$47,12),VLOOKUP($D43*$AN$2,$AP$3:$BT$47,12)+((VLOOKUP($D43*$AN$2,$AN$4:$BT$48,14)-VLOOKUP($D43*$AN$2,$AP$3:$BT$47,12))*($D43*$AN$2-VLOOKUP($D43*$AN$2,$AP$3:$BT$47,1))/(VLOOKUP($D43*$AN$2,$AN$4:$BT$48,3)-VLOOKUP($D43*$AN$2,$AP$3:$BT$47,1))))),0)</f>
        <v>0</v>
      </c>
      <c r="P42" s="50">
        <f>IF($E37&gt;$E43,(IF($E37*$AN$2&gt;$AP$47,VLOOKUP($E37*$AN$2,$AP$3:$BT$47,13),VLOOKUP($E37*$AN$2,$AP$3:$BT$47,13)+((VLOOKUP($E37*$AN$2,$AN$4:$BT$48,15)-VLOOKUP($E37*$AN$2,$AP$3:$BT$47,13))*($E37*$AN$2-VLOOKUP($E37*$AN$2,$AP$3:$BT$47,1))/(VLOOKUP($E37*$AN$2,$AN$4:$BT$48,3)-VLOOKUP($E37*$AN$2,$AP$3:$BT$47,1)))))-(IF($E43*$AN$2&gt;$AP$47,VLOOKUP($E43*$AN$2,$AP$3:$BT$47,13),VLOOKUP($E43*$AN$2,$AP$3:$BT$47,13)+((VLOOKUP($E43*$AN$2,$AN$4:$BT$48,15)-VLOOKUP($E43*$AN$2,$AP$3:$BT$47,13))*($E43*$AN$2-VLOOKUP($E43*$AN$2,$AP$3:$BT$47,1))/(VLOOKUP($E43*$AN$2,$AN$4:$BT$48,3)-VLOOKUP($E43*$AN$2,$AP$3:$BT$47,1))))),0)</f>
        <v>0</v>
      </c>
      <c r="Q42" s="50">
        <f>IF($F37&gt;$F43,(IF($F37*$AN$2&gt;$AP$47,VLOOKUP($F37*$AN$2,$AP$3:$BT$47,14),VLOOKUP($F37*$AN$2,$AP$3:$BT$47,14)+((VLOOKUP($F37*$AN$2,$AN$4:$BT$48,16)-VLOOKUP($F37*$AN$2,$AP$3:$BT$47,14))*($F37*$AN$2-VLOOKUP(#REF!*$AN$2,$AP$3:$BT$47,1))/(VLOOKUP($F37*$AN$2,$AN$4:$BT$48,3)-VLOOKUP($F37*$AN$2,$AP$3:$BT$47,1)))))-(IF($F43*$AN$2&gt;$AP$47,VLOOKUP($F43*$AN$2,$AP$3:$BT$47,14),VLOOKUP($F43*$AN$2,$AP$3:$BT$47,14)+((VLOOKUP($F43*$AN$2,$AN$4:$BT$48,16)-VLOOKUP($F43*$AN$2,$AP$3:$BT$47,14))*($F43*$AN$2-VLOOKUP($F43*$AN$2,$AP$3:$BT$47,1))/(VLOOKUP($F43*$AN$2,$AN$4:$BT$48,3)-VLOOKUP($F43*$AN$2,$AP$3:$BT$47,1))))),0)</f>
        <v>0</v>
      </c>
      <c r="R42" s="51">
        <f>IF($G37&gt;$G43,(IF($G37*$AN$2&gt;$AP$47,VLOOKUP($G37*$AN$2,$AP$3:$BT$47,15),VLOOKUP($G37*$AN$2,$AP$3:$BT$47,15)+((VLOOKUP($G37*$AN$2,$AN$4:$BT$48,17)-VLOOKUP($G37*$AN$2,$AP$3:$BT$47,15))*($G37*$AN$2-VLOOKUP($G37*$AN$2,$AP$3:$BT$47,1))/(VLOOKUP($G37*$AN$2,$AN$4:$BT$48,3)-VLOOKUP($G37*$AN$2,$AP$3:$BT$47,1)))))-(IF($G43*$AN$2&gt;$AP$47,VLOOKUP($G43*$AN$2,$AP$3:$BT$47,15),VLOOKUP($G43*$AN$2,$AP$3:$BT$47,15)+((VLOOKUP($G43*$AN$2,$AN$4:$BT$48,17)-VLOOKUP($G43*$AN$2,$AP$3:$BT$47,15))*($G43*$AN$2-VLOOKUP($G43*$AN$2,$AP$3:$BT$47,1))/(VLOOKUP($G43*$AN$2,$AN$4:$BT$48,3)-VLOOKUP($G43*$AN$2,$AP$3:$BT$47,1))))),0)</f>
        <v>0</v>
      </c>
      <c r="S42" s="59">
        <v>0</v>
      </c>
      <c r="T42" s="50">
        <f>IF($D37&gt;$D43,(IF($D37*$AN$2&gt;$AP$47,VLOOKUP($D37*$AN$2,$AP$3:$BT$47,16),VLOOKUP($D37*$AN$2,$AP$3:$BT$47,16)+((VLOOKUP($D37*$AN$2,$AN$4:$BT$48,18)-VLOOKUP($D37*$AN$2,$AP$3:$BT$47,16))*($D37*$AN$2-VLOOKUP($D37*$AN$2,$AP$3:$BT$47,1))/(VLOOKUP($D37*$AN$2,$AN$4:$BT$48,3)-VLOOKUP($D37*$AN$2,$AP$3:$BT$47,1)))))-(IF($D43*$AN$2&gt;$AP$47,VLOOKUP($D43*$AN$2,$AP$3:$BT$47,16),VLOOKUP($D43*$AN$2,$AP$3:$BT$47,16)+((VLOOKUP($D43*$AN$2,$AN$4:$BT$48,18)-VLOOKUP($D43*$AN$2,$AP$3:$BT$47,16))*($D43*$AN$2-VLOOKUP($D43*$AN$2,$AP$3:$BT$47,1))/(VLOOKUP($D43*$AN$2,$AN$4:$BT$48,3)-VLOOKUP($D43*$AN$2,$AP$3:$BT$47,1))))),0)</f>
        <v>0</v>
      </c>
      <c r="U42" s="50">
        <f>IF($E37&gt;$E43,(IF($E37*$AN$2&gt;$AP$47,VLOOKUP($E37*$AN$2,$AP$3:$BT$47,17),VLOOKUP($E37*$AN$2,$AP$3:$BT$47,17)+((VLOOKUP($E37*$AN$2,$AN$4:$BT$48,19)-VLOOKUP($E37*$AN$2,$AP$3:$BT$47,17))*($E37*$AN$2-VLOOKUP($E37*$AN$2,$AP$3:$BT$47,1))/(VLOOKUP($E37*$AN$2,$AN$4:$BT$48,3)-VLOOKUP($E37*$AN$2,$AP$3:$BT$47,1)))))-(IF($E43*$AN$2&gt;$AP$47,VLOOKUP($E43*$AN$2,$AP$3:$BT$47,17),VLOOKUP($E43*$AN$2,$AP$3:$BT$47,17)+((VLOOKUP($E43*$AN$2,$AN$4:$BT$48,19)-VLOOKUP($E43*$AN$2,$AP$3:$BT$47,17))*($E43*$AN$2-VLOOKUP($E43*$AN$2,$AP$3:$BT$47,1))/(VLOOKUP($E43*$AN$2,$AN$4:$BT$48,3)-VLOOKUP($E43*$AN$2,$AP$3:$BT$47,1))))),0)</f>
        <v>0</v>
      </c>
      <c r="V42" s="50">
        <f>IF($F37&gt;$F43,(IF($F37*$AN$2&gt;$AP$47,VLOOKUP($F37*$AN$2,$AP$3:$BT$47,18),VLOOKUP($F37*$AN$2,$AP$3:$BT$47,18)+((VLOOKUP($F37*$AN$2,$AN$4:$BT$48,20)-VLOOKUP($F37*$AN$2,$AP$3:$BT$47,18))*($F37*$AN$2-VLOOKUP($F37*$AN$2,$AP$3:$BT$47,1))/(VLOOKUP($F37*$AN$2,$AN$4:$BT$48,3)-VLOOKUP($F37*$AN$2,$AP$3:$BT$47,1)))))-(IF($F43*$AN$2&gt;$AP$47,VLOOKUP($F43*$AN$2,$AP$3:$BT$47,18),VLOOKUP($F43*$AN$2,$AP$3:$BT$47,18)+((VLOOKUP($F43*$AN$2,$AN$4:$BT$48,20)-VLOOKUP($F43*$AN$2,$AP$3:$BT$47,18))*($F43*$AN$2-VLOOKUP($F43*$AN$2,$AP$3:$BT$47,1))/(VLOOKUP($F43*$AN$2,$AN$4:$BT$48,3)-VLOOKUP($F43*$AN$2,$AP$3:$BT$47,1))))),0)</f>
        <v>0</v>
      </c>
      <c r="W42" s="51">
        <f>IF($G37&gt;$G43,(IF($G37*$AN$2&gt;$AP$47,VLOOKUP($G37*$AN$2,$AP$3:$BT$47,19),VLOOKUP($G37*$AN$2,$AP$3:$BT$47,19)+((VLOOKUP($G37*$AN$2,$AN$4:$BT$48,21)-VLOOKUP($G37*$AN$2,$AP$3:$BT$47,19))*($G37*$AN$2-VLOOKUP($G37*$AN$2,$AP$3:$BT$47,1))/(VLOOKUP($G37*$AN$2,$AN$4:$BT$48,3)-VLOOKUP($G37*$AN$2,$AP$3:$BT$47,1)))))-(IF($G43*$AN$2&gt;$AP$47,VLOOKUP($G43*$AN$2,$AP$3:$BT$47,19),VLOOKUP($G43*$AN$2,$AP$3:$BT$47,19)+((VLOOKUP($G43*$AN$2,$AN$4:$BT$48,21)-VLOOKUP($G43*$AN$2,$AP$3:$BT$47,19))*($G43*$AN$2-VLOOKUP($G43*$AN$2,$AP$3:$BT$47,1))/(VLOOKUP($G43*$AN$2,$AN$4:$BT$48,3)-VLOOKUP($G43*$AN$2,$AP$3:$BT$47,1))))),0)</f>
        <v>0</v>
      </c>
      <c r="X42" s="80">
        <v>0</v>
      </c>
      <c r="Y42" s="50">
        <f>IF($D37&gt;$D43,(IF($D37*$AN$2&gt;$AP$47,VLOOKUP($D37*$AN$2,$AP$3:$BT$47,20),VLOOKUP($D37*$AN$2,$AP$3:$BT$47,20)+((VLOOKUP($D37*$AN$2,$AN$4:$BT$48,22)-VLOOKUP($D37*$AN$2,$AP$3:$BT$47,20))*($D37*$AN$2-VLOOKUP($D37*$AN$2,$AP$3:$BT$47,1))/(VLOOKUP($D37*$AN$2,$AN$4:$BT$48,3)-VLOOKUP($D37*$AN$2,$AP$3:$BT$47,1)))))-(IF($D43*$AN$2&gt;$AP$47,VLOOKUP($D43*$AN$2,$AP$3:$BT$47,20),VLOOKUP($D43*$AN$2,$AP$3:$BT$47,20)+((VLOOKUP($D43*$AN$2,$AN$4:$BT$48,22)-VLOOKUP($D43*$AN$2,$AP$3:$BT$47,20))*($D43*$AN$2-VLOOKUP($D43*$AN$2,$AP$3:$BT$47,1))/(VLOOKUP($D43*$AN$2,$AN$4:$BT$48,3)-VLOOKUP($D43*$AN$2,$AP$3:$BT$47,1))))),0)</f>
        <v>0</v>
      </c>
      <c r="Z42" s="50">
        <f>IF($E37&gt;$E43,(IF($E37*$AN$2&gt;$AP$47,VLOOKUP($E37*$AN$2,$AP$3:$BT$47,21),VLOOKUP($E37*$AN$2,$AP$3:$BT$47,21)+((VLOOKUP($E37*$AN$2,$AN$4:$BT$48,23)-VLOOKUP($E37*$AN$2,$AP$3:$BT$47,21))*($E37*$AN$2-VLOOKUP($E37*$AN$2,$AP$3:$BT$47,1))/(VLOOKUP($E37*$AN$2,$AN$4:$BT$48,3)-VLOOKUP($E37*$AN$2,$AP$3:$BT$47,1)))))-(IF($E43*$AN$2&gt;$AP$47,VLOOKUP($E43*$AN$2,$AP$3:$BT$47,21),VLOOKUP($E43*$AN$2,$AP$3:$BT$47,21)+((VLOOKUP($E43*$AN$2,$AN$4:$BT$48,23)-VLOOKUP($E43*$AN$2,$AP$3:$BT$47,21))*($E43*$AN$2-VLOOKUP($E43*$AN$2,$AP$3:$BT$47,1))/(VLOOKUP($E43*$AN$2,$AN$4:$BT$48,3)-VLOOKUP($E43*$AN$2,$AP$3:$BT$47,1))))),0)</f>
        <v>0</v>
      </c>
      <c r="AA42" s="50">
        <f>IF($F37&gt;$F43,(IF($F37*$AN$2&gt;$AP$47,VLOOKUP($F37*$AN$2,$AP$3:$BT$47,22),VLOOKUP($F37*$AN$2,$AP$3:$BT$47,22)+((VLOOKUP($F37*$AN$2,$AN$4:$BT$48,24)-VLOOKUP($F37*$AN$2,$AP$3:$BT$47,22))*($F37*$AN$2-VLOOKUP($F37*$AN$2,$AP$3:$BT$47,1))/(VLOOKUP($F37*$AN$2,$AN$4:$BT$48,3)-VLOOKUP($F37*$AN$2,$AP$3:$BT$47,1)))))-(IF($F43*$AN$2&gt;$AP$47,VLOOKUP($F43*$AN$2,$AP$3:$BT$47,22),VLOOKUP($F43*$AN$2,$AP$3:$BT$47,22)+((VLOOKUP($F43*$AN$2,$AN$4:$BT$48,24)-VLOOKUP($F43*$AN$2,$AP$3:$BT$47,22))*($F43*$AN$2-VLOOKUP($F43*$AN$2,$AP$3:$BT$47,1))/(VLOOKUP($F43*$AN$2,$AN$4:$BT$48,3)-VLOOKUP($F43*$AN$2,$AP$3:$BT$47,1))))),0)</f>
        <v>0</v>
      </c>
      <c r="AB42" s="51">
        <f>IF($G37&gt;$G43,(IF($G37*$AN$2&gt;$AP$47,VLOOKUP($G37*$AN$2,$AP$3:$BT$47,23),VLOOKUP($G37*$AN$2,$AP$3:$BT$47,23)+((VLOOKUP($G37*$AN$2,$AN$4:$BT$48,25)-VLOOKUP($G37*$AN$2,$AP$3:$BT$47,23))*($G37*$AN$2-VLOOKUP($G37*$AN$2,$AP$3:$BT$47,1))/(VLOOKUP($G37*$AN$2,$AN$4:$BT$48,3)-VLOOKUP($G37*$AN$2,$AP$3:$BT$47,1)))))-(IF($G43*$AN$2&gt;$AP$47,VLOOKUP($G43*$AN$2,$AP$3:$BT$47,23),VLOOKUP($G43*$AN$2,$AP$3:$BT$47,23)+((VLOOKUP($G43*$AN$2,$AN$4:$BT$48,25)-VLOOKUP($G43*$AN$2,$AP$3:$BT$47,23))*($G43*$AN$2-VLOOKUP($G43*$AN$2,$AP$3:$BT$47,1))/(VLOOKUP($G43*$AN$2,$AN$4:$BT$48,3)-VLOOKUP($G43*$AN$2,$AP$3:$BT$47,1))))),0)</f>
        <v>0</v>
      </c>
      <c r="AC42" s="80">
        <v>0</v>
      </c>
      <c r="AD42" s="50">
        <f>IF($D37&gt;$D43,(IF($D37*$AN$2&gt;$AP$47,VLOOKUP($D37*$AN$2,$AP$3:$BT$47,24),VLOOKUP($D37*$AN$2,$AP$3:$BT$47,24)+((VLOOKUP($D37*$AN$2,$AN$4:$BT$48,26)-VLOOKUP($D37*$AN$2,$AP$3:$BT$47,24))*($D37*$AN$2-VLOOKUP($D37*$AN$2,$AP$3:$BT$47,1))/(VLOOKUP($D37*$AN$2,$AN$4:$BT$48,3)-VLOOKUP($D37*$AN$2,$AP$3:$BT$47,1)))))-(IF($D43*$AN$2&gt;$AP$47,VLOOKUP($D43*$AN$2,$AP$3:$BT$47,24),VLOOKUP($D43*$AN$2,$AP$3:$BT$47,24)+((VLOOKUP($D43*$AN$2,$AN$4:$BT$48,26)-VLOOKUP($D43*$AN$2,$AP$3:$BT$47,24))*($D43*$AN$2-VLOOKUP($D43*$AN$2,$AP$3:$BT$47,1))/(VLOOKUP($D43*$AN$2,$AN$4:$BT$48,3)-VLOOKUP($D43*$AN$2,$AP$3:$BT$47,1))))),0)</f>
        <v>0</v>
      </c>
      <c r="AE42" s="50">
        <f>IF($E37&gt;$E43,(IF($E37*$AN$2&gt;$AP$47,VLOOKUP($E37*$AN$2,$AP$3:$BT$47,25),VLOOKUP($E37*$AN$2,$AP$3:$BT$47,25)+((VLOOKUP($E37*$AN$2,$AN$4:$BT$48,27)-VLOOKUP($E37*$AN$2,$AP$3:$BT$47,25))*($E37*$AN$2-VLOOKUP($E37*$AN$2,$AP$3:$BT$47,1))/(VLOOKUP($E37*$AN$2,$AN$4:$BT$48,3)-VLOOKUP($E37*$AN$2,$AP$3:$BT$47,1)))))-(IF($E43*$AN$2&gt;$AP$47,VLOOKUP($E43*$AN$2,$AP$3:$BT$47,25),VLOOKUP($E43*$AN$2,$AP$3:$BT$47,25)+((VLOOKUP($E43*$AN$2,$AN$4:$BT$48,27)-VLOOKUP($E43*$AN$2,$AP$3:$BT$47,25))*($E43*$AN$2-VLOOKUP($E43*$AN$2,$AP$3:$BT$47,1))/(VLOOKUP($E43*$AN$2,$AN$4:$BT$48,3)-VLOOKUP($E43*$AN$2,$AP$3:$BT$47,1))))),0)</f>
        <v>0</v>
      </c>
      <c r="AF42" s="50">
        <f>IF($F37&gt;$F43,(IF($F37*$AN$2&gt;$AP$47,VLOOKUP($F37*$AN$2,$AP$3:$BT$47,26),VLOOKUP($F37*$AN$2,$AP$3:$BT$47,26)+((VLOOKUP($F37*$AN$2,$AN$4:$BT$48,28)-VLOOKUP($F37*$AN$2,$AP$3:$BT$47,26))*($F37*$AN$2-VLOOKUP($F37*$AN$2,$AP$3:$BT$47,1))/(VLOOKUP($F37*$AN$2,$AN$4:$BT$48,3)-VLOOKUP($F37*$AN$2,$AP$3:$BT$47,1)))))-(IF($F43*$AN$2&gt;$AP$47,VLOOKUP($F43*$AN$2,$AP$3:$BT$47,26),VLOOKUP($F43*$AN$2,$AP$3:$BT$47,26)+((VLOOKUP($F43*$AN$2,$AN$4:$BT$48,28)-VLOOKUP($F43*$AN$2,$AP$3:$BT$47,26))*($F43*$AN$2-VLOOKUP($F43*$AN$2,$AP$3:$BT$47,1))/(VLOOKUP($F43*$AN$2,$AN$4:$BT$48,3)-VLOOKUP($F43*$AN$2,$AP$3:$BT$47,1))))),0)</f>
        <v>0</v>
      </c>
      <c r="AG42" s="51">
        <f>IF($G37&gt;$G43,(IF($G37*$AN$2&gt;$AP$47,VLOOKUP($G37*$AN$2,$AP$3:$BT$47,27),VLOOKUP($G37*$AN$2,$AP$3:$BT$47,27)+((VLOOKUP($G37*$AN$2,$AN$4:$BT$48,29)-VLOOKUP($G37*$AN$2,$AP$3:$BT$47,27))*($G37*$AN$2-VLOOKUP($G37*$AN$2,$AP$3:$BT$47,1))/(VLOOKUP($G37*$AN$2,$AN$4:$BT$48,3)-VLOOKUP($G37*$AN$2,$AP$3:$BT$47,1)))))-(IF($G43*$AN$2&gt;$AP$47,VLOOKUP($G43*$AN$2,$AP$3:$BT$47,27),VLOOKUP($G43*$AN$2,$AP$3:$BT$47,27)+((VLOOKUP($G43*$AN$2,$AN$4:$BT$48,29)-VLOOKUP($G43*$AN$2,$AP$3:$BT$47,27))*($G43*$AN$2-VLOOKUP($G43*$AN$2,$AP$3:$BT$47,1))/(VLOOKUP($G43*$AN$2,$AN$4:$BT$48,3)-VLOOKUP($G43*$AN$2,$AP$3:$BT$47,1))))),0)</f>
        <v>0</v>
      </c>
      <c r="AH42" s="59">
        <v>0</v>
      </c>
      <c r="AI42" s="50">
        <f>IF($D37&gt;$D43,(IF($D37*$AN$2&gt;$AP$47,VLOOKUP($D37*$AN$2,$AP$3:$BT$47,28),VLOOKUP($D37*$AN$2,$AP$3:$BT$47,28)+((VLOOKUP($D37*$AN$2,$AN$4:$BT$48,30)-VLOOKUP($D37*$AN$2,$AP$3:$BT$47,28))*($D37*$AN$2-VLOOKUP($D37*$AN$2,$AP$3:$BT$47,1))/(VLOOKUP($D37*$AN$2,$AN$4:$BT$48,3)-VLOOKUP($D37*$AN$2,$AP$3:$BT$47,1)))))-(IF($D43*$AN$2&gt;$AP$47,VLOOKUP($D43*$AN$2,$AP$3:$BT$47,28),VLOOKUP($D43*$AN$2,$AP$3:$BT$47,28)+((VLOOKUP($D43*$AN$2,$AN$4:$BT$48,30)-VLOOKUP($D43*$AN$2,$AP$3:$BT$47,28))*($D43*$AN$2-VLOOKUP($D43*$AN$2,$AP$3:$BT$47,1))/(VLOOKUP($D43*$AN$2,$AN$4:$BT$48,3)-VLOOKUP($D43*$AN$2,$AP$3:$BT$47,1))))),0)</f>
        <v>0</v>
      </c>
      <c r="AJ42" s="50">
        <f>IF($E37&gt;$E43,(IF($E37*$AN$2&gt;$AP$47,VLOOKUP($E37*$AN$2,$AP$3:$BT$47,29),VLOOKUP($E37*$AN$2,$AP$3:$BT$47,29)+((VLOOKUP($E37*$AN$2,$AN$4:$BT$48,31)-VLOOKUP($E37*$AN$2,$AP$3:$BT$47,29))*($E37*$AN$2-VLOOKUP($E37*$AN$2,$AP$3:$BT$47,1))/(VLOOKUP($E37*$AN$2,$AN$4:$BT$48,3)-VLOOKUP($E37*$AN$2,$AP$3:$BT$47,1)))))-(IF($E43*$AN$2&gt;$AP$47,VLOOKUP($E43*$AN$2,$AP$3:$BT$47,29),VLOOKUP($E43*$AN$2,$AP$3:$BT$47,29)+((VLOOKUP($E43*$AN$2,$AN$4:$BT$48,31)-VLOOKUP($E43*$AN$2,$AP$3:$BT$47,29))*($E43*$AN$2-VLOOKUP($E43*$AN$2,$AP$3:$BT$47,1))/(VLOOKUP($E43*$AN$2,$AN$4:$BT$48,3)-VLOOKUP($E43*$AN$2,$AP$3:$BT$47,1))))),0)</f>
        <v>0</v>
      </c>
      <c r="AK42" s="50">
        <f>IF($F37&gt;$F43,(IF($F37*$AN$2&gt;$AP$47,VLOOKUP($F37*$AN$2,$AP$3:$BT$47,30),VLOOKUP($F37*$AN$2,$AP$3:$BT$47,30)+((VLOOKUP($F37*$AN$2,$AN$4:$BT$48,32)-VLOOKUP($F37*$AN$2,$AP$3:$BT$47,30))*($F37*$AN$2-VLOOKUP($F37*$AN$2,$AP$3:$BT$47,1))/(VLOOKUP($F37*$AN$2,$AN$4:$BT$48,3)-VLOOKUP($F37*$AN$2,$AP$3:$BT$47,1)))))-(IF($F43*$AN$2&gt;$AP$47,VLOOKUP($F43*$AN$2,$AP$3:$BT$47,30),VLOOKUP($F43*$AN$2,$AP$3:$BT$47,30)+((VLOOKUP($F43*$AN$2,$AN$4:$BT$48,32)-VLOOKUP($F43*$AN$2,$AP$3:$BT$47,30))*($F43*$AN$2-VLOOKUP($F43*$AN$2,$AP$3:$BT$47,1))/(VLOOKUP($F43*$AN$2,$AN$4:$BT$48,3)-VLOOKUP($F43*$AN$2,$AP$3:$BT$47,1))))),0)</f>
        <v>0</v>
      </c>
      <c r="AL42" s="51">
        <f>IF($G37&gt;$G43,(IF($G37*$AN$2&gt;$AP$47,VLOOKUP($G37*$AN$2,$AP$3:$BT$47,31),VLOOKUP($G37*$AN$2,$AP$3:$BT$47,31)+((VLOOKUP($G37*$AN$2,$AN$4:$BT$48,33)-VLOOKUP($G37*$AN$2,$AP$3:$BT$47,31))*($G37*$AN$2-VLOOKUP($G37*$AN$2,$AP$3:$BT$47,1))/(VLOOKUP($G37*$AN$2,$AN$4:$BT$48,3)-VLOOKUP($G37*$AN$2,$AP$3:$BT$47,1)))))-(IF($G43*$AN$2&gt;$AP$47,VLOOKUP($G43*$AN$2,$AP$3:$BT$47,31),VLOOKUP($G43*$AN$2,$AP$3:$BT$47,31)+((VLOOKUP($G43*$AN$2,$AN$4:$BT$48,33)-VLOOKUP($G43*$AN$2,$AP$3:$BT$47,31))*($G43*$AN$2-VLOOKUP($G43*$AN$2,$AP$3:$BT$47,1))/(VLOOKUP($G43*$AN$2,$AN$4:$BT$48,3)-VLOOKUP($G43*$AN$2,$AP$3:$BT$47,1))))),0)</f>
        <v>0</v>
      </c>
      <c r="AN42" s="23">
        <v>1150</v>
      </c>
      <c r="AO42" s="25">
        <f t="shared" si="0"/>
        <v>356.59859798841813</v>
      </c>
      <c r="AP42" s="23">
        <v>1170</v>
      </c>
      <c r="AQ42" s="31">
        <v>1</v>
      </c>
      <c r="AR42" s="31">
        <v>1</v>
      </c>
      <c r="AS42" s="24">
        <v>1</v>
      </c>
      <c r="AT42" s="24">
        <v>0.9998486018213155</v>
      </c>
      <c r="AU42" s="26">
        <v>0.9995458054639463</v>
      </c>
      <c r="AV42" s="92"/>
      <c r="AW42" s="31"/>
      <c r="AX42" s="31"/>
      <c r="AY42" s="31"/>
      <c r="AZ42" s="93"/>
      <c r="BA42" s="101">
        <v>0.21415810000000002</v>
      </c>
      <c r="BB42" s="102">
        <v>0.8139648</v>
      </c>
      <c r="BC42" s="102">
        <v>0.8366087999999998</v>
      </c>
      <c r="BD42" s="103">
        <v>1.0519543999999998</v>
      </c>
      <c r="BE42" s="102">
        <v>0.21962019999999996</v>
      </c>
      <c r="BF42" s="102">
        <v>0.8576615999999998</v>
      </c>
      <c r="BG42" s="102">
        <v>0.8907095999999999</v>
      </c>
      <c r="BH42" s="103">
        <v>1.0790048</v>
      </c>
      <c r="BI42" s="102">
        <v>0.2436216706407781</v>
      </c>
      <c r="BJ42" s="102">
        <v>1.0496733651262242</v>
      </c>
      <c r="BK42" s="102">
        <v>1.1284384520610393</v>
      </c>
      <c r="BL42" s="103">
        <v>1.19786922603052</v>
      </c>
      <c r="BM42" s="53">
        <v>0.31116692437441584</v>
      </c>
      <c r="BN42" s="53">
        <v>1.3163130153385605</v>
      </c>
      <c r="BO42" s="53">
        <v>1.4156294845644208</v>
      </c>
      <c r="BP42" s="54">
        <v>1.50239442614961</v>
      </c>
      <c r="BQ42" s="52">
        <v>0.4463056990840353</v>
      </c>
      <c r="BR42" s="53">
        <v>1.8496275339855526</v>
      </c>
      <c r="BS42" s="53">
        <v>1.989846676954596</v>
      </c>
      <c r="BT42" s="54">
        <v>2.111116139438888</v>
      </c>
      <c r="BU42" s="99"/>
      <c r="BV42" s="99"/>
      <c r="BW42" s="99"/>
      <c r="BX42" s="99"/>
      <c r="BY42" s="99"/>
      <c r="BZ42" s="99"/>
      <c r="CA42" s="78"/>
      <c r="CB42" s="78"/>
      <c r="CC42" s="78"/>
      <c r="CD42" s="78"/>
      <c r="CE42" s="78"/>
      <c r="CF42" s="78"/>
      <c r="CG42" s="78"/>
      <c r="CH42" s="78"/>
      <c r="CI42" s="78"/>
      <c r="CJ42" s="78"/>
      <c r="CK42" s="78"/>
      <c r="CL42" s="78"/>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78"/>
      <c r="EB42" s="78"/>
      <c r="EC42" s="78"/>
    </row>
    <row r="43" spans="1:133" ht="12.75">
      <c r="A43" s="72"/>
      <c r="B43" s="4"/>
      <c r="C43" s="48">
        <v>0</v>
      </c>
      <c r="D43" s="48">
        <f>MAX(C37)</f>
        <v>0</v>
      </c>
      <c r="E43" s="48">
        <f>MAX(C37:D37)</f>
        <v>0</v>
      </c>
      <c r="F43" s="48">
        <f>MAX(C37:E37)</f>
        <v>0</v>
      </c>
      <c r="G43" s="48">
        <f>MAX(C37:F37)</f>
        <v>0</v>
      </c>
      <c r="H43" s="4"/>
      <c r="I43" s="4"/>
      <c r="J43" s="4"/>
      <c r="K43" s="4"/>
      <c r="L43" s="46"/>
      <c r="M43" s="4"/>
      <c r="N43" s="80">
        <v>0</v>
      </c>
      <c r="O43" s="50">
        <f>IF($D38&gt;$D44,(IF($D38*$AN$2&gt;$AP$47,VLOOKUP($D38*$AN$2,$AP$3:$BT$47,12),VLOOKUP($D38*$AN$2,$AP$3:$BT$47,12)+((VLOOKUP($D38*$AN$2,$AN$4:$BT$48,14)-VLOOKUP($D38*$AN$2,$AP$3:$BT$47,12))*($D38*$AN$2-VLOOKUP($D38*$AN$2,$AP$3:$BT$47,1))/(VLOOKUP($D38*$AN$2,$AN$4:$BT$48,3)-VLOOKUP($D38*$AN$2,$AP$3:$BT$47,1)))))-(IF($D44*$AN$2&gt;$AP$47,VLOOKUP($D44*$AN$2,$AP$3:$BT$47,12),VLOOKUP($D44*$AN$2,$AP$3:$BT$47,12)+((VLOOKUP($D44*$AN$2,$AN$4:$BT$48,14)-VLOOKUP($D44*$AN$2,$AP$3:$BT$47,12))*($D44*$AN$2-VLOOKUP($D44*$AN$2,$AP$3:$BT$47,1))/(VLOOKUP($D44*$AN$2,$AN$4:$BT$48,3)-VLOOKUP($D44*$AN$2,$AP$3:$BT$47,1))))),0)</f>
        <v>0</v>
      </c>
      <c r="P43" s="50">
        <f>IF($E38&gt;$E44,(IF($E38*$AN$2&gt;$AP$47,VLOOKUP($E38*$AN$2,$AP$3:$BT$47,13),VLOOKUP($E38*$AN$2,$AP$3:$BT$47,13)+((VLOOKUP($E38*$AN$2,$AN$4:$BT$48,15)-VLOOKUP($E38*$AN$2,$AP$3:$BT$47,13))*($E38*$AN$2-VLOOKUP($E38*$AN$2,$AP$3:$BT$47,1))/(VLOOKUP($E38*$AN$2,$AN$4:$BT$48,3)-VLOOKUP($E38*$AN$2,$AP$3:$BT$47,1)))))-(IF($E44*$AN$2&gt;$AP$47,VLOOKUP($E44*$AN$2,$AP$3:$BT$47,13),VLOOKUP($E44*$AN$2,$AP$3:$BT$47,13)+((VLOOKUP($E44*$AN$2,$AN$4:$BT$48,15)-VLOOKUP($E44*$AN$2,$AP$3:$BT$47,13))*($E44*$AN$2-VLOOKUP($E44*$AN$2,$AP$3:$BT$47,1))/(VLOOKUP($E44*$AN$2,$AN$4:$BT$48,3)-VLOOKUP($E44*$AN$2,$AP$3:$BT$47,1))))),0)</f>
        <v>0</v>
      </c>
      <c r="Q43" s="50">
        <f>IF($F38&gt;$F44,(IF($F38*$AN$2&gt;$AP$47,VLOOKUP($F38*$AN$2,$AP$3:$BT$47,14),VLOOKUP($F38*$AN$2,$AP$3:$BT$47,14)+((VLOOKUP($F38*$AN$2,$AN$4:$BT$48,16)-VLOOKUP($F38*$AN$2,$AP$3:$BT$47,14))*($F38*$AN$2-VLOOKUP($F38*$AN$2,$AP$3:$BT$47,1))/(VLOOKUP($F38*$AN$2,$AN$4:$BT$48,3)-VLOOKUP($F38*$AN$2,$AP$3:$BT$47,1)))))-(IF($F44*$AN$2&gt;$AP$47,VLOOKUP($F44*$AN$2,$AP$3:$BT$47,14),VLOOKUP($F44*$AN$2,$AP$3:$BT$47,14)+((VLOOKUP($F44*$AN$2,$AN$4:$BT$48,16)-VLOOKUP($F44*$AN$2,$AP$3:$BT$47,14))*($F44*$AN$2-VLOOKUP($F44*$AN$2,$AP$3:$BT$47,1))/(VLOOKUP($F44*$AN$2,$AN$4:$BT$48,3)-VLOOKUP($F44*$AN$2,$AP$3:$BT$47,1))))),0)</f>
        <v>0</v>
      </c>
      <c r="R43" s="51">
        <f>IF($G38&gt;$G44,(IF($G38*$AN$2&gt;$AP$47,VLOOKUP($G38*$AN$2,$AP$3:$BT$47,15),VLOOKUP($G38*$AN$2,$AP$3:$BT$47,15)+((VLOOKUP($G38*$AN$2,$AN$4:$BT$48,17)-VLOOKUP($G38*$AN$2,$AP$3:$BT$47,15))*($G38*$AN$2-VLOOKUP($G38*$AN$2,$AP$3:$BT$47,1))/(VLOOKUP($G38*$AN$2,$AN$4:$BT$48,3)-VLOOKUP($G38*$AN$2,$AP$3:$BT$47,1)))))-(IF($G44*$AN$2&gt;$AP$47,VLOOKUP($G44*$AN$2,$AP$3:$BT$47,15),VLOOKUP($G44*$AN$2,$AP$3:$BT$47,15)+((VLOOKUP($G44*$AN$2,$AN$4:$BT$48,17)-VLOOKUP($G44*$AN$2,$AP$3:$BT$47,15))*($G44*$AN$2-VLOOKUP($G44*$AN$2,$AP$3:$BT$47,1))/(VLOOKUP($G44*$AN$2,$AN$4:$BT$48,3)-VLOOKUP($G44*$AN$2,$AP$3:$BT$47,1))))),0)</f>
        <v>0</v>
      </c>
      <c r="S43" s="59">
        <v>0</v>
      </c>
      <c r="T43" s="50">
        <f>IF($D38&gt;$D44,(IF($D38*$AN$2&gt;$AP$47,VLOOKUP($D38*$AN$2,$AP$3:$BT$47,16),VLOOKUP($D38*$AN$2,$AP$3:$BT$47,16)+((VLOOKUP($D38*$AN$2,$AN$4:$BT$48,18)-VLOOKUP($D38*$AN$2,$AP$3:$BT$47,16))*($D38*$AN$2-VLOOKUP($D38*$AN$2,$AP$3:$BT$47,1))/(VLOOKUP($D38*$AN$2,$AN$4:$BT$48,3)-VLOOKUP($D38*$AN$2,$AP$3:$BT$47,1)))))-(IF($D44*$AN$2&gt;$AP$47,VLOOKUP($D44*$AN$2,$AP$3:$BT$47,16),VLOOKUP($D44*$AN$2,$AP$3:$BT$47,16)+((VLOOKUP($D44*$AN$2,$AN$4:$BT$48,18)-VLOOKUP($D44*$AN$2,$AP$3:$BT$47,16))*($D44*$AN$2-VLOOKUP($D44*$AN$2,$AP$3:$BT$47,1))/(VLOOKUP($D44*$AN$2,$AN$4:$BT$48,3)-VLOOKUP($D44*$AN$2,$AP$3:$BT$47,1))))),0)</f>
        <v>0</v>
      </c>
      <c r="U43" s="50">
        <f>IF($E38&gt;$E44,(IF($E38*$AN$2&gt;$AP$47,VLOOKUP($E38*$AN$2,$AP$3:$BT$47,17),VLOOKUP($E38*$AN$2,$AP$3:$BT$47,17)+((VLOOKUP($E38*$AN$2,$AN$4:$BT$48,19)-VLOOKUP($E38*$AN$2,$AP$3:$BT$47,17))*($E38*$AN$2-VLOOKUP($E38*$AN$2,$AP$3:$BT$47,1))/(VLOOKUP($E38*$AN$2,$AN$4:$BT$48,3)-VLOOKUP($E38*$AN$2,$AP$3:$BT$47,1)))))-(IF($E44*$AN$2&gt;$AP$47,VLOOKUP($E44*$AN$2,$AP$3:$BT$47,17),VLOOKUP($E44*$AN$2,$AP$3:$BT$47,17)+((VLOOKUP($E44*$AN$2,$AN$4:$BT$48,19)-VLOOKUP($E44*$AN$2,$AP$3:$BT$47,17))*($E44*$AN$2-VLOOKUP($E44*$AN$2,$AP$3:$BT$47,1))/(VLOOKUP($E44*$AN$2,$AN$4:$BT$48,3)-VLOOKUP($E44*$AN$2,$AP$3:$BT$47,1))))),0)</f>
        <v>0</v>
      </c>
      <c r="V43" s="50">
        <f>IF($F38&gt;$F44,(IF($F38*$AN$2&gt;$AP$47,VLOOKUP($F38*$AN$2,$AP$3:$BT$47,18),VLOOKUP($F38*$AN$2,$AP$3:$BT$47,18)+((VLOOKUP($F38*$AN$2,$AN$4:$BT$48,20)-VLOOKUP($F38*$AN$2,$AP$3:$BT$47,18))*($F38*$AN$2-VLOOKUP($F38*$AN$2,$AP$3:$BT$47,1))/(VLOOKUP($F38*$AN$2,$AN$4:$BT$48,3)-VLOOKUP($F38*$AN$2,$AP$3:$BT$47,1)))))-(IF($F44*$AN$2&gt;$AP$47,VLOOKUP($F44*$AN$2,$AP$3:$BT$47,18),VLOOKUP($F44*$AN$2,$AP$3:$BT$47,18)+((VLOOKUP($F44*$AN$2,$AN$4:$BT$48,20)-VLOOKUP($F44*$AN$2,$AP$3:$BT$47,18))*($F44*$AN$2-VLOOKUP($F44*$AN$2,$AP$3:$BT$47,1))/(VLOOKUP($F44*$AN$2,$AN$4:$BT$48,3)-VLOOKUP($F44*$AN$2,$AP$3:$BT$47,1))))),0)</f>
        <v>0</v>
      </c>
      <c r="W43" s="51">
        <f>IF($G38&gt;$G44,(IF($G38*$AN$2&gt;$AP$47,VLOOKUP($G38*$AN$2,$AP$3:$BT$47,19),VLOOKUP($G38*$AN$2,$AP$3:$BT$47,19)+((VLOOKUP($G38*$AN$2,$AN$4:$BT$48,21)-VLOOKUP($G38*$AN$2,$AP$3:$BT$47,19))*($G38*$AN$2-VLOOKUP($G38*$AN$2,$AP$3:$BT$47,1))/(VLOOKUP($G38*$AN$2,$AN$4:$BT$48,3)-VLOOKUP($G38*$AN$2,$AP$3:$BT$47,1)))))-(IF($G44*$AN$2&gt;$AP$47,VLOOKUP($G44*$AN$2,$AP$3:$BT$47,19),VLOOKUP($G44*$AN$2,$AP$3:$BT$47,19)+((VLOOKUP($G44*$AN$2,$AN$4:$BT$48,21)-VLOOKUP($G44*$AN$2,$AP$3:$BT$47,19))*($G44*$AN$2-VLOOKUP($G44*$AN$2,$AP$3:$BT$47,1))/(VLOOKUP($G44*$AN$2,$AN$4:$BT$48,3)-VLOOKUP($G44*$AN$2,$AP$3:$BT$47,1))))),0)</f>
        <v>0</v>
      </c>
      <c r="X43" s="80">
        <v>0</v>
      </c>
      <c r="Y43" s="50">
        <f>IF($D38&gt;$D44,(IF($D38*$AN$2&gt;$AP$47,VLOOKUP($D38*$AN$2,$AP$3:$BT$47,20),VLOOKUP($D38*$AN$2,$AP$3:$BT$47,20)+((VLOOKUP($D38*$AN$2,$AN$4:$BT$48,22)-VLOOKUP($D38*$AN$2,$AP$3:$BT$47,20))*($D38*$AN$2-VLOOKUP($D38*$AN$2,$AP$3:$BT$47,1))/(VLOOKUP($D38*$AN$2,$AN$4:$BT$48,3)-VLOOKUP($D38*$AN$2,$AP$3:$BT$47,1)))))-(IF($D44*$AN$2&gt;$AP$47,VLOOKUP($D44*$AN$2,$AP$3:$BT$47,20),VLOOKUP($D44*$AN$2,$AP$3:$BT$47,20)+((VLOOKUP($D44*$AN$2,$AN$4:$BT$48,22)-VLOOKUP($D44*$AN$2,$AP$3:$BT$47,20))*($D44*$AN$2-VLOOKUP($D44*$AN$2,$AP$3:$BT$47,1))/(VLOOKUP($D44*$AN$2,$AN$4:$BT$48,3)-VLOOKUP($D44*$AN$2,$AP$3:$BT$47,1))))),0)</f>
        <v>0</v>
      </c>
      <c r="Z43" s="50">
        <f>IF($E38&gt;$E44,(IF($E38*$AN$2&gt;$AP$47,VLOOKUP($E38*$AN$2,$AP$3:$BT$47,21),VLOOKUP($E38*$AN$2,$AP$3:$BT$47,21)+((VLOOKUP($E38*$AN$2,$AN$4:$BT$48,23)-VLOOKUP($E38*$AN$2,$AP$3:$BT$47,21))*($E38*$AN$2-VLOOKUP($E38*$AN$2,$AP$3:$BT$47,1))/(VLOOKUP($E38*$AN$2,$AN$4:$BT$48,3)-VLOOKUP($E38*$AN$2,$AP$3:$BT$47,1)))))-(IF($E44*$AN$2&gt;$AP$47,VLOOKUP($E44*$AN$2,$AP$3:$BT$47,21),VLOOKUP($E44*$AN$2,$AP$3:$BT$47,21)+((VLOOKUP($E44*$AN$2,$AN$4:$BT$48,23)-VLOOKUP($E44*$AN$2,$AP$3:$BT$47,21))*($E44*$AN$2-VLOOKUP($E44*$AN$2,$AP$3:$BT$47,1))/(VLOOKUP($E44*$AN$2,$AN$4:$BT$48,3)-VLOOKUP($E44*$AN$2,$AP$3:$BT$47,1))))),0)</f>
        <v>0</v>
      </c>
      <c r="AA43" s="50">
        <f>IF($F38&gt;$F44,(IF($F38*$AN$2&gt;$AP$47,VLOOKUP($F38*$AN$2,$AP$3:$BT$47,22),VLOOKUP($F38*$AN$2,$AP$3:$BT$47,22)+((VLOOKUP($F38*$AN$2,$AN$4:$BT$48,24)-VLOOKUP($F38*$AN$2,$AP$3:$BT$47,22))*($F38*$AN$2-VLOOKUP($F38*$AN$2,$AP$3:$BT$47,1))/(VLOOKUP($F38*$AN$2,$AN$4:$BT$48,3)-VLOOKUP($F38*$AN$2,$AP$3:$BT$47,1)))))-(IF($F44*$AN$2&gt;$AP$47,VLOOKUP($F44*$AN$2,$AP$3:$BT$47,22),VLOOKUP($F44*$AN$2,$AP$3:$BT$47,22)+((VLOOKUP($F44*$AN$2,$AN$4:$BT$48,24)-VLOOKUP($F44*$AN$2,$AP$3:$BT$47,22))*($F44*$AN$2-VLOOKUP($F44*$AN$2,$AP$3:$BT$47,1))/(VLOOKUP($F44*$AN$2,$AN$4:$BT$48,3)-VLOOKUP($F44*$AN$2,$AP$3:$BT$47,1))))),0)</f>
        <v>0</v>
      </c>
      <c r="AB43" s="51">
        <f>IF($G38&gt;$G44,(IF($G38*$AN$2&gt;$AP$47,VLOOKUP($G38*$AN$2,$AP$3:$BT$47,23),VLOOKUP($G38*$AN$2,$AP$3:$BT$47,23)+((VLOOKUP($G38*$AN$2,$AN$4:$BT$48,25)-VLOOKUP($G38*$AN$2,$AP$3:$BT$47,23))*($G38*$AN$2-VLOOKUP($G38*$AN$2,$AP$3:$BT$47,1))/(VLOOKUP($G38*$AN$2,$AN$4:$BT$48,3)-VLOOKUP($G38*$AN$2,$AP$3:$BT$47,1)))))-(IF($G44*$AN$2&gt;$AP$47,VLOOKUP($G44*$AN$2,$AP$3:$BT$47,23),VLOOKUP($G44*$AN$2,$AP$3:$BT$47,23)+((VLOOKUP($G44*$AN$2,$AN$4:$BT$48,25)-VLOOKUP($G44*$AN$2,$AP$3:$BT$47,23))*($G44*$AN$2-VLOOKUP($G44*$AN$2,$AP$3:$BT$47,1))/(VLOOKUP($G44*$AN$2,$AN$4:$BT$48,3)-VLOOKUP($G44*$AN$2,$AP$3:$BT$47,1))))),0)</f>
        <v>0</v>
      </c>
      <c r="AC43" s="80">
        <v>0</v>
      </c>
      <c r="AD43" s="50">
        <f>IF($D38&gt;$D44,(IF($D38*$AN$2&gt;$AP$47,VLOOKUP($D38*$AN$2,$AP$3:$BT$47,24),VLOOKUP($D38*$AN$2,$AP$3:$BT$47,24)+((VLOOKUP($D38*$AN$2,$AN$4:$BT$48,26)-VLOOKUP($D38*$AN$2,$AP$3:$BT$47,24))*($D38*$AN$2-VLOOKUP($D38*$AN$2,$AP$3:$BT$47,1))/(VLOOKUP($D38*$AN$2,$AN$4:$BT$48,3)-VLOOKUP($D38*$AN$2,$AP$3:$BT$47,1)))))-(IF($D44*$AN$2&gt;$AP$47,VLOOKUP($D44*$AN$2,$AP$3:$BT$47,24),VLOOKUP($D44*$AN$2,$AP$3:$BT$47,24)+((VLOOKUP($D44*$AN$2,$AN$4:$BT$48,26)-VLOOKUP($D44*$AN$2,$AP$3:$BT$47,24))*($D44*$AN$2-VLOOKUP($D44*$AN$2,$AP$3:$BT$47,1))/(VLOOKUP($D44*$AN$2,$AN$4:$BT$48,3)-VLOOKUP($D44*$AN$2,$AP$3:$BT$47,1))))),0)</f>
        <v>0</v>
      </c>
      <c r="AE43" s="50">
        <f>IF($E38&gt;$E44,(IF($E38*$AN$2&gt;$AP$47,VLOOKUP($E38*$AN$2,$AP$3:$BT$47,25),VLOOKUP($E38*$AN$2,$AP$3:$BT$47,25)+((VLOOKUP($E38*$AN$2,$AN$4:$BT$48,27)-VLOOKUP($E38*$AN$2,$AP$3:$BT$47,25))*($E38*$AN$2-VLOOKUP($E38*$AN$2,$AP$3:$BT$47,1))/(VLOOKUP($E38*$AN$2,$AN$4:$BT$48,3)-VLOOKUP($E38*$AN$2,$AP$3:$BT$47,1)))))-(IF($E44*$AN$2&gt;$AP$47,VLOOKUP($E44*$AN$2,$AP$3:$BT$47,25),VLOOKUP($E44*$AN$2,$AP$3:$BT$47,25)+((VLOOKUP($E44*$AN$2,$AN$4:$BT$48,27)-VLOOKUP($E44*$AN$2,$AP$3:$BT$47,25))*($E44*$AN$2-VLOOKUP($E44*$AN$2,$AP$3:$BT$47,1))/(VLOOKUP($E44*$AN$2,$AN$4:$BT$48,3)-VLOOKUP($E44*$AN$2,$AP$3:$BT$47,1))))),0)</f>
        <v>0</v>
      </c>
      <c r="AF43" s="50">
        <f>IF($F38&gt;$F44,(IF($F38*$AN$2&gt;$AP$47,VLOOKUP($F38*$AN$2,$AP$3:$BT$47,26),VLOOKUP($F38*$AN$2,$AP$3:$BT$47,26)+((VLOOKUP($F38*$AN$2,$AN$4:$BT$48,28)-VLOOKUP($F38*$AN$2,$AP$3:$BT$47,26))*($F38*$AN$2-VLOOKUP($F38*$AN$2,$AP$3:$BT$47,1))/(VLOOKUP($F38*$AN$2,$AN$4:$BT$48,3)-VLOOKUP($F38*$AN$2,$AP$3:$BT$47,1)))))-(IF($F44*$AN$2&gt;$AP$47,VLOOKUP($F44*$AN$2,$AP$3:$BT$47,26),VLOOKUP($F44*$AN$2,$AP$3:$BT$47,26)+((VLOOKUP($F44*$AN$2,$AN$4:$BT$48,28)-VLOOKUP($F44*$AN$2,$AP$3:$BT$47,26))*($F44*$AN$2-VLOOKUP($F44*$AN$2,$AP$3:$BT$47,1))/(VLOOKUP($F44*$AN$2,$AN$4:$BT$48,3)-VLOOKUP($F44*$AN$2,$AP$3:$BT$47,1))))),0)</f>
        <v>0</v>
      </c>
      <c r="AG43" s="51">
        <f>IF($G38&gt;$G44,(IF($G38*$AN$2&gt;$AP$47,VLOOKUP($G38*$AN$2,$AP$3:$BT$47,27),VLOOKUP($G38*$AN$2,$AP$3:$BT$47,27)+((VLOOKUP($G38*$AN$2,$AN$4:$BT$48,29)-VLOOKUP($G38*$AN$2,$AP$3:$BT$47,27))*($G38*$AN$2-VLOOKUP($G38*$AN$2,$AP$3:$BT$47,1))/(VLOOKUP($G38*$AN$2,$AN$4:$BT$48,3)-VLOOKUP($G38*$AN$2,$AP$3:$BT$47,1)))))-(IF($G44*$AN$2&gt;$AP$47,VLOOKUP($G44*$AN$2,$AP$3:$BT$47,27),VLOOKUP($G44*$AN$2,$AP$3:$BT$47,27)+((VLOOKUP($G44*$AN$2,$AN$4:$BT$48,29)-VLOOKUP($G44*$AN$2,$AP$3:$BT$47,27))*($G44*$AN$2-VLOOKUP($G44*$AN$2,$AP$3:$BT$47,1))/(VLOOKUP($G44*$AN$2,$AN$4:$BT$48,3)-VLOOKUP($G44*$AN$2,$AP$3:$BT$47,1))))),0)</f>
        <v>0</v>
      </c>
      <c r="AH43" s="59">
        <v>0</v>
      </c>
      <c r="AI43" s="50">
        <f>IF($D38&gt;$D44,(IF($D38*$AN$2&gt;$AP$47,VLOOKUP($D38*$AN$2,$AP$3:$BT$47,28),VLOOKUP($D38*$AN$2,$AP$3:$BT$47,28)+((VLOOKUP($D38*$AN$2,$AN$4:$BT$48,30)-VLOOKUP($D38*$AN$2,$AP$3:$BT$47,28))*($D38*$AN$2-VLOOKUP($D38*$AN$2,$AP$3:$BT$47,1))/(VLOOKUP($D38*$AN$2,$AN$4:$BT$48,3)-VLOOKUP($D38*$AN$2,$AP$3:$BT$47,1)))))-(IF($D44*$AN$2&gt;$AP$47,VLOOKUP($D44*$AN$2,$AP$3:$BT$47,28),VLOOKUP($D44*$AN$2,$AP$3:$BT$47,28)+((VLOOKUP($D44*$AN$2,$AN$4:$BT$48,30)-VLOOKUP($D44*$AN$2,$AP$3:$BT$47,28))*($D44*$AN$2-VLOOKUP($D44*$AN$2,$AP$3:$BT$47,1))/(VLOOKUP($D44*$AN$2,$AN$4:$BT$48,3)-VLOOKUP($D44*$AN$2,$AP$3:$BT$47,1))))),0)</f>
        <v>0</v>
      </c>
      <c r="AJ43" s="50">
        <f>IF($E38&gt;$E44,(IF($E38*$AN$2&gt;$AP$47,VLOOKUP($E38*$AN$2,$AP$3:$BT$47,29),VLOOKUP($E38*$AN$2,$AP$3:$BT$47,29)+((VLOOKUP($E38*$AN$2,$AN$4:$BT$48,31)-VLOOKUP($E38*$AN$2,$AP$3:$BT$47,29))*($E38*$AN$2-VLOOKUP($E38*$AN$2,$AP$3:$BT$47,1))/(VLOOKUP($E38*$AN$2,$AN$4:$BT$48,3)-VLOOKUP($E38*$AN$2,$AP$3:$BT$47,1)))))-(IF($E44*$AN$2&gt;$AP$47,VLOOKUP($E44*$AN$2,$AP$3:$BT$47,29),VLOOKUP($E44*$AN$2,$AP$3:$BT$47,29)+((VLOOKUP($E44*$AN$2,$AN$4:$BT$48,31)-VLOOKUP($E44*$AN$2,$AP$3:$BT$47,29))*($E44*$AN$2-VLOOKUP($E44*$AN$2,$AP$3:$BT$47,1))/(VLOOKUP($E44*$AN$2,$AN$4:$BT$48,3)-VLOOKUP($E44*$AN$2,$AP$3:$BT$47,1))))),0)</f>
        <v>0</v>
      </c>
      <c r="AK43" s="50">
        <f>IF($F38&gt;$F44,(IF($F38*$AN$2&gt;$AP$47,VLOOKUP($F38*$AN$2,$AP$3:$BT$47,30),VLOOKUP($F38*$AN$2,$AP$3:$BT$47,30)+((VLOOKUP($F38*$AN$2,$AN$4:$BT$48,32)-VLOOKUP($F38*$AN$2,$AP$3:$BT$47,30))*($F38*$AN$2-VLOOKUP($F38*$AN$2,$AP$3:$BT$47,1))/(VLOOKUP($F38*$AN$2,$AN$4:$BT$48,3)-VLOOKUP($F38*$AN$2,$AP$3:$BT$47,1)))))-(IF($F44*$AN$2&gt;$AP$47,VLOOKUP($F44*$AN$2,$AP$3:$BT$47,30),VLOOKUP($F44*$AN$2,$AP$3:$BT$47,30)+((VLOOKUP($F44*$AN$2,$AN$4:$BT$48,32)-VLOOKUP($F44*$AN$2,$AP$3:$BT$47,30))*($F44*$AN$2-VLOOKUP($F44*$AN$2,$AP$3:$BT$47,1))/(VLOOKUP($F44*$AN$2,$AN$4:$BT$48,3)-VLOOKUP($F44*$AN$2,$AP$3:$BT$47,1))))),0)</f>
        <v>0</v>
      </c>
      <c r="AL43" s="51">
        <f>IF($G38&gt;$G44,(IF($G38*$AN$2&gt;$AP$47,VLOOKUP($G38*$AN$2,$AP$3:$BT$47,31),VLOOKUP($G38*$AN$2,$AP$3:$BT$47,31)+((VLOOKUP($G38*$AN$2,$AN$4:$BT$48,33)-VLOOKUP($G38*$AN$2,$AP$3:$BT$47,31))*($G38*$AN$2-VLOOKUP($G38*$AN$2,$AP$3:$BT$47,1))/(VLOOKUP($G38*$AN$2,$AN$4:$BT$48,3)-VLOOKUP($G38*$AN$2,$AP$3:$BT$47,1)))))-(IF($G44*$AN$2&gt;$AP$47,VLOOKUP($G44*$AN$2,$AP$3:$BT$47,31),VLOOKUP($G44*$AN$2,$AP$3:$BT$47,31)+((VLOOKUP($G44*$AN$2,$AN$4:$BT$48,33)-VLOOKUP($G44*$AN$2,$AP$3:$BT$47,31))*($G44*$AN$2-VLOOKUP($G44*$AN$2,$AP$3:$BT$47,1))/(VLOOKUP($G44*$AN$2,$AN$4:$BT$48,3)-VLOOKUP($G44*$AN$2,$AP$3:$BT$47,1))))),0)</f>
        <v>0</v>
      </c>
      <c r="AN43" s="23">
        <v>1170</v>
      </c>
      <c r="AO43" s="25">
        <f t="shared" si="0"/>
        <v>365.74215178299295</v>
      </c>
      <c r="AP43" s="23">
        <v>1200</v>
      </c>
      <c r="AQ43" s="31">
        <v>1</v>
      </c>
      <c r="AR43" s="31">
        <v>1</v>
      </c>
      <c r="AS43" s="24">
        <v>1</v>
      </c>
      <c r="AT43" s="24">
        <v>0.9999794452096316</v>
      </c>
      <c r="AU43" s="26">
        <v>0.9999383356288946</v>
      </c>
      <c r="AV43" s="92"/>
      <c r="AW43" s="31"/>
      <c r="AX43" s="31"/>
      <c r="AY43" s="31"/>
      <c r="AZ43" s="93"/>
      <c r="BA43" s="101">
        <v>0.21415810000000002</v>
      </c>
      <c r="BB43" s="102">
        <v>0.8139648</v>
      </c>
      <c r="BC43" s="102">
        <v>0.8366087999999998</v>
      </c>
      <c r="BD43" s="103">
        <v>1.0519543999999998</v>
      </c>
      <c r="BE43" s="102">
        <v>0.21962019999999996</v>
      </c>
      <c r="BF43" s="102">
        <v>0.8576615999999998</v>
      </c>
      <c r="BG43" s="102">
        <v>0.8907095999999999</v>
      </c>
      <c r="BH43" s="103">
        <v>1.0790048</v>
      </c>
      <c r="BI43" s="102">
        <v>0.2436216706407781</v>
      </c>
      <c r="BJ43" s="102">
        <v>1.0496733651262242</v>
      </c>
      <c r="BK43" s="102">
        <v>1.1284384520610393</v>
      </c>
      <c r="BL43" s="103">
        <v>1.19786922603052</v>
      </c>
      <c r="BM43" s="102">
        <v>0.311233890020556</v>
      </c>
      <c r="BN43" s="102">
        <v>1.3166952350445094</v>
      </c>
      <c r="BO43" s="102">
        <v>1.416074692277505</v>
      </c>
      <c r="BP43" s="103">
        <v>1.502721011246847</v>
      </c>
      <c r="BQ43" s="101">
        <v>0.4465513052082434</v>
      </c>
      <c r="BR43" s="102">
        <v>1.8509166030472426</v>
      </c>
      <c r="BS43" s="102">
        <v>1.991324788543725</v>
      </c>
      <c r="BT43" s="103">
        <v>2.1122935336686504</v>
      </c>
      <c r="BU43" s="99"/>
      <c r="BV43" s="99"/>
      <c r="BW43" s="99"/>
      <c r="BX43" s="99"/>
      <c r="BY43" s="99"/>
      <c r="BZ43" s="99"/>
      <c r="CA43" s="78"/>
      <c r="CB43" s="78"/>
      <c r="CC43" s="78"/>
      <c r="CD43" s="78"/>
      <c r="CE43" s="78"/>
      <c r="CF43" s="78"/>
      <c r="CG43" s="78"/>
      <c r="CH43" s="78"/>
      <c r="CI43" s="78"/>
      <c r="CJ43" s="78"/>
      <c r="CK43" s="78"/>
      <c r="CL43" s="78"/>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78"/>
      <c r="EB43" s="78"/>
      <c r="EC43" s="78"/>
    </row>
    <row r="44" spans="1:133" ht="12.75">
      <c r="A44" s="11"/>
      <c r="B44" s="4"/>
      <c r="C44" s="48">
        <v>0</v>
      </c>
      <c r="D44" s="48">
        <f>MAX(C37:C38,D37:G37)</f>
        <v>0</v>
      </c>
      <c r="E44" s="48">
        <f>MAX(C37:D38,E37:G37)</f>
        <v>0</v>
      </c>
      <c r="F44" s="48">
        <f>MAX(C37:E38,F37:G37)</f>
        <v>0</v>
      </c>
      <c r="G44" s="48">
        <f>MAX(C37:F38)</f>
        <v>0</v>
      </c>
      <c r="H44" s="4"/>
      <c r="I44" s="4"/>
      <c r="J44" s="4"/>
      <c r="K44" s="4"/>
      <c r="L44" s="46"/>
      <c r="M44" s="4"/>
      <c r="N44" s="80">
        <v>0</v>
      </c>
      <c r="O44" s="50">
        <f>IF($D39&gt;$D45,(IF($D39*$AN$2&gt;$AP$47,VLOOKUP($D39*$AN$2,$AP$3:$BT$47,12),VLOOKUP($D39*$AN$2,$AP$3:$BT$47,12)+((VLOOKUP($D39*$AN$2,$AN$4:$BT$48,14)-VLOOKUP($D39*$AN$2,$AP$3:$BT$47,12))*($D39*$AN$2-VLOOKUP($D39*$AN$2,$AP$3:$BT$47,1))/(VLOOKUP($D39*$AN$2,$AN$4:$BT$48,3)-VLOOKUP($D39*$AN$2,$AP$3:$BT$47,1)))))-(IF($D45*$AN$2&gt;$AP$47,VLOOKUP($D45*$AN$2,$AP$3:$BT$47,12),VLOOKUP($D45*$AN$2,$AP$3:$BT$47,12)+((VLOOKUP($D45*$AN$2,$AN$4:$BT$48,14)-VLOOKUP($D45*$AN$2,$AP$3:$BT$47,12))*($D45*$AN$2-VLOOKUP($D45*$AN$2,$AP$3:$BT$47,1))/(VLOOKUP($D45*$AN$2,$AN$4:$BT$48,3)-VLOOKUP($D45*$AN$2,$AP$3:$BT$47,1))))),0)</f>
        <v>0</v>
      </c>
      <c r="P44" s="50">
        <f>IF($E39&gt;$E45,(IF($E39*$AN$2&gt;$AP$47,VLOOKUP($E39*$AN$2,$AP$3:$BT$47,13),VLOOKUP($E39*$AN$2,$AP$3:$BT$47,13)+((VLOOKUP($E39*$AN$2,$AN$4:$BT$48,15)-VLOOKUP($E39*$AN$2,$AP$3:$BT$47,13))*($E39*$AN$2-VLOOKUP($E39*$AN$2,$AP$3:$BT$47,1))/(VLOOKUP($E39*$AN$2,$AN$4:$BT$48,3)-VLOOKUP($E39*$AN$2,$AP$3:$BT$47,1)))))-(IF($E45*$AN$2&gt;$AP$47,VLOOKUP($E45*$AN$2,$AP$3:$BT$47,13),VLOOKUP($E45*$AN$2,$AP$3:$BT$47,13)+((VLOOKUP($E45*$AN$2,$AN$4:$BT$48,15)-VLOOKUP($E45*$AN$2,$AP$3:$BT$47,13))*($E45*$AN$2-VLOOKUP($E45*$AN$2,$AP$3:$BT$47,1))/(VLOOKUP($E45*$AN$2,$AN$4:$BT$48,3)-VLOOKUP($E45*$AN$2,$AP$3:$BT$47,1))))),0)</f>
        <v>0</v>
      </c>
      <c r="Q44" s="50">
        <f>IF($F39&gt;$F45,(IF($F39*$AN$2&gt;$AP$47,VLOOKUP($F39*$AN$2,$AP$3:$BT$47,14),VLOOKUP($F39*$AN$2,$AP$3:$BT$47,14)+((VLOOKUP($F39*$AN$2,$AN$4:$BT$48,16)-VLOOKUP($F39*$AN$2,$AP$3:$BT$47,14))*($F39*$AN$2-VLOOKUP($F39*$AN$2,$AP$3:$BT$47,1))/(VLOOKUP($F39*$AN$2,$AN$4:$BT$48,3)-VLOOKUP($F39*$AN$2,$AP$3:$BT$47,1)))))-(IF($F45*$AN$2&gt;$AP$47,VLOOKUP($F45*$AN$2,$AP$3:$BT$47,14),VLOOKUP($F45*$AN$2,$AP$3:$BT$47,14)+((VLOOKUP($F45*$AN$2,$AN$4:$BT$48,16)-VLOOKUP($F45*$AN$2,$AP$3:$BT$47,14))*($F45*$AN$2-VLOOKUP($F45*$AN$2,$AP$3:$BT$47,1))/(VLOOKUP($F45*$AN$2,$AN$4:$BT$48,3)-VLOOKUP($F45*$AN$2,$AP$3:$BT$47,1))))),0)</f>
        <v>0</v>
      </c>
      <c r="R44" s="51">
        <f>IF($G39&gt;$G45,(IF($G39*$AN$2&gt;$AP$47,VLOOKUP($G39*$AN$2,$AP$3:$BT$47,15),VLOOKUP($G39*$AN$2,$AP$3:$BT$47,15)+((VLOOKUP($G39*$AN$2,$AN$4:$BT$48,17)-VLOOKUP($G39*$AN$2,$AP$3:$BT$47,15))*($G39*$AN$2-VLOOKUP($G39*$AN$2,$AP$3:$BT$47,1))/(VLOOKUP($G39*$AN$2,$AN$4:$BT$48,3)-VLOOKUP($G39*$AN$2,$AP$3:$BT$47,1)))))-(IF($G45*$AN$2&gt;$AP$47,VLOOKUP($G45*$AN$2,$AP$3:$BT$47,15),VLOOKUP($G45*$AN$2,$AP$3:$BT$47,15)+((VLOOKUP($G45*$AN$2,$AN$4:$BT$48,17)-VLOOKUP($G45*$AN$2,$AP$3:$BT$47,15))*($G45*$AN$2-VLOOKUP($G45*$AN$2,$AP$3:$BT$47,1))/(VLOOKUP($G45*$AN$2,$AN$4:$BT$48,3)-VLOOKUP($G45*$AN$2,$AP$3:$BT$47,1))))),0)</f>
        <v>0</v>
      </c>
      <c r="S44" s="59">
        <v>0</v>
      </c>
      <c r="T44" s="50">
        <f>IF($D39&gt;$D45,(IF($D39*$AN$2&gt;$AP$47,VLOOKUP($D39*$AN$2,$AP$3:$BT$47,16),VLOOKUP($D39*$AN$2,$AP$3:$BT$47,16)+((VLOOKUP($D39*$AN$2,$AN$4:$BT$48,18)-VLOOKUP($D39*$AN$2,$AP$3:$BT$47,16))*($D39*$AN$2-VLOOKUP($D39*$AN$2,$AP$3:$BT$47,1))/(VLOOKUP($D39*$AN$2,$AN$4:$BT$48,3)-VLOOKUP($D39*$AN$2,$AP$3:$BT$47,1)))))-(IF($D45*$AN$2&gt;$AP$47,VLOOKUP($D45*$AN$2,$AP$3:$BT$47,16),VLOOKUP($D45*$AN$2,$AP$3:$BT$47,16)+((VLOOKUP($D45*$AN$2,$AN$4:$BT$48,18)-VLOOKUP($D45*$AN$2,$AP$3:$BT$47,16))*($D45*$AN$2-VLOOKUP($D45*$AN$2,$AP$3:$BT$47,1))/(VLOOKUP($D45*$AN$2,$AN$4:$BT$48,3)-VLOOKUP($D45*$AN$2,$AP$3:$BT$47,1))))),0)</f>
        <v>0</v>
      </c>
      <c r="U44" s="50">
        <f>IF($E39&gt;$E45,(IF($E39*$AN$2&gt;$AP$47,VLOOKUP($E39*$AN$2,$AP$3:$BT$47,17),VLOOKUP($E39*$AN$2,$AP$3:$BT$47,17)+((VLOOKUP($E39*$AN$2,$AN$4:$BT$48,19)-VLOOKUP($E39*$AN$2,$AP$3:$BT$47,17))*($E39*$AN$2-VLOOKUP($E39*$AN$2,$AP$3:$BT$47,1))/(VLOOKUP($E39*$AN$2,$AN$4:$BT$48,3)-VLOOKUP($E39*$AN$2,$AP$3:$BT$47,1)))))-(IF($E45*$AN$2&gt;$AP$47,VLOOKUP($E45*$AN$2,$AP$3:$BT$47,17),VLOOKUP($E45*$AN$2,$AP$3:$BT$47,17)+((VLOOKUP($E45*$AN$2,$AN$4:$BT$48,19)-VLOOKUP($E45*$AN$2,$AP$3:$BT$47,17))*($E45*$AN$2-VLOOKUP($E45*$AN$2,$AP$3:$BT$47,1))/(VLOOKUP($E45*$AN$2,$AN$4:$BT$48,3)-VLOOKUP($E45*$AN$2,$AP$3:$BT$47,1))))),0)</f>
        <v>0</v>
      </c>
      <c r="V44" s="50">
        <f>IF($F39&gt;$F45,(IF($F39*$AN$2&gt;$AP$47,VLOOKUP($F39*$AN$2,$AP$3:$BT$47,18),VLOOKUP($F39*$AN$2,$AP$3:$BT$47,18)+((VLOOKUP($F39*$AN$2,$AN$4:$BT$48,20)-VLOOKUP($F39*$AN$2,$AP$3:$BT$47,18))*($F39*$AN$2-VLOOKUP($F39*$AN$2,$AP$3:$BT$47,1))/(VLOOKUP($F39*$AN$2,$AN$4:$BT$48,3)-VLOOKUP($F39*$AN$2,$AP$3:$BT$47,1)))))-(IF($F45*$AN$2&gt;$AP$47,VLOOKUP($F45*$AN$2,$AP$3:$BT$47,18),VLOOKUP($F45*$AN$2,$AP$3:$BT$47,18)+((VLOOKUP($F45*$AN$2,$AN$4:$BT$48,20)-VLOOKUP($F45*$AN$2,$AP$3:$BT$47,18))*($F45*$AN$2-VLOOKUP($F45*$AN$2,$AP$3:$BT$47,1))/(VLOOKUP($F45*$AN$2,$AN$4:$BT$48,3)-VLOOKUP($F45*$AN$2,$AP$3:$BT$47,1))))),0)</f>
        <v>0</v>
      </c>
      <c r="W44" s="51">
        <f>IF($G39&gt;$G45,(IF($G39*$AN$2&gt;$AP$47,VLOOKUP($G39*$AN$2,$AP$3:$BT$47,19),VLOOKUP($G39*$AN$2,$AP$3:$BT$47,19)+((VLOOKUP($G39*$AN$2,$AN$4:$BT$48,21)-VLOOKUP($G39*$AN$2,$AP$3:$BT$47,19))*($G39*$AN$2-VLOOKUP($G39*$AN$2,$AP$3:$BT$47,1))/(VLOOKUP($G39*$AN$2,$AN$4:$BT$48,3)-VLOOKUP($G39*$AN$2,$AP$3:$BT$47,1)))))-(IF($G45*$AN$2&gt;$AP$47,VLOOKUP($G45*$AN$2,$AP$3:$BT$47,19),VLOOKUP($G45*$AN$2,$AP$3:$BT$47,19)+((VLOOKUP($G45*$AN$2,$AN$4:$BT$48,21)-VLOOKUP($G45*$AN$2,$AP$3:$BT$47,19))*($G45*$AN$2-VLOOKUP($G45*$AN$2,$AP$3:$BT$47,1))/(VLOOKUP($G45*$AN$2,$AN$4:$BT$48,3)-VLOOKUP($G45*$AN$2,$AP$3:$BT$47,1))))),0)</f>
        <v>0</v>
      </c>
      <c r="X44" s="80">
        <v>0</v>
      </c>
      <c r="Y44" s="50">
        <f>IF($D39&gt;$D45,(IF($D39*$AN$2&gt;$AP$47,VLOOKUP($D39*$AN$2,$AP$3:$BT$47,20),VLOOKUP($D39*$AN$2,$AP$3:$BT$47,20)+((VLOOKUP($D39*$AN$2,$AN$4:$BT$48,22)-VLOOKUP($D39*$AN$2,$AP$3:$BT$47,20))*($D39*$AN$2-VLOOKUP($D39*$AN$2,$AP$3:$BT$47,1))/(VLOOKUP($D39*$AN$2,$AN$4:$BT$48,3)-VLOOKUP($D39*$AN$2,$AP$3:$BT$47,1)))))-(IF($D45*$AN$2&gt;$AP$47,VLOOKUP($D45*$AN$2,$AP$3:$BT$47,20),VLOOKUP($D45*$AN$2,$AP$3:$BT$47,20)+((VLOOKUP($D45*$AN$2,$AN$4:$BT$48,22)-VLOOKUP($D45*$AN$2,$AP$3:$BT$47,20))*($D45*$AN$2-VLOOKUP($D45*$AN$2,$AP$3:$BT$47,1))/(VLOOKUP($D45*$AN$2,$AN$4:$BT$48,3)-VLOOKUP($D45*$AN$2,$AP$3:$BT$47,1))))),0)</f>
        <v>0</v>
      </c>
      <c r="Z44" s="50">
        <f>IF($E39&gt;$E45,(IF($E39*$AN$2&gt;$AP$47,VLOOKUP($E39*$AN$2,$AP$3:$BT$47,21),VLOOKUP($E39*$AN$2,$AP$3:$BT$47,21)+((VLOOKUP($E39*$AN$2,$AN$4:$BT$48,23)-VLOOKUP($E39*$AN$2,$AP$3:$BT$47,21))*($E39*$AN$2-VLOOKUP($E39*$AN$2,$AP$3:$BT$47,1))/(VLOOKUP($E39*$AN$2,$AN$4:$BT$48,3)-VLOOKUP($E39*$AN$2,$AP$3:$BT$47,1)))))-(IF($E45*$AN$2&gt;$AP$47,VLOOKUP($E45*$AN$2,$AP$3:$BT$47,21),VLOOKUP($E45*$AN$2,$AP$3:$BT$47,21)+((VLOOKUP($E45*$AN$2,$AN$4:$BT$48,23)-VLOOKUP($E45*$AN$2,$AP$3:$BT$47,21))*($E45*$AN$2-VLOOKUP($E45*$AN$2,$AP$3:$BT$47,1))/(VLOOKUP($E45*$AN$2,$AN$4:$BT$48,3)-VLOOKUP($E45*$AN$2,$AP$3:$BT$47,1))))),0)</f>
        <v>0</v>
      </c>
      <c r="AA44" s="50">
        <f>IF($F39&gt;$F45,(IF($F39*$AN$2&gt;$AP$47,VLOOKUP($F39*$AN$2,$AP$3:$BT$47,22),VLOOKUP($F39*$AN$2,$AP$3:$BT$47,22)+((VLOOKUP($F39*$AN$2,$AN$4:$BT$48,24)-VLOOKUP($F39*$AN$2,$AP$3:$BT$47,22))*($F39*$AN$2-VLOOKUP($F39*$AN$2,$AP$3:$BT$47,1))/(VLOOKUP($F39*$AN$2,$AN$4:$BT$48,3)-VLOOKUP($F39*$AN$2,$AP$3:$BT$47,1)))))-(IF($F45*$AN$2&gt;$AP$47,VLOOKUP($F45*$AN$2,$AP$3:$BT$47,22),VLOOKUP($F45*$AN$2,$AP$3:$BT$47,22)+((VLOOKUP($F45*$AN$2,$AN$4:$BT$48,24)-VLOOKUP($F45*$AN$2,$AP$3:$BT$47,22))*($F45*$AN$2-VLOOKUP($F45*$AN$2,$AP$3:$BT$47,1))/(VLOOKUP($F45*$AN$2,$AN$4:$BT$48,3)-VLOOKUP($F45*$AN$2,$AP$3:$BT$47,1))))),0)</f>
        <v>0</v>
      </c>
      <c r="AB44" s="51">
        <f>IF($G39&gt;$G45,(IF($G39*$AN$2&gt;$AP$47,VLOOKUP($G39*$AN$2,$AP$3:$BT$47,23),VLOOKUP($G39*$AN$2,$AP$3:$BT$47,23)+((VLOOKUP($G39*$AN$2,$AN$4:$BT$48,25)-VLOOKUP($G39*$AN$2,$AP$3:$BT$47,23))*($G39*$AN$2-VLOOKUP($G39*$AN$2,$AP$3:$BT$47,1))/(VLOOKUP($G39*$AN$2,$AN$4:$BT$48,3)-VLOOKUP($G39*$AN$2,$AP$3:$BT$47,1)))))-(IF($G45*$AN$2&gt;$AP$47,VLOOKUP($G45*$AN$2,$AP$3:$BT$47,23),VLOOKUP($G45*$AN$2,$AP$3:$BT$47,23)+((VLOOKUP($G45*$AN$2,$AN$4:$BT$48,25)-VLOOKUP($G45*$AN$2,$AP$3:$BT$47,23))*($G45*$AN$2-VLOOKUP($G45*$AN$2,$AP$3:$BT$47,1))/(VLOOKUP($G45*$AN$2,$AN$4:$BT$48,3)-VLOOKUP($G45*$AN$2,$AP$3:$BT$47,1))))),0)</f>
        <v>0</v>
      </c>
      <c r="AC44" s="80">
        <v>0</v>
      </c>
      <c r="AD44" s="50">
        <f>IF($D39&gt;$D45,(IF($D39*$AN$2&gt;$AP$47,VLOOKUP($D39*$AN$2,$AP$3:$BT$47,24),VLOOKUP($D39*$AN$2,$AP$3:$BT$47,24)+((VLOOKUP($D39*$AN$2,$AN$4:$BT$48,26)-VLOOKUP($D39*$AN$2,$AP$3:$BT$47,24))*($D39*$AN$2-VLOOKUP($D39*$AN$2,$AP$3:$BT$47,1))/(VLOOKUP($D39*$AN$2,$AN$4:$BT$48,3)-VLOOKUP($D39*$AN$2,$AP$3:$BT$47,1)))))-(IF($D45*$AN$2&gt;$AP$47,VLOOKUP($D45*$AN$2,$AP$3:$BT$47,24),VLOOKUP($D45*$AN$2,$AP$3:$BT$47,24)+((VLOOKUP($D45*$AN$2,$AN$4:$BT$48,26)-VLOOKUP($D45*$AN$2,$AP$3:$BT$47,24))*($D45*$AN$2-VLOOKUP($D45*$AN$2,$AP$3:$BT$47,1))/(VLOOKUP($D45*$AN$2,$AN$4:$BT$48,3)-VLOOKUP($D45*$AN$2,$AP$3:$BT$47,1))))),0)</f>
        <v>0</v>
      </c>
      <c r="AE44" s="50">
        <f>IF($E39&gt;$E45,(IF($E39*$AN$2&gt;$AP$47,VLOOKUP($E39*$AN$2,$AP$3:$BT$47,25),VLOOKUP($E39*$AN$2,$AP$3:$BT$47,25)+((VLOOKUP($E39*$AN$2,$AN$4:$BT$48,27)-VLOOKUP($E39*$AN$2,$AP$3:$BT$47,25))*($E39*$AN$2-VLOOKUP($E39*$AN$2,$AP$3:$BT$47,1))/(VLOOKUP($E39*$AN$2,$AN$4:$BT$48,3)-VLOOKUP($E39*$AN$2,$AP$3:$BT$47,1)))))-(IF($E45*$AN$2&gt;$AP$47,VLOOKUP($E45*$AN$2,$AP$3:$BT$47,25),VLOOKUP($E45*$AN$2,$AP$3:$BT$47,25)+((VLOOKUP($E45*$AN$2,$AN$4:$BT$48,27)-VLOOKUP($E45*$AN$2,$AP$3:$BT$47,25))*($E45*$AN$2-VLOOKUP($E45*$AN$2,$AP$3:$BT$47,1))/(VLOOKUP($E45*$AN$2,$AN$4:$BT$48,3)-VLOOKUP($E45*$AN$2,$AP$3:$BT$47,1))))),0)</f>
        <v>0</v>
      </c>
      <c r="AF44" s="50">
        <f>IF($F39&gt;$F45,(IF($F39*$AN$2&gt;$AP$47,VLOOKUP($F39*$AN$2,$AP$3:$BT$47,26),VLOOKUP($F39*$AN$2,$AP$3:$BT$47,26)+((VLOOKUP($F39*$AN$2,$AN$4:$BT$48,28)-VLOOKUP($F39*$AN$2,$AP$3:$BT$47,26))*($F39*$AN$2-VLOOKUP($F39*$AN$2,$AP$3:$BT$47,1))/(VLOOKUP($F39*$AN$2,$AN$4:$BT$48,3)-VLOOKUP($F39*$AN$2,$AP$3:$BT$47,1)))))-(IF($F45*$AN$2&gt;$AP$47,VLOOKUP($F45*$AN$2,$AP$3:$BT$47,26),VLOOKUP($F45*$AN$2,$AP$3:$BT$47,26)+((VLOOKUP($F45*$AN$2,$AN$4:$BT$48,28)-VLOOKUP($F45*$AN$2,$AP$3:$BT$47,26))*($F45*$AN$2-VLOOKUP($F45*$AN$2,$AP$3:$BT$47,1))/(VLOOKUP($F45*$AN$2,$AN$4:$BT$48,3)-VLOOKUP($F45*$AN$2,$AP$3:$BT$47,1))))),0)</f>
        <v>0</v>
      </c>
      <c r="AG44" s="51">
        <f>IF($G39&gt;$G45,(IF($G39*$AN$2&gt;$AP$47,VLOOKUP($G39*$AN$2,$AP$3:$BT$47,27),VLOOKUP($G39*$AN$2,$AP$3:$BT$47,27)+((VLOOKUP($G39*$AN$2,$AN$4:$BT$48,29)-VLOOKUP($G39*$AN$2,$AP$3:$BT$47,27))*($G39*$AN$2-VLOOKUP($G39*$AN$2,$AP$3:$BT$47,1))/(VLOOKUP($G39*$AN$2,$AN$4:$BT$48,3)-VLOOKUP($G39*$AN$2,$AP$3:$BT$47,1)))))-(IF($G45*$AN$2&gt;$AP$47,VLOOKUP($G45*$AN$2,$AP$3:$BT$47,27),VLOOKUP($G45*$AN$2,$AP$3:$BT$47,27)+((VLOOKUP($G45*$AN$2,$AN$4:$BT$48,29)-VLOOKUP($G45*$AN$2,$AP$3:$BT$47,27))*($G45*$AN$2-VLOOKUP($G45*$AN$2,$AP$3:$BT$47,1))/(VLOOKUP($G45*$AN$2,$AN$4:$BT$48,3)-VLOOKUP($G45*$AN$2,$AP$3:$BT$47,1))))),0)</f>
        <v>0</v>
      </c>
      <c r="AH44" s="59">
        <v>0</v>
      </c>
      <c r="AI44" s="50">
        <f>IF($D39&gt;$D45,(IF($D39*$AN$2&gt;$AP$47,VLOOKUP($D39*$AN$2,$AP$3:$BT$47,28),VLOOKUP($D39*$AN$2,$AP$3:$BT$47,28)+((VLOOKUP($D39*$AN$2,$AN$4:$BT$48,30)-VLOOKUP($D39*$AN$2,$AP$3:$BT$47,28))*($D39*$AN$2-VLOOKUP($D39*$AN$2,$AP$3:$BT$47,1))/(VLOOKUP($D39*$AN$2,$AN$4:$BT$48,3)-VLOOKUP($D39*$AN$2,$AP$3:$BT$47,1)))))-(IF($D45*$AN$2&gt;$AP$47,VLOOKUP($D45*$AN$2,$AP$3:$BT$47,28),VLOOKUP($D45*$AN$2,$AP$3:$BT$47,28)+((VLOOKUP($D45*$AN$2,$AN$4:$BT$48,30)-VLOOKUP($D45*$AN$2,$AP$3:$BT$47,28))*($D45*$AN$2-VLOOKUP($D45*$AN$2,$AP$3:$BT$47,1))/(VLOOKUP($D45*$AN$2,$AN$4:$BT$48,3)-VLOOKUP($D45*$AN$2,$AP$3:$BT$47,1))))),0)</f>
        <v>0</v>
      </c>
      <c r="AJ44" s="50">
        <f>IF($E39&gt;$E45,(IF($E39*$AN$2&gt;$AP$47,VLOOKUP($E39*$AN$2,$AP$3:$BT$47,29),VLOOKUP($E39*$AN$2,$AP$3:$BT$47,29)+((VLOOKUP($E39*$AN$2,$AN$4:$BT$48,31)-VLOOKUP($E39*$AN$2,$AP$3:$BT$47,29))*($E39*$AN$2-VLOOKUP($E39*$AN$2,$AP$3:$BT$47,1))/(VLOOKUP($E39*$AN$2,$AN$4:$BT$48,3)-VLOOKUP($E39*$AN$2,$AP$3:$BT$47,1)))))-(IF($E45*$AN$2&gt;$AP$47,VLOOKUP($E45*$AN$2,$AP$3:$BT$47,29),VLOOKUP($E45*$AN$2,$AP$3:$BT$47,29)+((VLOOKUP($E45*$AN$2,$AN$4:$BT$48,31)-VLOOKUP($E45*$AN$2,$AP$3:$BT$47,29))*($E45*$AN$2-VLOOKUP($E45*$AN$2,$AP$3:$BT$47,1))/(VLOOKUP($E45*$AN$2,$AN$4:$BT$48,3)-VLOOKUP($E45*$AN$2,$AP$3:$BT$47,1))))),0)</f>
        <v>0</v>
      </c>
      <c r="AK44" s="50">
        <f>IF($F39&gt;$F45,(IF($F39*$AN$2&gt;$AP$47,VLOOKUP($F39*$AN$2,$AP$3:$BT$47,30),VLOOKUP($F39*$AN$2,$AP$3:$BT$47,30)+((VLOOKUP($F39*$AN$2,$AN$4:$BT$48,32)-VLOOKUP($F39*$AN$2,$AP$3:$BT$47,30))*($F39*$AN$2-VLOOKUP($F39*$AN$2,$AP$3:$BT$47,1))/(VLOOKUP($F39*$AN$2,$AN$4:$BT$48,3)-VLOOKUP($F39*$AN$2,$AP$3:$BT$47,1)))))-(IF($F45*$AN$2&gt;$AP$47,VLOOKUP($F45*$AN$2,$AP$3:$BT$47,30),VLOOKUP($F45*$AN$2,$AP$3:$BT$47,30)+((VLOOKUP($F45*$AN$2,$AN$4:$BT$48,32)-VLOOKUP($F45*$AN$2,$AP$3:$BT$47,30))*($F45*$AN$2-VLOOKUP($F45*$AN$2,$AP$3:$BT$47,1))/(VLOOKUP($F45*$AN$2,$AN$4:$BT$48,3)-VLOOKUP($F45*$AN$2,$AP$3:$BT$47,1))))),0)</f>
        <v>0</v>
      </c>
      <c r="AL44" s="51">
        <f>IF($G39&gt;$G45,(IF($G39*$AN$2&gt;$AP$47,VLOOKUP($G39*$AN$2,$AP$3:$BT$47,31),VLOOKUP($G39*$AN$2,$AP$3:$BT$47,31)+((VLOOKUP($G39*$AN$2,$AN$4:$BT$48,33)-VLOOKUP($G39*$AN$2,$AP$3:$BT$47,31))*($G39*$AN$2-VLOOKUP($G39*$AN$2,$AP$3:$BT$47,1))/(VLOOKUP($G39*$AN$2,$AN$4:$BT$48,3)-VLOOKUP($G39*$AN$2,$AP$3:$BT$47,1)))))-(IF($G45*$AN$2&gt;$AP$47,VLOOKUP($G45*$AN$2,$AP$3:$BT$47,31),VLOOKUP($G45*$AN$2,$AP$3:$BT$47,31)+((VLOOKUP($G45*$AN$2,$AN$4:$BT$48,33)-VLOOKUP($G45*$AN$2,$AP$3:$BT$47,31))*($G45*$AN$2-VLOOKUP($G45*$AN$2,$AP$3:$BT$47,1))/(VLOOKUP($G45*$AN$2,$AN$4:$BT$48,3)-VLOOKUP($G45*$AN$2,$AP$3:$BT$47,1))))),0)</f>
        <v>0</v>
      </c>
      <c r="AN44" s="23">
        <v>1200</v>
      </c>
      <c r="AO44" s="25">
        <f t="shared" si="0"/>
        <v>374.8857055775678</v>
      </c>
      <c r="AP44" s="23">
        <v>1230</v>
      </c>
      <c r="AQ44" s="31">
        <v>1</v>
      </c>
      <c r="AR44" s="31">
        <v>1</v>
      </c>
      <c r="AS44" s="24">
        <v>1</v>
      </c>
      <c r="AT44" s="24">
        <v>0.9999983589543769</v>
      </c>
      <c r="AU44" s="26">
        <v>0.9999950768631307</v>
      </c>
      <c r="AV44" s="92"/>
      <c r="AW44" s="31"/>
      <c r="AX44" s="31"/>
      <c r="AY44" s="31"/>
      <c r="AZ44" s="93"/>
      <c r="BA44" s="101">
        <v>0.21415810000000002</v>
      </c>
      <c r="BB44" s="102">
        <v>0.8139648</v>
      </c>
      <c r="BC44" s="102">
        <v>0.8366087999999998</v>
      </c>
      <c r="BD44" s="103">
        <v>1.0519543999999998</v>
      </c>
      <c r="BE44" s="102">
        <v>0.21962019999999996</v>
      </c>
      <c r="BF44" s="102">
        <v>0.8576615999999998</v>
      </c>
      <c r="BG44" s="102">
        <v>0.8907095999999999</v>
      </c>
      <c r="BH44" s="103">
        <v>1.0790048</v>
      </c>
      <c r="BI44" s="102">
        <v>0.2436216706407781</v>
      </c>
      <c r="BJ44" s="102">
        <v>1.0496733651262242</v>
      </c>
      <c r="BK44" s="102">
        <v>1.1284384520610393</v>
      </c>
      <c r="BL44" s="103">
        <v>1.19786922603052</v>
      </c>
      <c r="BM44" s="102">
        <v>0.3112436892317086</v>
      </c>
      <c r="BN44" s="102">
        <v>1.3167514391283948</v>
      </c>
      <c r="BO44" s="102">
        <v>1.4161402284030478</v>
      </c>
      <c r="BP44" s="103">
        <v>1.5027688100625676</v>
      </c>
      <c r="BQ44" s="101">
        <v>0.4465871656682806</v>
      </c>
      <c r="BR44" s="102">
        <v>1.8511058010186796</v>
      </c>
      <c r="BS44" s="102">
        <v>1.9915419939883812</v>
      </c>
      <c r="BT44" s="103">
        <v>2.11246549932725</v>
      </c>
      <c r="BU44" s="99"/>
      <c r="BV44" s="99"/>
      <c r="BW44" s="99"/>
      <c r="BX44" s="99"/>
      <c r="BY44" s="99"/>
      <c r="BZ44" s="99"/>
      <c r="CA44" s="78"/>
      <c r="CB44" s="78"/>
      <c r="CC44" s="78"/>
      <c r="CD44" s="78"/>
      <c r="CE44" s="78"/>
      <c r="CF44" s="78"/>
      <c r="CG44" s="78"/>
      <c r="CH44" s="78"/>
      <c r="CI44" s="78"/>
      <c r="CJ44" s="78"/>
      <c r="CK44" s="78"/>
      <c r="CL44" s="78"/>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78"/>
      <c r="EB44" s="78"/>
      <c r="EC44" s="78"/>
    </row>
    <row r="45" spans="1:133" ht="12.75">
      <c r="A45" s="72"/>
      <c r="B45" s="4"/>
      <c r="C45" s="48">
        <v>0</v>
      </c>
      <c r="D45" s="48">
        <f>MAX(C37:C39,D37:G38)</f>
        <v>0</v>
      </c>
      <c r="E45" s="48">
        <f>MAX(C37:D39,E37:G38)</f>
        <v>0</v>
      </c>
      <c r="F45" s="48">
        <f>MAX(C37:E39,F37:G38)</f>
        <v>0</v>
      </c>
      <c r="G45" s="48">
        <f>MAX(C37:F39,G37:G38)</f>
        <v>0</v>
      </c>
      <c r="H45" s="4"/>
      <c r="I45" s="4"/>
      <c r="J45" s="4"/>
      <c r="K45" s="4"/>
      <c r="L45" s="46"/>
      <c r="M45" s="4"/>
      <c r="N45" s="80">
        <v>0</v>
      </c>
      <c r="O45" s="50">
        <f>IF($D40&gt;$D46,(IF($D40*$AN$2&gt;$AP$47,VLOOKUP($D40*$AN$2,$AP$3:$BT$47,12),VLOOKUP($D40*$AN$2,$AP$3:$BT$47,12)+((VLOOKUP($D40*$AN$2,$AN$4:$BT$48,14)-VLOOKUP($D40*$AN$2,$AP$3:$BT$47,12))*($D40*$AN$2-VLOOKUP($D40*$AN$2,$AP$3:$BT$47,1))/(VLOOKUP($D40*$AN$2,$AN$4:$BT$48,3)-VLOOKUP($D40*$AN$2,$AP$3:$BT$47,1)))))-(IF($D46*$AN$2&gt;$AP$47,VLOOKUP($D46*$AN$2,$AP$3:$BT$47,12),VLOOKUP($D46*$AN$2,$AP$3:$BT$47,12)+((VLOOKUP($D46*$AN$2,$AN$4:$BT$48,14)-VLOOKUP($D46*$AN$2,$AP$3:$BT$47,12))*($D46*$AN$2-VLOOKUP($D46*$AN$2,$AP$3:$BT$47,1))/(VLOOKUP($D46*$AN$2,$AN$4:$BT$48,3)-VLOOKUP($D46*$AN$2,$AP$3:$BT$47,1))))),0)</f>
        <v>0</v>
      </c>
      <c r="P45" s="50">
        <f>IF($E40&gt;$E46,(IF($E40*$AN$2&gt;$AP$47,VLOOKUP($E40*$AN$2,$AP$3:$BT$47,13),VLOOKUP($E40*$AN$2,$AP$3:$BT$47,13)+((VLOOKUP($E40*$AN$2,$AN$4:$BT$48,15)-VLOOKUP($E40*$AN$2,$AP$3:$BT$47,13))*($E40*$AN$2-VLOOKUP($E40*$AN$2,$AP$3:$BT$47,1))/(VLOOKUP($E40*$AN$2,$AN$4:$BT$48,3)-VLOOKUP($E40*$AN$2,$AP$3:$BT$47,1)))))-(IF($E46*$AN$2&gt;$AP$47,VLOOKUP($E46*$AN$2,$AP$3:$BT$47,13),VLOOKUP($E46*$AN$2,$AP$3:$BT$47,13)+((VLOOKUP($E46*$AN$2,$AN$4:$BT$48,15)-VLOOKUP($E46*$AN$2,$AP$3:$BT$47,13))*($E46*$AN$2-VLOOKUP($E46*$AN$2,$AP$3:$BT$47,1))/(VLOOKUP($E46*$AN$2,$AN$4:$BT$48,3)-VLOOKUP($E46*$AN$2,$AP$3:$BT$47,1))))),0)</f>
        <v>0</v>
      </c>
      <c r="Q45" s="50">
        <f>IF($F40&gt;$F46,(IF($F40*$AN$2&gt;$AP$47,VLOOKUP($F40*$AN$2,$AP$3:$BT$47,14),VLOOKUP($F40*$AN$2,$AP$3:$BT$47,14)+((VLOOKUP($F40*$AN$2,$AN$4:$BT$48,16)-VLOOKUP($F40*$AN$2,$AP$3:$BT$47,14))*($F40*$AN$2-VLOOKUP($F40*$AN$2,$AP$3:$BT$47,1))/(VLOOKUP($F40*$AN$2,$AN$4:$BT$48,3)-VLOOKUP($F40*$AN$2,$AP$3:$BT$47,1)))))-(IF($F46*$AN$2&gt;$AP$47,VLOOKUP($F46*$AN$2,$AP$3:$BT$47,14),VLOOKUP($F46*$AN$2,$AP$3:$BT$47,14)+((VLOOKUP($F46*$AN$2,$AN$4:$BT$48,16)-VLOOKUP($F46*$AN$2,$AP$3:$BT$47,14))*($F46*$AN$2-VLOOKUP($F46*$AN$2,$AP$3:$BT$47,1))/(VLOOKUP($F46*$AN$2,$AN$4:$BT$48,3)-VLOOKUP($F46*$AN$2,$AP$3:$BT$47,1))))),0)</f>
        <v>0</v>
      </c>
      <c r="R45" s="51">
        <f>IF($G40&gt;$G46,(IF($G40*$AN$2&gt;$AP$47,VLOOKUP($G40*$AN$2,$AP$3:$BT$47,15),VLOOKUP($G40*$AN$2,$AP$3:$BT$47,15)+((VLOOKUP($G40*$AN$2,$AN$4:$BT$48,17)-VLOOKUP($G40*$AN$2,$AP$3:$BT$47,15))*($G40*$AN$2-VLOOKUP($G40*$AN$2,$AP$3:$BT$47,1))/(VLOOKUP($G40*$AN$2,$AN$4:$BT$48,3)-VLOOKUP($G40*$AN$2,$AP$3:$BT$47,1)))))-(IF($G46*$AN$2&gt;$AP$47,VLOOKUP($G46*$AN$2,$AP$3:$BT$47,15),VLOOKUP($G46*$AN$2,$AP$3:$BT$47,15)+((VLOOKUP($G46*$AN$2,$AN$4:$BT$48,17)-VLOOKUP($G46*$AN$2,$AP$3:$BT$47,15))*($G46*$AN$2-VLOOKUP($G46*$AN$2,$AP$3:$BT$47,1))/(VLOOKUP($G46*$AN$2,$AN$4:$BT$48,3)-VLOOKUP($G46*$AN$2,$AP$3:$BT$47,1))))),0)</f>
        <v>0</v>
      </c>
      <c r="S45" s="59">
        <v>0</v>
      </c>
      <c r="T45" s="50">
        <f>IF($D40&gt;$D46,(IF($D40*$AN$2&gt;$AP$47,VLOOKUP($D40*$AN$2,$AP$3:$BT$47,16),VLOOKUP($D40*$AN$2,$AP$3:$BT$47,16)+((VLOOKUP($D40*$AN$2,$AN$4:$BT$48,18)-VLOOKUP($D40*$AN$2,$AP$3:$BT$47,16))*($D40*$AN$2-VLOOKUP($D40*$AN$2,$AP$3:$BT$47,1))/(VLOOKUP($D40*$AN$2,$AN$4:$BT$48,3)-VLOOKUP($D40*$AN$2,$AP$3:$BT$47,1)))))-(IF($D46*$AN$2&gt;$AP$47,VLOOKUP($D46*$AN$2,$AP$3:$BT$47,16),VLOOKUP($D46*$AN$2,$AP$3:$BT$47,16)+((VLOOKUP($D46*$AN$2,$AN$4:$BT$48,18)-VLOOKUP($D46*$AN$2,$AP$3:$BT$47,16))*($D46*$AN$2-VLOOKUP($D46*$AN$2,$AP$3:$BT$47,1))/(VLOOKUP($D46*$AN$2,$AN$4:$BT$48,3)-VLOOKUP($D46*$AN$2,$AP$3:$BT$47,1))))),0)</f>
        <v>0</v>
      </c>
      <c r="U45" s="50">
        <f>IF($E40&gt;$E46,(IF($E40*$AN$2&gt;$AP$47,VLOOKUP($E40*$AN$2,$AP$3:$BT$47,17),VLOOKUP($E40*$AN$2,$AP$3:$BT$47,17)+((VLOOKUP($E40*$AN$2,$AN$4:$BT$48,19)-VLOOKUP($E40*$AN$2,$AP$3:$BT$47,17))*($E40*$AN$2-VLOOKUP($E40*$AN$2,$AP$3:$BT$47,1))/(VLOOKUP($E40*$AN$2,$AN$4:$BT$48,3)-VLOOKUP($E40*$AN$2,$AP$3:$BT$47,1)))))-(IF($E46*$AN$2&gt;$AP$47,VLOOKUP($E46*$AN$2,$AP$3:$BT$47,17),VLOOKUP($E46*$AN$2,$AP$3:$BT$47,17)+((VLOOKUP($E46*$AN$2,$AN$4:$BT$48,19)-VLOOKUP($E46*$AN$2,$AP$3:$BT$47,17))*($E46*$AN$2-VLOOKUP($E46*$AN$2,$AP$3:$BT$47,1))/(VLOOKUP($E46*$AN$2,$AN$4:$BT$48,3)-VLOOKUP($E46*$AN$2,$AP$3:$BT$47,1))))),0)</f>
        <v>0</v>
      </c>
      <c r="V45" s="50">
        <f>IF($F40&gt;$F46,(IF($F40*$AN$2&gt;$AP$47,VLOOKUP($F40*$AN$2,$AP$3:$BT$47,18),VLOOKUP($F40*$AN$2,$AP$3:$BT$47,18)+((VLOOKUP($F40*$AN$2,$AN$4:$BT$48,20)-VLOOKUP($F40*$AN$2,$AP$3:$BT$47,18))*($F40*$AN$2-VLOOKUP($F40*$AN$2,$AP$3:$BT$47,1))/(VLOOKUP($F40*$AN$2,$AN$4:$BT$48,3)-VLOOKUP($F40*$AN$2,$AP$3:$BT$47,1)))))-(IF($F46*$AN$2&gt;$AP$47,VLOOKUP($F46*$AN$2,$AP$3:$BT$47,18),VLOOKUP($F46*$AN$2,$AP$3:$BT$47,18)+((VLOOKUP($F46*$AN$2,$AN$4:$BT$48,20)-VLOOKUP($F46*$AN$2,$AP$3:$BT$47,18))*($F46*$AN$2-VLOOKUP($F46*$AN$2,$AP$3:$BT$47,1))/(VLOOKUP($F46*$AN$2,$AN$4:$BT$48,3)-VLOOKUP($F46*$AN$2,$AP$3:$BT$47,1))))),0)</f>
        <v>0</v>
      </c>
      <c r="W45" s="51">
        <f>IF($G40&gt;$G46,(IF($G40*$AN$2&gt;$AP$47,VLOOKUP($G40*$AN$2,$AP$3:$BT$47,19),VLOOKUP($G40*$AN$2,$AP$3:$BT$47,19)+((VLOOKUP($G40*$AN$2,$AN$4:$BT$48,21)-VLOOKUP($G40*$AN$2,$AP$3:$BT$47,19))*($G40*$AN$2-VLOOKUP($G40*$AN$2,$AP$3:$BT$47,1))/(VLOOKUP($G40*$AN$2,$AN$4:$BT$48,3)-VLOOKUP($G40*$AN$2,$AP$3:$BT$47,1)))))-(IF($G46*$AN$2&gt;$AP$47,VLOOKUP($G46*$AN$2,$AP$3:$BT$47,19),VLOOKUP($G46*$AN$2,$AP$3:$BT$47,19)+((VLOOKUP($G46*$AN$2,$AN$4:$BT$48,21)-VLOOKUP($G46*$AN$2,$AP$3:$BT$47,19))*($G46*$AN$2-VLOOKUP($G46*$AN$2,$AP$3:$BT$47,1))/(VLOOKUP($G46*$AN$2,$AN$4:$BT$48,3)-VLOOKUP($G46*$AN$2,$AP$3:$BT$47,1))))),0)</f>
        <v>0</v>
      </c>
      <c r="X45" s="80">
        <v>0</v>
      </c>
      <c r="Y45" s="50">
        <f>IF($D40&gt;$D46,(IF($D40*$AN$2&gt;$AP$47,VLOOKUP($D40*$AN$2,$AP$3:$BT$47,20),VLOOKUP($D40*$AN$2,$AP$3:$BT$47,20)+((VLOOKUP($D40*$AN$2,$AN$4:$BT$48,22)-VLOOKUP($D40*$AN$2,$AP$3:$BT$47,20))*($D40*$AN$2-VLOOKUP($D40*$AN$2,$AP$3:$BT$47,1))/(VLOOKUP($D40*$AN$2,$AN$4:$BT$48,3)-VLOOKUP($D40*$AN$2,$AP$3:$BT$47,1)))))-(IF($D46*$AN$2&gt;$AP$47,VLOOKUP($D46*$AN$2,$AP$3:$BT$47,20),VLOOKUP($D46*$AN$2,$AP$3:$BT$47,20)+((VLOOKUP($D46*$AN$2,$AN$4:$BT$48,22)-VLOOKUP($D46*$AN$2,$AP$3:$BT$47,20))*($D46*$AN$2-VLOOKUP($D46*$AN$2,$AP$3:$BT$47,1))/(VLOOKUP($D46*$AN$2,$AN$4:$BT$48,3)-VLOOKUP($D46*$AN$2,$AP$3:$BT$47,1))))),0)</f>
        <v>0</v>
      </c>
      <c r="Z45" s="50">
        <f>IF($E40&gt;$E46,(IF($E40*$AN$2&gt;$AP$47,VLOOKUP($E40*$AN$2,$AP$3:$BT$47,21),VLOOKUP($E40*$AN$2,$AP$3:$BT$47,21)+((VLOOKUP($E40*$AN$2,$AN$4:$BT$48,23)-VLOOKUP($E40*$AN$2,$AP$3:$BT$47,21))*($E40*$AN$2-VLOOKUP($E40*$AN$2,$AP$3:$BT$47,1))/(VLOOKUP($E40*$AN$2,$AN$4:$BT$48,3)-VLOOKUP($E40*$AN$2,$AP$3:$BT$47,1)))))-(IF($E46*$AN$2&gt;$AP$47,VLOOKUP($E46*$AN$2,$AP$3:$BT$47,21),VLOOKUP($E46*$AN$2,$AP$3:$BT$47,21)+((VLOOKUP($E46*$AN$2,$AN$4:$BT$48,23)-VLOOKUP($E46*$AN$2,$AP$3:$BT$47,21))*($E46*$AN$2-VLOOKUP($E46*$AN$2,$AP$3:$BT$47,1))/(VLOOKUP($E46*$AN$2,$AN$4:$BT$48,3)-VLOOKUP($E46*$AN$2,$AP$3:$BT$47,1))))),0)</f>
        <v>0</v>
      </c>
      <c r="AA45" s="50">
        <f>IF($F40&gt;$F46,(IF($F40*$AN$2&gt;$AP$47,VLOOKUP($F40*$AN$2,$AP$3:$BT$47,22),VLOOKUP($F40*$AN$2,$AP$3:$BT$47,22)+((VLOOKUP($F40*$AN$2,$AN$4:$BT$48,24)-VLOOKUP($F40*$AN$2,$AP$3:$BT$47,22))*($F40*$AN$2-VLOOKUP($F40*$AN$2,$AP$3:$BT$47,1))/(VLOOKUP($F40*$AN$2,$AN$4:$BT$48,3)-VLOOKUP($F40*$AN$2,$AP$3:$BT$47,1)))))-(IF($F46*$AN$2&gt;$AP$47,VLOOKUP($F46*$AN$2,$AP$3:$BT$47,22),VLOOKUP($F46*$AN$2,$AP$3:$BT$47,22)+((VLOOKUP($F46*$AN$2,$AN$4:$BT$48,24)-VLOOKUP($F46*$AN$2,$AP$3:$BT$47,22))*($F46*$AN$2-VLOOKUP($F46*$AN$2,$AP$3:$BT$47,1))/(VLOOKUP($F46*$AN$2,$AN$4:$BT$48,3)-VLOOKUP($F46*$AN$2,$AP$3:$BT$47,1))))),0)</f>
        <v>0</v>
      </c>
      <c r="AB45" s="51">
        <f>IF($G40&gt;$G46,(IF($G40*$AN$2&gt;$AP$47,VLOOKUP($G40*$AN$2,$AP$3:$BT$47,23),VLOOKUP($G40*$AN$2,$AP$3:$BT$47,23)+((VLOOKUP($G40*$AN$2,$AN$4:$BT$48,25)-VLOOKUP($G40*$AN$2,$AP$3:$BT$47,23))*($G40*$AN$2-VLOOKUP($G40*$AN$2,$AP$3:$BT$47,1))/(VLOOKUP($G40*$AN$2,$AN$4:$BT$48,3)-VLOOKUP($G40*$AN$2,$AP$3:$BT$47,1)))))-(IF($G46*$AN$2&gt;$AP$47,VLOOKUP($G46*$AN$2,$AP$3:$BT$47,23),VLOOKUP($G46*$AN$2,$AP$3:$BT$47,23)+((VLOOKUP($G46*$AN$2,$AN$4:$BT$48,25)-VLOOKUP($G46*$AN$2,$AP$3:$BT$47,23))*($G46*$AN$2-VLOOKUP($G46*$AN$2,$AP$3:$BT$47,1))/(VLOOKUP($G46*$AN$2,$AN$4:$BT$48,3)-VLOOKUP($G46*$AN$2,$AP$3:$BT$47,1))))),0)</f>
        <v>0</v>
      </c>
      <c r="AC45" s="80">
        <v>0</v>
      </c>
      <c r="AD45" s="50">
        <f>IF($D40&gt;$D46,(IF($D40*$AN$2&gt;$AP$47,VLOOKUP($D40*$AN$2,$AP$3:$BT$47,24),VLOOKUP($D40*$AN$2,$AP$3:$BT$47,24)+((VLOOKUP($D40*$AN$2,$AN$4:$BT$48,26)-VLOOKUP($D40*$AN$2,$AP$3:$BT$47,24))*($D40*$AN$2-VLOOKUP($D40*$AN$2,$AP$3:$BT$47,1))/(VLOOKUP($D40*$AN$2,$AN$4:$BT$48,3)-VLOOKUP($D40*$AN$2,$AP$3:$BT$47,1)))))-(IF($D46*$AN$2&gt;$AP$47,VLOOKUP($D46*$AN$2,$AP$3:$BT$47,24),VLOOKUP($D46*$AN$2,$AP$3:$BT$47,24)+((VLOOKUP($D46*$AN$2,$AN$4:$BT$48,26)-VLOOKUP($D46*$AN$2,$AP$3:$BT$47,24))*($D46*$AN$2-VLOOKUP($D46*$AN$2,$AP$3:$BT$47,1))/(VLOOKUP($D46*$AN$2,$AN$4:$BT$48,3)-VLOOKUP($D46*$AN$2,$AP$3:$BT$47,1))))),0)</f>
        <v>0</v>
      </c>
      <c r="AE45" s="50">
        <f>IF($E40&gt;$E46,(IF($E40*$AN$2&gt;$AP$47,VLOOKUP($E40*$AN$2,$AP$3:$BT$47,25),VLOOKUP($E40*$AN$2,$AP$3:$BT$47,25)+((VLOOKUP($E40*$AN$2,$AN$4:$BT$48,27)-VLOOKUP($E40*$AN$2,$AP$3:$BT$47,25))*($E40*$AN$2-VLOOKUP($E40*$AN$2,$AP$3:$BT$47,1))/(VLOOKUP($E40*$AN$2,$AN$4:$BT$48,3)-VLOOKUP($E40*$AN$2,$AP$3:$BT$47,1)))))-(IF($E46*$AN$2&gt;$AP$47,VLOOKUP($E46*$AN$2,$AP$3:$BT$47,25),VLOOKUP($E46*$AN$2,$AP$3:$BT$47,25)+((VLOOKUP($E46*$AN$2,$AN$4:$BT$48,27)-VLOOKUP($E46*$AN$2,$AP$3:$BT$47,25))*($E46*$AN$2-VLOOKUP($E46*$AN$2,$AP$3:$BT$47,1))/(VLOOKUP($E46*$AN$2,$AN$4:$BT$48,3)-VLOOKUP($E46*$AN$2,$AP$3:$BT$47,1))))),0)</f>
        <v>0</v>
      </c>
      <c r="AF45" s="50">
        <f>IF($F40&gt;$F46,(IF($F40*$AN$2&gt;$AP$47,VLOOKUP($F40*$AN$2,$AP$3:$BT$47,26),VLOOKUP($F40*$AN$2,$AP$3:$BT$47,26)+((VLOOKUP($F40*$AN$2,$AN$4:$BT$48,28)-VLOOKUP($F40*$AN$2,$AP$3:$BT$47,26))*($F40*$AN$2-VLOOKUP($F40*$AN$2,$AP$3:$BT$47,1))/(VLOOKUP($F40*$AN$2,$AN$4:$BT$48,3)-VLOOKUP($F40*$AN$2,$AP$3:$BT$47,1)))))-(IF($F46*$AN$2&gt;$AP$47,VLOOKUP($F46*$AN$2,$AP$3:$BT$47,26),VLOOKUP($F46*$AN$2,$AP$3:$BT$47,26)+((VLOOKUP($F46*$AN$2,$AN$4:$BT$48,28)-VLOOKUP($F46*$AN$2,$AP$3:$BT$47,26))*($F46*$AN$2-VLOOKUP($F46*$AN$2,$AP$3:$BT$47,1))/(VLOOKUP($F46*$AN$2,$AN$4:$BT$48,3)-VLOOKUP($F46*$AN$2,$AP$3:$BT$47,1))))),0)</f>
        <v>0</v>
      </c>
      <c r="AG45" s="51">
        <f>IF($G40&gt;$G46,(IF($G40*$AN$2&gt;$AP$47,VLOOKUP($G40*$AN$2,$AP$3:$BT$47,27),VLOOKUP($G40*$AN$2,$AP$3:$BT$47,27)+((VLOOKUP($G40*$AN$2,$AN$4:$BT$48,29)-VLOOKUP($G40*$AN$2,$AP$3:$BT$47,27))*($G40*$AN$2-VLOOKUP($G40*$AN$2,$AP$3:$BT$47,1))/(VLOOKUP($G40*$AN$2,$AN$4:$BT$48,3)-VLOOKUP($G40*$AN$2,$AP$3:$BT$47,1)))))-(IF($G46*$AN$2&gt;$AP$47,VLOOKUP($G46*$AN$2,$AP$3:$BT$47,27),VLOOKUP($G46*$AN$2,$AP$3:$BT$47,27)+((VLOOKUP($G46*$AN$2,$AN$4:$BT$48,29)-VLOOKUP($G46*$AN$2,$AP$3:$BT$47,27))*($G46*$AN$2-VLOOKUP($G46*$AN$2,$AP$3:$BT$47,1))/(VLOOKUP($G46*$AN$2,$AN$4:$BT$48,3)-VLOOKUP($G46*$AN$2,$AP$3:$BT$47,1))))),0)</f>
        <v>0</v>
      </c>
      <c r="AH45" s="59">
        <v>0</v>
      </c>
      <c r="AI45" s="50">
        <f>IF($D40&gt;$D46,(IF($D40*$AN$2&gt;$AP$47,VLOOKUP($D40*$AN$2,$AP$3:$BT$47,28),VLOOKUP($D40*$AN$2,$AP$3:$BT$47,28)+((VLOOKUP($D40*$AN$2,$AN$4:$BT$48,30)-VLOOKUP($D40*$AN$2,$AP$3:$BT$47,28))*($D40*$AN$2-VLOOKUP($D40*$AN$2,$AP$3:$BT$47,1))/(VLOOKUP($D40*$AN$2,$AN$4:$BT$48,3)-VLOOKUP($D40*$AN$2,$AP$3:$BT$47,1)))))-(IF($D46*$AN$2&gt;$AP$47,VLOOKUP($D46*$AN$2,$AP$3:$BT$47,28),VLOOKUP($D46*$AN$2,$AP$3:$BT$47,28)+((VLOOKUP($D46*$AN$2,$AN$4:$BT$48,30)-VLOOKUP($D46*$AN$2,$AP$3:$BT$47,28))*($D46*$AN$2-VLOOKUP($D46*$AN$2,$AP$3:$BT$47,1))/(VLOOKUP($D46*$AN$2,$AN$4:$BT$48,3)-VLOOKUP($D46*$AN$2,$AP$3:$BT$47,1))))),0)</f>
        <v>0</v>
      </c>
      <c r="AJ45" s="50">
        <f>IF($E40&gt;$E46,(IF($E40*$AN$2&gt;$AP$47,VLOOKUP($E40*$AN$2,$AP$3:$BT$47,29),VLOOKUP($E40*$AN$2,$AP$3:$BT$47,29)+((VLOOKUP($E40*$AN$2,$AN$4:$BT$48,31)-VLOOKUP($E40*$AN$2,$AP$3:$BT$47,29))*($E40*$AN$2-VLOOKUP($E40*$AN$2,$AP$3:$BT$47,1))/(VLOOKUP($E40*$AN$2,$AN$4:$BT$48,3)-VLOOKUP($E40*$AN$2,$AP$3:$BT$47,1)))))-(IF($E46*$AN$2&gt;$AP$47,VLOOKUP($E46*$AN$2,$AP$3:$BT$47,29),VLOOKUP($E46*$AN$2,$AP$3:$BT$47,29)+((VLOOKUP($E46*$AN$2,$AN$4:$BT$48,31)-VLOOKUP($E46*$AN$2,$AP$3:$BT$47,29))*($E46*$AN$2-VLOOKUP($E46*$AN$2,$AP$3:$BT$47,1))/(VLOOKUP($E46*$AN$2,$AN$4:$BT$48,3)-VLOOKUP($E46*$AN$2,$AP$3:$BT$47,1))))),0)</f>
        <v>0</v>
      </c>
      <c r="AK45" s="50">
        <f>IF($F40&gt;$F46,(IF($F40*$AN$2&gt;$AP$47,VLOOKUP($F40*$AN$2,$AP$3:$BT$47,30),VLOOKUP($F40*$AN$2,$AP$3:$BT$47,30)+((VLOOKUP($F40*$AN$2,$AN$4:$BT$48,32)-VLOOKUP($F40*$AN$2,$AP$3:$BT$47,30))*($F40*$AN$2-VLOOKUP($F40*$AN$2,$AP$3:$BT$47,1))/(VLOOKUP($F40*$AN$2,$AN$4:$BT$48,3)-VLOOKUP($F40*$AN$2,$AP$3:$BT$47,1)))))-(IF($F46*$AN$2&gt;$AP$47,VLOOKUP($F46*$AN$2,$AP$3:$BT$47,30),VLOOKUP($F46*$AN$2,$AP$3:$BT$47,30)+((VLOOKUP($F46*$AN$2,$AN$4:$BT$48,32)-VLOOKUP($F46*$AN$2,$AP$3:$BT$47,30))*($F46*$AN$2-VLOOKUP($F46*$AN$2,$AP$3:$BT$47,1))/(VLOOKUP($F46*$AN$2,$AN$4:$BT$48,3)-VLOOKUP($F46*$AN$2,$AP$3:$BT$47,1))))),0)</f>
        <v>0</v>
      </c>
      <c r="AL45" s="51">
        <f>IF($G40&gt;$G46,(IF($G40*$AN$2&gt;$AP$47,VLOOKUP($G40*$AN$2,$AP$3:$BT$47,31),VLOOKUP($G40*$AN$2,$AP$3:$BT$47,31)+((VLOOKUP($G40*$AN$2,$AN$4:$BT$48,33)-VLOOKUP($G40*$AN$2,$AP$3:$BT$47,31))*($G40*$AN$2-VLOOKUP($G40*$AN$2,$AP$3:$BT$47,1))/(VLOOKUP($G40*$AN$2,$AN$4:$BT$48,3)-VLOOKUP($G40*$AN$2,$AP$3:$BT$47,1)))))-(IF($G46*$AN$2&gt;$AP$47,VLOOKUP($G46*$AN$2,$AP$3:$BT$47,31),VLOOKUP($G46*$AN$2,$AP$3:$BT$47,31)+((VLOOKUP($G46*$AN$2,$AN$4:$BT$48,33)-VLOOKUP($G46*$AN$2,$AP$3:$BT$47,31))*($G46*$AN$2-VLOOKUP($G46*$AN$2,$AP$3:$BT$47,1))/(VLOOKUP($G46*$AN$2,$AN$4:$BT$48,3)-VLOOKUP($G46*$AN$2,$AP$3:$BT$47,1))))),0)</f>
        <v>0</v>
      </c>
      <c r="AN45" s="23">
        <v>1230</v>
      </c>
      <c r="AO45" s="25">
        <f t="shared" si="0"/>
        <v>384.02925937214263</v>
      </c>
      <c r="AP45" s="23">
        <v>1260</v>
      </c>
      <c r="AQ45" s="31">
        <v>1</v>
      </c>
      <c r="AR45" s="31">
        <v>1</v>
      </c>
      <c r="AS45" s="24">
        <v>1</v>
      </c>
      <c r="AT45" s="24">
        <v>0.9999999282910306</v>
      </c>
      <c r="AU45" s="26">
        <v>0.9999997848730917</v>
      </c>
      <c r="AV45" s="92"/>
      <c r="AW45" s="31"/>
      <c r="AX45" s="31"/>
      <c r="AY45" s="31"/>
      <c r="AZ45" s="93"/>
      <c r="BA45" s="101">
        <v>0.21415810000000002</v>
      </c>
      <c r="BB45" s="102">
        <v>0.8139648</v>
      </c>
      <c r="BC45" s="102">
        <v>0.8366087999999998</v>
      </c>
      <c r="BD45" s="103">
        <v>1.0519543999999998</v>
      </c>
      <c r="BE45" s="102">
        <v>0.21962019999999996</v>
      </c>
      <c r="BF45" s="102">
        <v>0.8576615999999998</v>
      </c>
      <c r="BG45" s="102">
        <v>0.8907095999999999</v>
      </c>
      <c r="BH45" s="103">
        <v>1.0790048</v>
      </c>
      <c r="BI45" s="102">
        <v>0.2436216706407781</v>
      </c>
      <c r="BJ45" s="102">
        <v>1.0496733651262242</v>
      </c>
      <c r="BK45" s="102">
        <v>1.1284384520610393</v>
      </c>
      <c r="BL45" s="103">
        <v>1.19786922603052</v>
      </c>
      <c r="BM45" s="102">
        <v>0.31124451219184973</v>
      </c>
      <c r="BN45" s="102">
        <v>1.316756181663762</v>
      </c>
      <c r="BO45" s="102">
        <v>1.4161457640811597</v>
      </c>
      <c r="BP45" s="103">
        <v>1.5027728250534622</v>
      </c>
      <c r="BQ45" s="101">
        <v>0.4465901707910387</v>
      </c>
      <c r="BR45" s="102">
        <v>1.8511217366907955</v>
      </c>
      <c r="BS45" s="102">
        <v>1.9915603100303334</v>
      </c>
      <c r="BT45" s="103">
        <v>2.1124799147829494</v>
      </c>
      <c r="BU45" s="99"/>
      <c r="BV45" s="99"/>
      <c r="BW45" s="99"/>
      <c r="BX45" s="99"/>
      <c r="BY45" s="99"/>
      <c r="BZ45" s="99"/>
      <c r="CA45" s="78"/>
      <c r="CB45" s="78"/>
      <c r="CC45" s="78"/>
      <c r="CD45" s="78"/>
      <c r="CE45" s="78"/>
      <c r="CF45" s="78"/>
      <c r="CG45" s="78"/>
      <c r="CH45" s="78"/>
      <c r="CI45" s="78"/>
      <c r="CJ45" s="78"/>
      <c r="CK45" s="78"/>
      <c r="CL45" s="78"/>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78"/>
      <c r="EB45" s="78"/>
      <c r="EC45" s="78"/>
    </row>
    <row r="46" spans="1:133" ht="12.75">
      <c r="A46" s="12"/>
      <c r="B46" s="13"/>
      <c r="C46" s="49">
        <v>0</v>
      </c>
      <c r="D46" s="49">
        <f>MAX(C37:C40,D37:G39)</f>
        <v>0</v>
      </c>
      <c r="E46" s="49">
        <f>MAX(C37:D40,E37:G39)</f>
        <v>0</v>
      </c>
      <c r="F46" s="49">
        <f>MAX(C37:E40,F37:G39)</f>
        <v>0</v>
      </c>
      <c r="G46" s="49">
        <f>MAX(C37:F40,G37:G39)</f>
        <v>0</v>
      </c>
      <c r="H46" s="13"/>
      <c r="I46" s="13"/>
      <c r="J46" s="13"/>
      <c r="K46" s="13"/>
      <c r="L46" s="47"/>
      <c r="M46" s="4"/>
      <c r="N46" s="12"/>
      <c r="O46" s="13"/>
      <c r="P46" s="13"/>
      <c r="Q46" s="13"/>
      <c r="R46" s="47"/>
      <c r="S46" s="13"/>
      <c r="T46" s="13"/>
      <c r="U46" s="13"/>
      <c r="V46" s="13"/>
      <c r="W46" s="47"/>
      <c r="X46" s="12"/>
      <c r="Y46" s="13"/>
      <c r="Z46" s="13"/>
      <c r="AA46" s="13"/>
      <c r="AB46" s="47"/>
      <c r="AC46" s="12"/>
      <c r="AD46" s="13"/>
      <c r="AE46" s="13"/>
      <c r="AF46" s="13"/>
      <c r="AG46" s="47"/>
      <c r="AH46" s="13"/>
      <c r="AI46" s="13"/>
      <c r="AJ46" s="13"/>
      <c r="AK46" s="13"/>
      <c r="AL46" s="47"/>
      <c r="AN46" s="23">
        <v>1260</v>
      </c>
      <c r="AO46" s="25">
        <f t="shared" si="0"/>
        <v>393.17281316671745</v>
      </c>
      <c r="AP46" s="23">
        <v>1290</v>
      </c>
      <c r="AQ46" s="31">
        <v>1</v>
      </c>
      <c r="AR46" s="31">
        <v>1</v>
      </c>
      <c r="AS46" s="24">
        <v>1</v>
      </c>
      <c r="AT46" s="24">
        <v>0.9999999980240899</v>
      </c>
      <c r="AU46" s="26">
        <v>0.9999999940722697</v>
      </c>
      <c r="AV46" s="92"/>
      <c r="AW46" s="31"/>
      <c r="AX46" s="31"/>
      <c r="AY46" s="31"/>
      <c r="AZ46" s="93"/>
      <c r="BA46" s="101">
        <v>0.21415810000000002</v>
      </c>
      <c r="BB46" s="102">
        <v>0.8139648</v>
      </c>
      <c r="BC46" s="102">
        <v>0.8366087999999998</v>
      </c>
      <c r="BD46" s="103">
        <v>1.0519543999999998</v>
      </c>
      <c r="BE46" s="102">
        <v>0.21962019999999996</v>
      </c>
      <c r="BF46" s="102">
        <v>0.8576615999999998</v>
      </c>
      <c r="BG46" s="102">
        <v>0.8907095999999999</v>
      </c>
      <c r="BH46" s="103">
        <v>1.0790048</v>
      </c>
      <c r="BI46" s="102">
        <v>0.2436216706407781</v>
      </c>
      <c r="BJ46" s="102">
        <v>1.0496733651262242</v>
      </c>
      <c r="BK46" s="102">
        <v>1.1284384520610393</v>
      </c>
      <c r="BL46" s="103">
        <v>1.19786922603052</v>
      </c>
      <c r="BM46" s="102">
        <v>0.3112445491991843</v>
      </c>
      <c r="BN46" s="102">
        <v>1.3167563959116135</v>
      </c>
      <c r="BO46" s="102">
        <v>1.416146014408896</v>
      </c>
      <c r="BP46" s="103">
        <v>1.5027730056341926</v>
      </c>
      <c r="BQ46" s="101">
        <v>0.4465903056408288</v>
      </c>
      <c r="BR46" s="102">
        <v>1.8511224553318117</v>
      </c>
      <c r="BS46" s="102">
        <v>1.991561136952844</v>
      </c>
      <c r="BT46" s="103">
        <v>2.112480561856927</v>
      </c>
      <c r="BU46" s="99"/>
      <c r="BV46" s="99"/>
      <c r="BW46" s="99"/>
      <c r="BX46" s="99"/>
      <c r="BY46" s="99"/>
      <c r="BZ46" s="99"/>
      <c r="CA46" s="78"/>
      <c r="CB46" s="78"/>
      <c r="CC46" s="78"/>
      <c r="CD46" s="78"/>
      <c r="CE46" s="78"/>
      <c r="CF46" s="78"/>
      <c r="CG46" s="78"/>
      <c r="CH46" s="78"/>
      <c r="CI46" s="78"/>
      <c r="CJ46" s="78"/>
      <c r="CK46" s="78"/>
      <c r="CL46" s="78"/>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78"/>
      <c r="EB46" s="78"/>
      <c r="EC46" s="78"/>
    </row>
    <row r="47" spans="40:133" ht="12.75">
      <c r="AN47" s="23">
        <v>1290</v>
      </c>
      <c r="AO47" s="27">
        <f t="shared" si="0"/>
        <v>402.31636696129226</v>
      </c>
      <c r="AP47" s="28">
        <v>1320</v>
      </c>
      <c r="AQ47" s="32">
        <v>1</v>
      </c>
      <c r="AR47" s="32">
        <v>1</v>
      </c>
      <c r="AS47" s="29">
        <v>1</v>
      </c>
      <c r="AT47" s="29">
        <v>1</v>
      </c>
      <c r="AU47" s="30">
        <v>1</v>
      </c>
      <c r="AV47" s="94"/>
      <c r="AW47" s="32"/>
      <c r="AX47" s="32"/>
      <c r="AY47" s="32"/>
      <c r="AZ47" s="95"/>
      <c r="BA47" s="104">
        <v>0.21415810000000002</v>
      </c>
      <c r="BB47" s="105">
        <v>0.8139648</v>
      </c>
      <c r="BC47" s="105">
        <v>0.8366087999999998</v>
      </c>
      <c r="BD47" s="106">
        <v>1.0519543999999998</v>
      </c>
      <c r="BE47" s="105">
        <v>0.21962019999999996</v>
      </c>
      <c r="BF47" s="105">
        <v>0.8576615999999998</v>
      </c>
      <c r="BG47" s="105">
        <v>0.8907095999999999</v>
      </c>
      <c r="BH47" s="106">
        <v>1.0790048</v>
      </c>
      <c r="BI47" s="105">
        <v>0.2436216706407781</v>
      </c>
      <c r="BJ47" s="105">
        <v>1.0496733651262242</v>
      </c>
      <c r="BK47" s="105">
        <v>1.1284384520610393</v>
      </c>
      <c r="BL47" s="106">
        <v>1.19786922603052</v>
      </c>
      <c r="BM47" s="105">
        <v>0.31124455026024805</v>
      </c>
      <c r="BN47" s="105">
        <v>1.3167564020819855</v>
      </c>
      <c r="BO47" s="105">
        <v>1.4161460216253148</v>
      </c>
      <c r="BP47" s="106">
        <v>1.5027730108126578</v>
      </c>
      <c r="BQ47" s="104">
        <v>0.44659030949918843</v>
      </c>
      <c r="BR47" s="105">
        <v>1.8511224759935085</v>
      </c>
      <c r="BS47" s="105">
        <v>1.9915611607538668</v>
      </c>
      <c r="BT47" s="106">
        <v>2.1124805803769346</v>
      </c>
      <c r="BU47" s="99"/>
      <c r="BV47" s="99"/>
      <c r="BW47" s="99"/>
      <c r="BX47" s="99"/>
      <c r="BY47" s="99"/>
      <c r="BZ47" s="99"/>
      <c r="CA47" s="78"/>
      <c r="CB47" s="78"/>
      <c r="CC47" s="78"/>
      <c r="CD47" s="78"/>
      <c r="CE47" s="78"/>
      <c r="CF47" s="78"/>
      <c r="CG47" s="78"/>
      <c r="CH47" s="78"/>
      <c r="CI47" s="78"/>
      <c r="CJ47" s="78"/>
      <c r="CK47" s="78"/>
      <c r="CL47" s="78"/>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78"/>
      <c r="EB47" s="78"/>
      <c r="EC47" s="78"/>
    </row>
    <row r="48" spans="40:133" ht="12.75">
      <c r="AN48" s="23">
        <v>1320</v>
      </c>
      <c r="AV48" s="96"/>
      <c r="AW48" s="96"/>
      <c r="AX48" s="96"/>
      <c r="AY48" s="96"/>
      <c r="AZ48" s="97"/>
      <c r="BA48" s="50" t="s">
        <v>82</v>
      </c>
      <c r="BD48" s="64"/>
      <c r="BE48" s="50"/>
      <c r="BH48" s="64"/>
      <c r="BI48" s="50"/>
      <c r="BL48" s="64"/>
      <c r="BM48" s="50"/>
      <c r="BP48" s="64"/>
      <c r="BQ48" s="50"/>
      <c r="BT48" s="63"/>
      <c r="BU48" s="78"/>
      <c r="BV48" s="78"/>
      <c r="BW48" s="78"/>
      <c r="BX48" s="78"/>
      <c r="BY48" s="78"/>
      <c r="BZ48" s="78"/>
      <c r="CA48" s="78"/>
      <c r="CB48" s="78"/>
      <c r="CC48" s="78"/>
      <c r="CD48" s="78"/>
      <c r="CE48" s="78"/>
      <c r="CF48" s="78"/>
      <c r="CG48" s="78"/>
      <c r="CH48" s="78"/>
      <c r="CI48" s="78"/>
      <c r="CJ48" s="78"/>
      <c r="CK48" s="78"/>
      <c r="CL48" s="78"/>
      <c r="CM48" s="53"/>
      <c r="CN48" s="53"/>
      <c r="CO48" s="53"/>
      <c r="CP48" s="53"/>
      <c r="CQ48" s="53"/>
      <c r="CR48" s="53"/>
      <c r="CS48" s="53"/>
      <c r="CT48" s="53"/>
      <c r="CU48" s="53"/>
      <c r="CV48" s="53"/>
      <c r="CW48" s="53"/>
      <c r="CX48" s="53"/>
      <c r="CY48" s="53"/>
      <c r="CZ48" s="53"/>
      <c r="DA48" s="53"/>
      <c r="DB48" s="53"/>
      <c r="DC48" s="53"/>
      <c r="DD48" s="53"/>
      <c r="DE48" s="53"/>
      <c r="DF48" s="53"/>
      <c r="DG48" s="78"/>
      <c r="DH48" s="78"/>
      <c r="DI48" s="78"/>
      <c r="DJ48" s="78"/>
      <c r="DK48" s="78"/>
      <c r="DL48" s="78"/>
      <c r="DM48" s="78"/>
      <c r="DN48" s="78"/>
      <c r="DO48" s="78"/>
      <c r="DP48" s="78"/>
      <c r="DQ48" s="78"/>
      <c r="DR48" s="78"/>
      <c r="DS48" s="78"/>
      <c r="DT48" s="78"/>
      <c r="DU48" s="78"/>
      <c r="DV48" s="78"/>
      <c r="DW48" s="78"/>
      <c r="DX48" s="78"/>
      <c r="DY48" s="78"/>
      <c r="DZ48" s="78"/>
      <c r="EA48" s="78"/>
      <c r="EB48" s="78"/>
      <c r="EC48" s="78"/>
    </row>
    <row r="49" spans="52:133" ht="12.75">
      <c r="AZ49" s="46"/>
      <c r="BA49" s="50">
        <f>BA47/$BA47</f>
        <v>1</v>
      </c>
      <c r="BB49" s="50">
        <f>BB47/$BA47</f>
        <v>3.8007658827753885</v>
      </c>
      <c r="BC49" s="50">
        <f>BC47/$BA47</f>
        <v>3.9065008514737465</v>
      </c>
      <c r="BD49" s="51">
        <f>BD47/$BA47</f>
        <v>4.912045820354214</v>
      </c>
      <c r="BE49" s="50">
        <f>BE47/$BE47</f>
        <v>1</v>
      </c>
      <c r="BF49" s="50">
        <f>BF47/$BE47</f>
        <v>3.9052036197034696</v>
      </c>
      <c r="BG49" s="50">
        <f>BG47/$BE47</f>
        <v>4.055681581202458</v>
      </c>
      <c r="BH49" s="51">
        <f>BH47/$BE47</f>
        <v>4.913048981833184</v>
      </c>
      <c r="BI49" s="50">
        <f>BI47/$BI47</f>
        <v>1</v>
      </c>
      <c r="BJ49" s="50">
        <f>BJ47/$BI47</f>
        <v>4.308620667304983</v>
      </c>
      <c r="BK49" s="50">
        <f>BK47/$BI47</f>
        <v>4.6319297010524565</v>
      </c>
      <c r="BL49" s="51">
        <f>BL47/$BI47</f>
        <v>4.916923945558138</v>
      </c>
      <c r="BM49" s="50">
        <f>BM47/$BM47</f>
        <v>1</v>
      </c>
      <c r="BN49" s="50">
        <f>BN47/$BM47</f>
        <v>4.230616732023021</v>
      </c>
      <c r="BO49" s="50">
        <f>BO47/$BM47</f>
        <v>4.5499464020854345</v>
      </c>
      <c r="BP49" s="51">
        <f>BP47/$BM47</f>
        <v>4.82827091930159</v>
      </c>
      <c r="BQ49" s="50">
        <f>BQ47/$BQ47</f>
        <v>1</v>
      </c>
      <c r="BR49" s="50">
        <f>BR47/$BQ47</f>
        <v>4.1450126360094535</v>
      </c>
      <c r="BS49" s="50">
        <f>BS47/$BQ47</f>
        <v>4.459481359967767</v>
      </c>
      <c r="BT49" s="50">
        <f>BT47/$BQ47</f>
        <v>4.730242764886446</v>
      </c>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row>
    <row r="50" spans="73:133" ht="12.75">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row>
    <row r="51" spans="73:133" ht="12.75">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row>
    <row r="54" spans="1:39" ht="12.75">
      <c r="A54" s="4"/>
      <c r="B54" s="4"/>
      <c r="C54" s="4"/>
      <c r="D54" s="4"/>
      <c r="E54" s="4"/>
      <c r="F54" s="4"/>
      <c r="G54" s="4"/>
      <c r="AF54" s="4"/>
      <c r="AG54" s="4"/>
      <c r="AH54" s="4"/>
      <c r="AI54" s="4"/>
      <c r="AJ54" s="4"/>
      <c r="AK54" s="4"/>
      <c r="AL54" s="4"/>
      <c r="AM54" s="4"/>
    </row>
    <row r="65" ht="12.75">
      <c r="CX65" s="55"/>
    </row>
  </sheetData>
  <mergeCells count="36">
    <mergeCell ref="H1:I1"/>
    <mergeCell ref="J1:L1"/>
    <mergeCell ref="AO1:AP1"/>
    <mergeCell ref="AQ1:AR1"/>
    <mergeCell ref="CJ1:CL1"/>
    <mergeCell ref="CM1:CP1"/>
    <mergeCell ref="AX1:AZ1"/>
    <mergeCell ref="BU1:BW1"/>
    <mergeCell ref="BX1:BZ1"/>
    <mergeCell ref="CA1:CC1"/>
    <mergeCell ref="C1:G1"/>
    <mergeCell ref="DG1:DJ1"/>
    <mergeCell ref="DK1:DN1"/>
    <mergeCell ref="DO1:DR1"/>
    <mergeCell ref="CQ1:CT1"/>
    <mergeCell ref="CU1:CX1"/>
    <mergeCell ref="CY1:DB1"/>
    <mergeCell ref="DC1:DF1"/>
    <mergeCell ref="CD1:CF1"/>
    <mergeCell ref="CG1:CI1"/>
    <mergeCell ref="DS1:DV1"/>
    <mergeCell ref="DW1:DZ1"/>
    <mergeCell ref="N1:W1"/>
    <mergeCell ref="BA1:BD1"/>
    <mergeCell ref="BE1:BH1"/>
    <mergeCell ref="BI1:BL1"/>
    <mergeCell ref="BM1:BP1"/>
    <mergeCell ref="BQ1:BT1"/>
    <mergeCell ref="AS1:AU1"/>
    <mergeCell ref="AV1:AW1"/>
    <mergeCell ref="S2:W2"/>
    <mergeCell ref="N2:R2"/>
    <mergeCell ref="X1:AL1"/>
    <mergeCell ref="X2:AB2"/>
    <mergeCell ref="AC2:AG2"/>
    <mergeCell ref="AH2:AL2"/>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K50"/>
  <sheetViews>
    <sheetView zoomScale="85" zoomScaleNormal="85" workbookViewId="0" topLeftCell="A1">
      <selection activeCell="M57" sqref="M57"/>
    </sheetView>
  </sheetViews>
  <sheetFormatPr defaultColWidth="9.140625" defaultRowHeight="12.75"/>
  <cols>
    <col min="2" max="2" width="12.7109375" style="0" customWidth="1"/>
    <col min="3" max="3" width="12.00390625" style="0" customWidth="1"/>
    <col min="4" max="4" width="11.7109375" style="0" customWidth="1"/>
    <col min="5" max="5" width="10.8515625" style="0" customWidth="1"/>
    <col min="6" max="6" width="10.421875" style="0" customWidth="1"/>
    <col min="7" max="7" width="11.57421875" style="0" customWidth="1"/>
    <col min="9" max="9" width="11.8515625" style="0" customWidth="1"/>
    <col min="10" max="10" width="8.8515625" style="4" customWidth="1"/>
    <col min="11" max="11" width="9.28125" style="4" customWidth="1"/>
    <col min="12" max="12" width="12.57421875" style="4" customWidth="1"/>
    <col min="13" max="13" width="12.7109375" style="4" customWidth="1"/>
    <col min="14" max="14" width="12.00390625" style="4" customWidth="1"/>
    <col min="15" max="15" width="11.8515625" style="4" customWidth="1"/>
    <col min="16" max="16" width="12.00390625" style="4" customWidth="1"/>
    <col min="17" max="29" width="9.140625" style="4" customWidth="1"/>
    <col min="32" max="32" width="11.421875" style="0" customWidth="1"/>
    <col min="33" max="34" width="10.8515625" style="0" customWidth="1"/>
    <col min="35" max="35" width="11.140625" style="0" customWidth="1"/>
    <col min="36" max="36" width="12.8515625" style="0" customWidth="1"/>
  </cols>
  <sheetData>
    <row r="1" spans="1:37" ht="27.75" customHeight="1">
      <c r="A1" s="2" t="s">
        <v>9</v>
      </c>
      <c r="B1" s="84" t="s">
        <v>3</v>
      </c>
      <c r="C1" s="116" t="s">
        <v>122</v>
      </c>
      <c r="D1" s="116"/>
      <c r="E1" s="116" t="s">
        <v>123</v>
      </c>
      <c r="F1" s="116"/>
      <c r="G1" s="116"/>
      <c r="H1" s="17"/>
      <c r="I1" s="16"/>
      <c r="J1" s="117"/>
      <c r="K1" s="117"/>
      <c r="L1" s="117"/>
      <c r="M1" s="117"/>
      <c r="N1" s="130"/>
      <c r="O1" s="130"/>
      <c r="P1" s="130"/>
      <c r="AB1" s="20"/>
      <c r="AC1" s="20"/>
      <c r="AD1" s="20"/>
      <c r="AE1" s="20"/>
      <c r="AF1" s="19"/>
      <c r="AG1" s="19"/>
      <c r="AH1" s="19"/>
      <c r="AI1" s="20"/>
      <c r="AJ1" s="20"/>
      <c r="AK1" s="4"/>
    </row>
    <row r="2" spans="1:37" ht="39.75" customHeight="1">
      <c r="A2" s="1"/>
      <c r="B2" s="84" t="s">
        <v>124</v>
      </c>
      <c r="C2" s="16" t="s">
        <v>68</v>
      </c>
      <c r="D2" s="16" t="s">
        <v>69</v>
      </c>
      <c r="E2" s="16" t="s">
        <v>73</v>
      </c>
      <c r="F2" s="16" t="s">
        <v>75</v>
      </c>
      <c r="G2" s="16" t="s">
        <v>74</v>
      </c>
      <c r="I2" s="17"/>
      <c r="J2" s="22"/>
      <c r="K2" s="22"/>
      <c r="L2" s="20"/>
      <c r="M2" s="20"/>
      <c r="N2" s="19"/>
      <c r="O2" s="20"/>
      <c r="P2" s="20"/>
      <c r="AB2" s="22"/>
      <c r="AC2" s="22"/>
      <c r="AD2" s="22"/>
      <c r="AE2" s="22"/>
      <c r="AF2" s="19"/>
      <c r="AG2" s="20"/>
      <c r="AH2" s="20"/>
      <c r="AI2" s="20"/>
      <c r="AJ2" s="20"/>
      <c r="AK2" s="4"/>
    </row>
    <row r="3" spans="1:37" ht="12.75">
      <c r="A3" s="73">
        <v>1</v>
      </c>
      <c r="B3" s="85">
        <f>IF('PMD Sol''n Set'!B3=0,"",'PMD Sol''n Set'!B3)</f>
      </c>
      <c r="C3" s="7"/>
      <c r="D3" s="7"/>
      <c r="E3" s="7"/>
      <c r="F3" s="7"/>
      <c r="G3" s="86"/>
      <c r="J3" s="10"/>
      <c r="K3" s="23"/>
      <c r="L3" s="31"/>
      <c r="M3" s="31"/>
      <c r="N3" s="24"/>
      <c r="O3" s="24"/>
      <c r="P3" s="24"/>
      <c r="AD3" s="10"/>
      <c r="AE3" s="23"/>
      <c r="AF3" s="24"/>
      <c r="AG3" s="24"/>
      <c r="AH3" s="24"/>
      <c r="AI3" s="31"/>
      <c r="AJ3" s="31"/>
      <c r="AK3" s="4"/>
    </row>
    <row r="4" spans="1:37" ht="12.75">
      <c r="A4" s="65"/>
      <c r="B4" s="83">
        <f>IF('PMD Sol''n Set'!B4=0,"",'PMD Sol''n Set'!B4)</f>
      </c>
      <c r="C4" s="10"/>
      <c r="D4" s="10"/>
      <c r="E4" s="10"/>
      <c r="F4" s="10"/>
      <c r="G4" s="87"/>
      <c r="I4" s="23"/>
      <c r="J4" s="10"/>
      <c r="K4" s="23"/>
      <c r="L4" s="31"/>
      <c r="M4" s="31"/>
      <c r="N4" s="24"/>
      <c r="O4" s="24"/>
      <c r="P4" s="24"/>
      <c r="AB4" s="10"/>
      <c r="AC4" s="23"/>
      <c r="AD4" s="10"/>
      <c r="AE4" s="23"/>
      <c r="AF4" s="24"/>
      <c r="AG4" s="24"/>
      <c r="AH4" s="24"/>
      <c r="AI4" s="31"/>
      <c r="AJ4" s="31"/>
      <c r="AK4" s="4"/>
    </row>
    <row r="5" spans="1:37" ht="12.75">
      <c r="A5" s="65"/>
      <c r="B5" s="83" t="str">
        <f>IF('PMD Sol''n Set'!B5=0,"",'PMD Sol''n Set'!B5)</f>
        <v>SR4</v>
      </c>
      <c r="C5" s="10"/>
      <c r="D5" s="10"/>
      <c r="E5" s="10"/>
      <c r="F5" s="10"/>
      <c r="G5" s="87"/>
      <c r="I5" s="23"/>
      <c r="J5" s="10"/>
      <c r="K5" s="23"/>
      <c r="L5" s="31"/>
      <c r="M5" s="31"/>
      <c r="N5" s="24"/>
      <c r="O5" s="24"/>
      <c r="P5" s="24"/>
      <c r="AB5" s="10"/>
      <c r="AC5" s="23"/>
      <c r="AD5" s="10"/>
      <c r="AE5" s="23"/>
      <c r="AF5" s="24"/>
      <c r="AG5" s="24"/>
      <c r="AH5" s="24"/>
      <c r="AI5" s="31"/>
      <c r="AJ5" s="31"/>
      <c r="AK5" s="4"/>
    </row>
    <row r="6" spans="1:37" ht="12.75">
      <c r="A6" s="65"/>
      <c r="B6" s="83" t="str">
        <f>IF('PMD Sol''n Set'!B6=0,"",'PMD Sol''n Set'!B6)</f>
        <v>LR4</v>
      </c>
      <c r="C6" s="10"/>
      <c r="D6" s="10"/>
      <c r="E6" s="10"/>
      <c r="F6" s="10"/>
      <c r="G6" s="87"/>
      <c r="I6" s="23"/>
      <c r="J6" s="10"/>
      <c r="K6" s="23"/>
      <c r="L6" s="31"/>
      <c r="M6" s="31"/>
      <c r="N6" s="24"/>
      <c r="O6" s="24"/>
      <c r="P6" s="24"/>
      <c r="AB6" s="10"/>
      <c r="AC6" s="23"/>
      <c r="AD6" s="10"/>
      <c r="AE6" s="23"/>
      <c r="AF6" s="24"/>
      <c r="AG6" s="24"/>
      <c r="AH6" s="24"/>
      <c r="AI6" s="31"/>
      <c r="AJ6" s="31"/>
      <c r="AK6" s="4"/>
    </row>
    <row r="7" spans="1:37" ht="12.75">
      <c r="A7" s="68"/>
      <c r="B7" s="88"/>
      <c r="C7" s="79">
        <f>2*'PMD Sol''n Set'!F8+'Cabling Sol''n Cost'!H9</f>
        <v>4.6642411187499935</v>
      </c>
      <c r="D7" s="79">
        <f>2*'PMD Sol''n Set'!G8+'Cabling Sol''n Cost'!I9</f>
        <v>6.486672318749999</v>
      </c>
      <c r="E7" s="79">
        <f>2*'PMD Sol''n Set'!H8+'Cabling Sol''n Cost'!J9</f>
        <v>22.649007890015163</v>
      </c>
      <c r="F7" s="79">
        <f>2*'PMD Sol''n Set'!I8+'Cabling Sol''n Cost'!K9</f>
        <v>35.35726037089571</v>
      </c>
      <c r="G7" s="89">
        <f>2*'PMD Sol''n Set'!J8+'Cabling Sol''n Cost'!L9</f>
        <v>60.67724474592629</v>
      </c>
      <c r="I7" s="23"/>
      <c r="J7" s="10"/>
      <c r="K7" s="23"/>
      <c r="L7" s="31"/>
      <c r="M7" s="31"/>
      <c r="N7" s="24"/>
      <c r="O7" s="24"/>
      <c r="P7" s="24"/>
      <c r="AB7" s="10"/>
      <c r="AC7" s="23"/>
      <c r="AD7" s="10"/>
      <c r="AE7" s="23"/>
      <c r="AF7" s="24"/>
      <c r="AG7" s="24"/>
      <c r="AH7" s="24"/>
      <c r="AI7" s="31"/>
      <c r="AJ7" s="31"/>
      <c r="AK7" s="4"/>
    </row>
    <row r="8" spans="1:37" ht="12.75">
      <c r="A8" s="1"/>
      <c r="B8" s="83"/>
      <c r="C8" s="10"/>
      <c r="D8" s="10"/>
      <c r="E8" s="10"/>
      <c r="F8" s="10"/>
      <c r="G8" s="10"/>
      <c r="I8" s="23"/>
      <c r="J8" s="10"/>
      <c r="K8" s="23"/>
      <c r="L8" s="31"/>
      <c r="M8" s="31"/>
      <c r="N8" s="24"/>
      <c r="O8" s="24"/>
      <c r="P8" s="24"/>
      <c r="AB8" s="10"/>
      <c r="AC8" s="23"/>
      <c r="AD8" s="10"/>
      <c r="AE8" s="23"/>
      <c r="AF8" s="24"/>
      <c r="AG8" s="24"/>
      <c r="AH8" s="24"/>
      <c r="AI8" s="31"/>
      <c r="AJ8" s="31"/>
      <c r="AK8" s="4"/>
    </row>
    <row r="9" spans="1:37" ht="12.75">
      <c r="A9" s="1"/>
      <c r="B9" s="83"/>
      <c r="C9" s="10"/>
      <c r="D9" s="10"/>
      <c r="E9" s="10"/>
      <c r="F9" s="10"/>
      <c r="G9" s="10"/>
      <c r="I9" s="23"/>
      <c r="J9" s="10"/>
      <c r="K9" s="23"/>
      <c r="L9" s="31"/>
      <c r="M9" s="31"/>
      <c r="N9" s="24"/>
      <c r="O9" s="24"/>
      <c r="P9" s="24"/>
      <c r="AB9" s="10"/>
      <c r="AC9" s="23"/>
      <c r="AD9" s="10"/>
      <c r="AE9" s="23"/>
      <c r="AF9" s="24"/>
      <c r="AG9" s="24"/>
      <c r="AH9" s="24"/>
      <c r="AI9" s="31"/>
      <c r="AJ9" s="31"/>
      <c r="AK9" s="4"/>
    </row>
    <row r="10" spans="1:37" ht="12.75">
      <c r="A10" s="73">
        <v>2</v>
      </c>
      <c r="B10" s="85">
        <f>IF('PMD Sol''n Set'!B10=0,"",'PMD Sol''n Set'!B10)</f>
      </c>
      <c r="C10" s="7"/>
      <c r="D10" s="7"/>
      <c r="E10" s="7"/>
      <c r="F10" s="7"/>
      <c r="G10" s="86"/>
      <c r="I10" s="23"/>
      <c r="J10" s="10"/>
      <c r="K10" s="23"/>
      <c r="L10" s="31"/>
      <c r="M10" s="31"/>
      <c r="N10" s="24"/>
      <c r="O10" s="24"/>
      <c r="P10" s="24"/>
      <c r="AB10" s="10"/>
      <c r="AC10" s="23"/>
      <c r="AD10" s="10"/>
      <c r="AE10" s="23"/>
      <c r="AF10" s="24"/>
      <c r="AG10" s="24"/>
      <c r="AH10" s="24"/>
      <c r="AI10" s="31"/>
      <c r="AJ10" s="31"/>
      <c r="AK10" s="4"/>
    </row>
    <row r="11" spans="1:37" ht="12.75">
      <c r="A11" s="65"/>
      <c r="B11" s="83">
        <f>IF('PMD Sol''n Set'!B11=0,"",'PMD Sol''n Set'!B11)</f>
      </c>
      <c r="C11" s="10"/>
      <c r="D11" s="10"/>
      <c r="E11" s="10"/>
      <c r="F11" s="10"/>
      <c r="G11" s="87"/>
      <c r="I11" s="23"/>
      <c r="J11" s="10"/>
      <c r="K11" s="23"/>
      <c r="L11" s="31"/>
      <c r="M11" s="31"/>
      <c r="N11" s="24"/>
      <c r="O11" s="24"/>
      <c r="P11" s="24"/>
      <c r="AB11" s="10"/>
      <c r="AC11" s="23"/>
      <c r="AD11" s="10"/>
      <c r="AE11" s="23"/>
      <c r="AF11" s="24"/>
      <c r="AG11" s="24"/>
      <c r="AH11" s="24"/>
      <c r="AI11" s="31"/>
      <c r="AJ11" s="31"/>
      <c r="AK11" s="4"/>
    </row>
    <row r="12" spans="1:37" ht="12.75">
      <c r="A12" s="65"/>
      <c r="B12" s="83" t="str">
        <f>IF('PMD Sol''n Set'!B12=0,"",'PMD Sol''n Set'!B12)</f>
        <v>SR4</v>
      </c>
      <c r="C12" s="10"/>
      <c r="D12" s="10"/>
      <c r="E12" s="10"/>
      <c r="F12" s="10"/>
      <c r="G12" s="87"/>
      <c r="I12" s="23"/>
      <c r="J12" s="10"/>
      <c r="K12" s="23"/>
      <c r="L12" s="31"/>
      <c r="M12" s="31"/>
      <c r="N12" s="24"/>
      <c r="O12" s="24"/>
      <c r="P12" s="24"/>
      <c r="AB12" s="10"/>
      <c r="AC12" s="23"/>
      <c r="AD12" s="10"/>
      <c r="AE12" s="23"/>
      <c r="AF12" s="24"/>
      <c r="AG12" s="24"/>
      <c r="AH12" s="24"/>
      <c r="AI12" s="31"/>
      <c r="AJ12" s="31"/>
      <c r="AK12" s="4"/>
    </row>
    <row r="13" spans="1:37" ht="12.75">
      <c r="A13" s="65"/>
      <c r="B13" s="83" t="str">
        <f>IF('PMD Sol''n Set'!B13=0,"",'PMD Sol''n Set'!B13)</f>
        <v>LR4</v>
      </c>
      <c r="C13" s="10"/>
      <c r="D13" s="10"/>
      <c r="E13" s="10"/>
      <c r="F13" s="10"/>
      <c r="G13" s="87"/>
      <c r="I13" s="23"/>
      <c r="J13" s="10"/>
      <c r="K13" s="23"/>
      <c r="L13" s="31"/>
      <c r="M13" s="31"/>
      <c r="N13" s="24"/>
      <c r="O13" s="24"/>
      <c r="P13" s="24"/>
      <c r="AB13" s="10"/>
      <c r="AC13" s="23"/>
      <c r="AD13" s="10"/>
      <c r="AE13" s="23"/>
      <c r="AF13" s="24"/>
      <c r="AG13" s="24"/>
      <c r="AH13" s="24"/>
      <c r="AI13" s="31"/>
      <c r="AJ13" s="31"/>
      <c r="AK13" s="4"/>
    </row>
    <row r="14" spans="1:37" ht="12.75">
      <c r="A14" s="68"/>
      <c r="B14" s="88"/>
      <c r="C14" s="79">
        <f>2*'PMD Sol''n Set'!F15+'Cabling Sol''n Cost'!H20</f>
        <v>3.415793435</v>
      </c>
      <c r="D14" s="79">
        <f>2*'PMD Sol''n Set'!G15+'Cabling Sol''n Cost'!I20</f>
        <v>3.461737331</v>
      </c>
      <c r="E14" s="79">
        <f>2*'PMD Sol''n Set'!H15+'Cabling Sol''n Cost'!J20</f>
        <v>12.072797242564022</v>
      </c>
      <c r="F14" s="79">
        <f>2*'PMD Sol''n Set'!I15+'Cabling Sol''n Cost'!K20</f>
        <v>19.122369172664772</v>
      </c>
      <c r="G14" s="89">
        <f>2*'PMD Sol''n Set'!J15+'Cabling Sol''n Cost'!L20</f>
        <v>33.1688656416446</v>
      </c>
      <c r="I14" s="23"/>
      <c r="J14" s="10"/>
      <c r="K14" s="23"/>
      <c r="L14" s="31"/>
      <c r="M14" s="31"/>
      <c r="N14" s="24"/>
      <c r="O14" s="24"/>
      <c r="P14" s="24"/>
      <c r="AB14" s="10"/>
      <c r="AC14" s="23"/>
      <c r="AD14" s="10"/>
      <c r="AE14" s="23"/>
      <c r="AF14" s="24"/>
      <c r="AG14" s="24"/>
      <c r="AH14" s="24"/>
      <c r="AI14" s="31"/>
      <c r="AJ14" s="31"/>
      <c r="AK14" s="4"/>
    </row>
    <row r="15" spans="1:37" ht="12.75">
      <c r="A15" s="1"/>
      <c r="B15" s="83"/>
      <c r="C15" s="10"/>
      <c r="D15" s="10"/>
      <c r="E15" s="10"/>
      <c r="F15" s="10"/>
      <c r="G15" s="10"/>
      <c r="I15" s="23"/>
      <c r="J15" s="10"/>
      <c r="K15" s="23"/>
      <c r="L15" s="31"/>
      <c r="M15" s="31"/>
      <c r="N15" s="24"/>
      <c r="O15" s="24"/>
      <c r="P15" s="24"/>
      <c r="AB15" s="10"/>
      <c r="AC15" s="23"/>
      <c r="AD15" s="10"/>
      <c r="AE15" s="23"/>
      <c r="AF15" s="24"/>
      <c r="AG15" s="24"/>
      <c r="AH15" s="24"/>
      <c r="AI15" s="31"/>
      <c r="AJ15" s="31"/>
      <c r="AK15" s="4"/>
    </row>
    <row r="16" spans="1:37" ht="12.75">
      <c r="A16" s="1"/>
      <c r="B16" s="83"/>
      <c r="C16" s="10"/>
      <c r="D16" s="10"/>
      <c r="E16" s="10"/>
      <c r="F16" s="10"/>
      <c r="G16" s="10"/>
      <c r="I16" s="23"/>
      <c r="J16" s="10"/>
      <c r="K16" s="23"/>
      <c r="L16" s="31"/>
      <c r="M16" s="31"/>
      <c r="N16" s="24"/>
      <c r="O16" s="24"/>
      <c r="P16" s="24"/>
      <c r="AB16" s="10"/>
      <c r="AC16" s="23"/>
      <c r="AD16" s="10"/>
      <c r="AE16" s="23"/>
      <c r="AF16" s="24"/>
      <c r="AG16" s="24"/>
      <c r="AH16" s="24"/>
      <c r="AI16" s="31"/>
      <c r="AJ16" s="31"/>
      <c r="AK16" s="4"/>
    </row>
    <row r="17" spans="1:37" ht="12.75">
      <c r="A17" s="73">
        <v>3</v>
      </c>
      <c r="B17" s="85">
        <f>IF('PMD Sol''n Set'!B17=0,"",'PMD Sol''n Set'!B17)</f>
      </c>
      <c r="C17" s="7"/>
      <c r="D17" s="7"/>
      <c r="E17" s="7"/>
      <c r="F17" s="7"/>
      <c r="G17" s="86"/>
      <c r="I17" s="23"/>
      <c r="J17" s="10"/>
      <c r="K17" s="23"/>
      <c r="L17" s="31"/>
      <c r="M17" s="31"/>
      <c r="N17" s="24"/>
      <c r="O17" s="24"/>
      <c r="P17" s="24"/>
      <c r="AB17" s="10"/>
      <c r="AC17" s="23"/>
      <c r="AD17" s="10"/>
      <c r="AE17" s="23"/>
      <c r="AF17" s="24"/>
      <c r="AG17" s="24"/>
      <c r="AH17" s="24"/>
      <c r="AI17" s="31"/>
      <c r="AJ17" s="31"/>
      <c r="AK17" s="4"/>
    </row>
    <row r="18" spans="1:37" ht="12.75">
      <c r="A18" s="65"/>
      <c r="B18" s="83">
        <f>IF('PMD Sol''n Set'!B18=0,"",'PMD Sol''n Set'!B18)</f>
      </c>
      <c r="C18" s="10"/>
      <c r="D18" s="10"/>
      <c r="E18" s="10"/>
      <c r="F18" s="10"/>
      <c r="G18" s="87"/>
      <c r="I18" s="23"/>
      <c r="J18" s="10"/>
      <c r="K18" s="23"/>
      <c r="L18" s="31"/>
      <c r="M18" s="31"/>
      <c r="N18" s="24"/>
      <c r="O18" s="24"/>
      <c r="P18" s="24"/>
      <c r="AB18" s="10"/>
      <c r="AC18" s="23"/>
      <c r="AD18" s="10"/>
      <c r="AE18" s="23"/>
      <c r="AF18" s="24"/>
      <c r="AG18" s="24"/>
      <c r="AH18" s="24"/>
      <c r="AI18" s="31"/>
      <c r="AJ18" s="31"/>
      <c r="AK18" s="4"/>
    </row>
    <row r="19" spans="1:37" ht="12.75">
      <c r="A19" s="65"/>
      <c r="B19" s="83" t="str">
        <f>IF('PMD Sol''n Set'!B19=0,"",'PMD Sol''n Set'!B19)</f>
        <v>SR4</v>
      </c>
      <c r="C19" s="10"/>
      <c r="D19" s="10"/>
      <c r="E19" s="10"/>
      <c r="F19" s="10"/>
      <c r="G19" s="87"/>
      <c r="I19" s="23"/>
      <c r="J19" s="10"/>
      <c r="K19" s="23"/>
      <c r="L19" s="31"/>
      <c r="M19" s="31"/>
      <c r="N19" s="24"/>
      <c r="O19" s="24"/>
      <c r="P19" s="24"/>
      <c r="AB19" s="10"/>
      <c r="AC19" s="23"/>
      <c r="AD19" s="10"/>
      <c r="AE19" s="23"/>
      <c r="AF19" s="24"/>
      <c r="AG19" s="24"/>
      <c r="AH19" s="24"/>
      <c r="AI19" s="31"/>
      <c r="AJ19" s="31"/>
      <c r="AK19" s="4"/>
    </row>
    <row r="20" spans="1:37" ht="12.75">
      <c r="A20" s="65"/>
      <c r="B20" s="83" t="str">
        <f>IF('PMD Sol''n Set'!B20=0,"",'PMD Sol''n Set'!B20)</f>
        <v>LR4</v>
      </c>
      <c r="C20" s="10"/>
      <c r="D20" s="10"/>
      <c r="E20" s="10"/>
      <c r="F20" s="10"/>
      <c r="G20" s="87"/>
      <c r="I20" s="23"/>
      <c r="J20" s="10"/>
      <c r="K20" s="23"/>
      <c r="L20" s="31"/>
      <c r="M20" s="31"/>
      <c r="N20" s="24"/>
      <c r="O20" s="24"/>
      <c r="P20" s="24"/>
      <c r="AB20" s="10"/>
      <c r="AC20" s="23"/>
      <c r="AD20" s="10"/>
      <c r="AE20" s="23"/>
      <c r="AF20" s="24"/>
      <c r="AG20" s="24"/>
      <c r="AH20" s="24"/>
      <c r="AI20" s="31"/>
      <c r="AJ20" s="31"/>
      <c r="AK20" s="4"/>
    </row>
    <row r="21" spans="1:37" ht="12.75">
      <c r="A21" s="68"/>
      <c r="B21" s="88"/>
      <c r="C21" s="79">
        <f>2*'PMD Sol''n Set'!F22+'Cabling Sol''n Cost'!H31</f>
        <v>3.8140069800000003</v>
      </c>
      <c r="D21" s="79">
        <f>2*'PMD Sol''n Set'!G22+'Cabling Sol''n Cost'!I31</f>
        <v>3.8577712679999996</v>
      </c>
      <c r="E21" s="79">
        <f>2*'PMD Sol''n Set'!H22+'Cabling Sol''n Cost'!J31</f>
        <v>7.579563378211038</v>
      </c>
      <c r="F21" s="79">
        <f>2*'PMD Sol''n Set'!I22+'Cabling Sol''n Cost'!K31</f>
        <v>11.965516454906991</v>
      </c>
      <c r="G21" s="89">
        <f>2*'PMD Sol''n Set'!J22+'Cabling Sol''n Cost'!L31</f>
        <v>20.705389054132624</v>
      </c>
      <c r="I21" s="23"/>
      <c r="J21" s="10"/>
      <c r="K21" s="23"/>
      <c r="L21" s="31"/>
      <c r="M21" s="31"/>
      <c r="N21" s="24"/>
      <c r="O21" s="24"/>
      <c r="P21" s="24"/>
      <c r="AB21" s="10"/>
      <c r="AC21" s="23"/>
      <c r="AD21" s="10"/>
      <c r="AE21" s="23"/>
      <c r="AF21" s="24"/>
      <c r="AG21" s="24"/>
      <c r="AH21" s="24"/>
      <c r="AI21" s="31"/>
      <c r="AJ21" s="31"/>
      <c r="AK21" s="4"/>
    </row>
    <row r="22" spans="1:37" ht="12.75">
      <c r="A22" s="1"/>
      <c r="B22" s="83"/>
      <c r="C22" s="10"/>
      <c r="D22" s="10"/>
      <c r="E22" s="10"/>
      <c r="F22" s="10"/>
      <c r="G22" s="10"/>
      <c r="I22" s="23"/>
      <c r="J22" s="10"/>
      <c r="K22" s="23"/>
      <c r="L22" s="31"/>
      <c r="M22" s="31"/>
      <c r="N22" s="24"/>
      <c r="O22" s="24"/>
      <c r="P22" s="24"/>
      <c r="AB22" s="10"/>
      <c r="AC22" s="23"/>
      <c r="AD22" s="10"/>
      <c r="AE22" s="23"/>
      <c r="AF22" s="24"/>
      <c r="AG22" s="24"/>
      <c r="AH22" s="24"/>
      <c r="AI22" s="31"/>
      <c r="AJ22" s="31"/>
      <c r="AK22" s="4"/>
    </row>
    <row r="23" spans="1:37" ht="12.75">
      <c r="A23" s="1"/>
      <c r="B23" s="83"/>
      <c r="C23" s="10"/>
      <c r="D23" s="10"/>
      <c r="E23" s="10"/>
      <c r="F23" s="10"/>
      <c r="G23" s="10"/>
      <c r="I23" s="23"/>
      <c r="J23" s="10"/>
      <c r="K23" s="23"/>
      <c r="L23" s="31"/>
      <c r="M23" s="31"/>
      <c r="N23" s="24"/>
      <c r="O23" s="24"/>
      <c r="P23" s="24"/>
      <c r="AB23" s="10"/>
      <c r="AC23" s="23"/>
      <c r="AD23" s="10"/>
      <c r="AE23" s="23"/>
      <c r="AF23" s="24"/>
      <c r="AG23" s="24"/>
      <c r="AH23" s="24"/>
      <c r="AI23" s="31"/>
      <c r="AJ23" s="31"/>
      <c r="AK23" s="4"/>
    </row>
    <row r="24" spans="1:37" ht="12.75">
      <c r="A24" s="73">
        <v>4</v>
      </c>
      <c r="B24" s="85">
        <f>IF('PMD Sol''n Set'!B24=0,"",'PMD Sol''n Set'!B24)</f>
      </c>
      <c r="C24" s="7"/>
      <c r="D24" s="7"/>
      <c r="E24" s="7"/>
      <c r="F24" s="7"/>
      <c r="G24" s="86"/>
      <c r="I24" s="23"/>
      <c r="J24" s="10"/>
      <c r="K24" s="23"/>
      <c r="L24" s="31"/>
      <c r="M24" s="31"/>
      <c r="N24" s="24"/>
      <c r="O24" s="24"/>
      <c r="P24" s="24"/>
      <c r="AB24" s="10"/>
      <c r="AC24" s="23"/>
      <c r="AD24" s="10"/>
      <c r="AE24" s="23"/>
      <c r="AF24" s="24"/>
      <c r="AG24" s="24"/>
      <c r="AH24" s="24"/>
      <c r="AI24" s="31"/>
      <c r="AJ24" s="31"/>
      <c r="AK24" s="4"/>
    </row>
    <row r="25" spans="1:37" ht="12.75">
      <c r="A25" s="65"/>
      <c r="B25" s="83">
        <f>IF('PMD Sol''n Set'!B25=0,"",'PMD Sol''n Set'!B25)</f>
      </c>
      <c r="C25" s="10"/>
      <c r="D25" s="10"/>
      <c r="E25" s="10"/>
      <c r="F25" s="10"/>
      <c r="G25" s="87"/>
      <c r="I25" s="23"/>
      <c r="J25" s="10"/>
      <c r="K25" s="23"/>
      <c r="L25" s="31"/>
      <c r="M25" s="31"/>
      <c r="N25" s="24"/>
      <c r="O25" s="24"/>
      <c r="P25" s="24"/>
      <c r="AB25" s="10"/>
      <c r="AC25" s="23"/>
      <c r="AD25" s="10"/>
      <c r="AE25" s="23"/>
      <c r="AF25" s="24"/>
      <c r="AG25" s="24"/>
      <c r="AH25" s="24"/>
      <c r="AI25" s="31"/>
      <c r="AJ25" s="31"/>
      <c r="AK25" s="4"/>
    </row>
    <row r="26" spans="1:37" ht="12.75">
      <c r="A26" s="65"/>
      <c r="B26" s="83" t="str">
        <f>IF('PMD Sol''n Set'!B26=0,"",'PMD Sol''n Set'!B26)</f>
        <v>SR4</v>
      </c>
      <c r="C26" s="10"/>
      <c r="D26" s="10"/>
      <c r="E26" s="10"/>
      <c r="F26" s="10"/>
      <c r="G26" s="87"/>
      <c r="I26" s="23"/>
      <c r="J26" s="10"/>
      <c r="K26" s="23"/>
      <c r="L26" s="31"/>
      <c r="M26" s="31"/>
      <c r="N26" s="24"/>
      <c r="O26" s="24"/>
      <c r="P26" s="24"/>
      <c r="AB26" s="10"/>
      <c r="AC26" s="23"/>
      <c r="AD26" s="10"/>
      <c r="AE26" s="23"/>
      <c r="AF26" s="24"/>
      <c r="AG26" s="24"/>
      <c r="AH26" s="24"/>
      <c r="AI26" s="31"/>
      <c r="AJ26" s="31"/>
      <c r="AK26" s="4"/>
    </row>
    <row r="27" spans="1:37" ht="12.75">
      <c r="A27" s="65"/>
      <c r="B27" s="83" t="str">
        <f>IF('PMD Sol''n Set'!B27=0,"",'PMD Sol''n Set'!B27)</f>
        <v>LR4</v>
      </c>
      <c r="C27" s="10"/>
      <c r="D27" s="10"/>
      <c r="E27" s="10"/>
      <c r="F27" s="10"/>
      <c r="G27" s="87"/>
      <c r="I27" s="23"/>
      <c r="J27" s="10"/>
      <c r="K27" s="23"/>
      <c r="L27" s="31"/>
      <c r="M27" s="31"/>
      <c r="N27" s="24"/>
      <c r="O27" s="24"/>
      <c r="P27" s="24"/>
      <c r="AB27" s="10"/>
      <c r="AC27" s="23"/>
      <c r="AD27" s="10"/>
      <c r="AE27" s="23"/>
      <c r="AF27" s="24"/>
      <c r="AG27" s="24"/>
      <c r="AH27" s="24"/>
      <c r="AI27" s="31"/>
      <c r="AJ27" s="31"/>
      <c r="AK27" s="4"/>
    </row>
    <row r="28" spans="1:37" ht="12.75">
      <c r="A28" s="68"/>
      <c r="B28" s="90"/>
      <c r="C28" s="79">
        <f>2*'PMD Sol''n Set'!F29+'Cabling Sol''n Cost'!H42</f>
        <v>0</v>
      </c>
      <c r="D28" s="79">
        <f>2*'PMD Sol''n Set'!G29+'Cabling Sol''n Cost'!I42</f>
        <v>0</v>
      </c>
      <c r="E28" s="79">
        <f>2*'PMD Sol''n Set'!H29+'Cabling Sol''n Cost'!J42</f>
        <v>0</v>
      </c>
      <c r="F28" s="79">
        <f>2*'PMD Sol''n Set'!I29+'Cabling Sol''n Cost'!K42</f>
        <v>0</v>
      </c>
      <c r="G28" s="89">
        <f>2*'PMD Sol''n Set'!J29+'Cabling Sol''n Cost'!L42</f>
        <v>0</v>
      </c>
      <c r="I28" s="23"/>
      <c r="J28" s="10"/>
      <c r="K28" s="23"/>
      <c r="L28" s="31"/>
      <c r="M28" s="31"/>
      <c r="N28" s="24"/>
      <c r="O28" s="24"/>
      <c r="P28" s="24"/>
      <c r="AB28" s="10"/>
      <c r="AC28" s="23"/>
      <c r="AD28" s="10"/>
      <c r="AE28" s="23"/>
      <c r="AF28" s="24"/>
      <c r="AG28" s="24"/>
      <c r="AH28" s="24"/>
      <c r="AI28" s="31"/>
      <c r="AJ28" s="31"/>
      <c r="AK28" s="4"/>
    </row>
    <row r="29" spans="1:37" ht="12.75">
      <c r="A29" s="1"/>
      <c r="B29" s="4"/>
      <c r="C29" s="61"/>
      <c r="D29" s="61"/>
      <c r="E29" s="61"/>
      <c r="F29" s="61"/>
      <c r="G29" s="61"/>
      <c r="I29" s="23"/>
      <c r="J29" s="10"/>
      <c r="K29" s="23"/>
      <c r="L29" s="31"/>
      <c r="M29" s="31"/>
      <c r="N29" s="24"/>
      <c r="O29" s="24"/>
      <c r="P29" s="24"/>
      <c r="AB29" s="10"/>
      <c r="AC29" s="23"/>
      <c r="AD29" s="10"/>
      <c r="AE29" s="23"/>
      <c r="AF29" s="24"/>
      <c r="AG29" s="24"/>
      <c r="AH29" s="24"/>
      <c r="AI29" s="31"/>
      <c r="AJ29" s="31"/>
      <c r="AK29" s="4"/>
    </row>
    <row r="30" spans="9:37" ht="12.75">
      <c r="I30" s="23"/>
      <c r="J30" s="10"/>
      <c r="K30" s="23"/>
      <c r="L30" s="31"/>
      <c r="M30" s="31"/>
      <c r="N30" s="24"/>
      <c r="O30" s="24"/>
      <c r="P30" s="24"/>
      <c r="AB30" s="10"/>
      <c r="AC30" s="23"/>
      <c r="AD30" s="10"/>
      <c r="AE30" s="23"/>
      <c r="AF30" s="24"/>
      <c r="AG30" s="24"/>
      <c r="AH30" s="24"/>
      <c r="AI30" s="31"/>
      <c r="AJ30" s="31"/>
      <c r="AK30" s="4"/>
    </row>
    <row r="31" spans="9:37" ht="12.75">
      <c r="I31" s="23"/>
      <c r="J31" s="10"/>
      <c r="K31" s="23"/>
      <c r="L31" s="31"/>
      <c r="M31" s="31"/>
      <c r="N31" s="24"/>
      <c r="O31" s="24"/>
      <c r="P31" s="24"/>
      <c r="AB31" s="10"/>
      <c r="AC31" s="23"/>
      <c r="AD31" s="10"/>
      <c r="AE31" s="23"/>
      <c r="AF31" s="24"/>
      <c r="AG31" s="24"/>
      <c r="AH31" s="24"/>
      <c r="AI31" s="31"/>
      <c r="AJ31" s="31"/>
      <c r="AK31" s="4"/>
    </row>
    <row r="32" spans="9:37" ht="12.75">
      <c r="I32" s="23"/>
      <c r="J32" s="10"/>
      <c r="K32" s="23"/>
      <c r="L32" s="31"/>
      <c r="M32" s="31"/>
      <c r="N32" s="24"/>
      <c r="O32" s="24"/>
      <c r="P32" s="24"/>
      <c r="AB32" s="10"/>
      <c r="AC32" s="23"/>
      <c r="AD32" s="10"/>
      <c r="AE32" s="23"/>
      <c r="AF32" s="24"/>
      <c r="AG32" s="24"/>
      <c r="AH32" s="24"/>
      <c r="AI32" s="31"/>
      <c r="AJ32" s="31"/>
      <c r="AK32" s="4"/>
    </row>
    <row r="33" spans="2:37" ht="12.75">
      <c r="B33" s="3"/>
      <c r="I33" s="23"/>
      <c r="J33" s="10"/>
      <c r="K33" s="23"/>
      <c r="L33" s="31"/>
      <c r="M33" s="31"/>
      <c r="N33" s="24"/>
      <c r="O33" s="24"/>
      <c r="P33" s="24"/>
      <c r="AB33" s="10"/>
      <c r="AC33" s="23"/>
      <c r="AD33" s="10"/>
      <c r="AE33" s="23"/>
      <c r="AF33" s="24"/>
      <c r="AG33" s="24"/>
      <c r="AH33" s="24"/>
      <c r="AI33" s="31"/>
      <c r="AJ33" s="31"/>
      <c r="AK33" s="4"/>
    </row>
    <row r="34" spans="2:37" ht="12.75">
      <c r="B34" s="3"/>
      <c r="I34" s="23"/>
      <c r="J34" s="10"/>
      <c r="K34" s="23"/>
      <c r="L34" s="31"/>
      <c r="M34" s="31"/>
      <c r="N34" s="24"/>
      <c r="O34" s="24"/>
      <c r="P34" s="24"/>
      <c r="AB34" s="10"/>
      <c r="AC34" s="23"/>
      <c r="AD34" s="10"/>
      <c r="AE34" s="23"/>
      <c r="AF34" s="24"/>
      <c r="AG34" s="24"/>
      <c r="AH34" s="24"/>
      <c r="AI34" s="31"/>
      <c r="AJ34" s="31"/>
      <c r="AK34" s="4"/>
    </row>
    <row r="35" spans="2:37" ht="12.75">
      <c r="B35" s="3"/>
      <c r="I35" s="23"/>
      <c r="J35" s="10"/>
      <c r="K35" s="23"/>
      <c r="L35" s="31"/>
      <c r="M35" s="31"/>
      <c r="N35" s="24"/>
      <c r="O35" s="24"/>
      <c r="P35" s="24"/>
      <c r="AB35" s="10"/>
      <c r="AC35" s="23"/>
      <c r="AD35" s="10"/>
      <c r="AE35" s="23"/>
      <c r="AF35" s="24"/>
      <c r="AG35" s="24"/>
      <c r="AH35" s="24"/>
      <c r="AI35" s="31"/>
      <c r="AJ35" s="31"/>
      <c r="AK35" s="4"/>
    </row>
    <row r="36" spans="2:37" ht="12.75">
      <c r="B36" s="3"/>
      <c r="I36" s="23"/>
      <c r="J36" s="10"/>
      <c r="K36" s="23"/>
      <c r="L36" s="31"/>
      <c r="M36" s="31"/>
      <c r="N36" s="24"/>
      <c r="O36" s="24"/>
      <c r="P36" s="24"/>
      <c r="AB36" s="10"/>
      <c r="AC36" s="23"/>
      <c r="AD36" s="10"/>
      <c r="AE36" s="23"/>
      <c r="AF36" s="24"/>
      <c r="AG36" s="24"/>
      <c r="AH36" s="24"/>
      <c r="AI36" s="31"/>
      <c r="AJ36" s="31"/>
      <c r="AK36" s="4"/>
    </row>
    <row r="37" spans="2:37" ht="12.75">
      <c r="B37" s="3"/>
      <c r="I37" s="23"/>
      <c r="J37" s="10"/>
      <c r="K37" s="23"/>
      <c r="L37" s="31"/>
      <c r="M37" s="31"/>
      <c r="N37" s="24"/>
      <c r="O37" s="24"/>
      <c r="P37" s="24"/>
      <c r="AB37" s="10"/>
      <c r="AC37" s="23"/>
      <c r="AD37" s="10"/>
      <c r="AE37" s="23"/>
      <c r="AF37" s="24"/>
      <c r="AG37" s="24"/>
      <c r="AH37" s="24"/>
      <c r="AI37" s="31"/>
      <c r="AJ37" s="31"/>
      <c r="AK37" s="4"/>
    </row>
    <row r="38" spans="2:37" ht="12.75">
      <c r="B38" s="3"/>
      <c r="I38" s="23"/>
      <c r="J38" s="10"/>
      <c r="K38" s="23"/>
      <c r="L38" s="31"/>
      <c r="M38" s="31"/>
      <c r="N38" s="24"/>
      <c r="O38" s="24"/>
      <c r="P38" s="24"/>
      <c r="AB38" s="10"/>
      <c r="AC38" s="23"/>
      <c r="AD38" s="10"/>
      <c r="AE38" s="23"/>
      <c r="AF38" s="24"/>
      <c r="AG38" s="24"/>
      <c r="AH38" s="24"/>
      <c r="AI38" s="31"/>
      <c r="AJ38" s="31"/>
      <c r="AK38" s="4"/>
    </row>
    <row r="39" spans="2:37" ht="12.75">
      <c r="B39" s="3"/>
      <c r="I39" s="23"/>
      <c r="J39" s="10"/>
      <c r="K39" s="23"/>
      <c r="L39" s="31"/>
      <c r="M39" s="31"/>
      <c r="N39" s="24"/>
      <c r="O39" s="24"/>
      <c r="P39" s="24"/>
      <c r="AB39" s="10"/>
      <c r="AC39" s="23"/>
      <c r="AD39" s="10"/>
      <c r="AE39" s="23"/>
      <c r="AF39" s="24"/>
      <c r="AG39" s="24"/>
      <c r="AH39" s="24"/>
      <c r="AI39" s="31"/>
      <c r="AJ39" s="31"/>
      <c r="AK39" s="4"/>
    </row>
    <row r="40" spans="2:37" ht="12.75">
      <c r="B40" s="3"/>
      <c r="I40" s="23"/>
      <c r="J40" s="10"/>
      <c r="K40" s="23"/>
      <c r="L40" s="31"/>
      <c r="M40" s="31"/>
      <c r="N40" s="24"/>
      <c r="O40" s="24"/>
      <c r="P40" s="24"/>
      <c r="AB40" s="10"/>
      <c r="AC40" s="23"/>
      <c r="AD40" s="10"/>
      <c r="AE40" s="23"/>
      <c r="AF40" s="24"/>
      <c r="AG40" s="24"/>
      <c r="AH40" s="24"/>
      <c r="AI40" s="31"/>
      <c r="AJ40" s="31"/>
      <c r="AK40" s="4"/>
    </row>
    <row r="41" spans="2:37" ht="12.75">
      <c r="B41" s="3"/>
      <c r="I41" s="23"/>
      <c r="J41" s="10"/>
      <c r="K41" s="23"/>
      <c r="L41" s="31"/>
      <c r="M41" s="31"/>
      <c r="N41" s="24"/>
      <c r="O41" s="24"/>
      <c r="P41" s="24"/>
      <c r="AB41" s="10"/>
      <c r="AC41" s="23"/>
      <c r="AD41" s="10"/>
      <c r="AE41" s="23"/>
      <c r="AF41" s="24"/>
      <c r="AG41" s="24"/>
      <c r="AH41" s="24"/>
      <c r="AI41" s="31"/>
      <c r="AJ41" s="31"/>
      <c r="AK41" s="4"/>
    </row>
    <row r="42" spans="2:37" ht="12.75">
      <c r="B42" s="3"/>
      <c r="I42" s="23"/>
      <c r="J42" s="10"/>
      <c r="K42" s="23"/>
      <c r="L42" s="31"/>
      <c r="M42" s="31"/>
      <c r="N42" s="24"/>
      <c r="O42" s="24"/>
      <c r="P42" s="24"/>
      <c r="AB42" s="10"/>
      <c r="AC42" s="23"/>
      <c r="AD42" s="10"/>
      <c r="AE42" s="23"/>
      <c r="AF42" s="24"/>
      <c r="AG42" s="24"/>
      <c r="AH42" s="24"/>
      <c r="AI42" s="31"/>
      <c r="AJ42" s="31"/>
      <c r="AK42" s="4"/>
    </row>
    <row r="43" spans="2:37" ht="12.75">
      <c r="B43" s="3"/>
      <c r="I43" s="23"/>
      <c r="J43" s="10"/>
      <c r="K43" s="23"/>
      <c r="L43" s="31"/>
      <c r="M43" s="31"/>
      <c r="N43" s="24"/>
      <c r="O43" s="24"/>
      <c r="P43" s="24"/>
      <c r="AB43" s="10"/>
      <c r="AC43" s="23"/>
      <c r="AD43" s="10"/>
      <c r="AE43" s="23"/>
      <c r="AF43" s="24"/>
      <c r="AG43" s="24"/>
      <c r="AH43" s="24"/>
      <c r="AI43" s="31"/>
      <c r="AJ43" s="31"/>
      <c r="AK43" s="4"/>
    </row>
    <row r="44" spans="2:37" ht="12.75">
      <c r="B44" s="3"/>
      <c r="I44" s="23"/>
      <c r="J44" s="10"/>
      <c r="K44" s="23"/>
      <c r="L44" s="31"/>
      <c r="M44" s="31"/>
      <c r="N44" s="24"/>
      <c r="O44" s="24"/>
      <c r="P44" s="24"/>
      <c r="AB44" s="10"/>
      <c r="AC44" s="23"/>
      <c r="AD44" s="10"/>
      <c r="AE44" s="23"/>
      <c r="AF44" s="24"/>
      <c r="AG44" s="24"/>
      <c r="AH44" s="24"/>
      <c r="AI44" s="31"/>
      <c r="AJ44" s="31"/>
      <c r="AK44" s="4"/>
    </row>
    <row r="45" spans="2:37" ht="12.75">
      <c r="B45" s="3"/>
      <c r="I45" s="23"/>
      <c r="J45" s="10"/>
      <c r="K45" s="23"/>
      <c r="L45" s="31"/>
      <c r="M45" s="31"/>
      <c r="N45" s="24"/>
      <c r="O45" s="24"/>
      <c r="P45" s="24"/>
      <c r="AB45" s="10"/>
      <c r="AC45" s="23"/>
      <c r="AD45" s="10"/>
      <c r="AE45" s="23"/>
      <c r="AF45" s="24"/>
      <c r="AG45" s="24"/>
      <c r="AH45" s="24"/>
      <c r="AI45" s="31"/>
      <c r="AJ45" s="31"/>
      <c r="AK45" s="4"/>
    </row>
    <row r="46" spans="2:37" ht="12.75">
      <c r="B46" s="3"/>
      <c r="I46" s="23"/>
      <c r="J46" s="10"/>
      <c r="K46" s="23"/>
      <c r="L46" s="31"/>
      <c r="M46" s="31"/>
      <c r="N46" s="24"/>
      <c r="O46" s="24"/>
      <c r="P46" s="24"/>
      <c r="AB46" s="10"/>
      <c r="AC46" s="23"/>
      <c r="AD46" s="10"/>
      <c r="AE46" s="23"/>
      <c r="AF46" s="24"/>
      <c r="AG46" s="24"/>
      <c r="AH46" s="24"/>
      <c r="AI46" s="31"/>
      <c r="AJ46" s="31"/>
      <c r="AK46" s="4"/>
    </row>
    <row r="47" spans="2:37" ht="12.75">
      <c r="B47" s="3"/>
      <c r="I47" s="23"/>
      <c r="J47" s="10"/>
      <c r="K47" s="23"/>
      <c r="L47" s="31"/>
      <c r="M47" s="31"/>
      <c r="N47" s="24"/>
      <c r="O47" s="24"/>
      <c r="P47" s="24"/>
      <c r="AB47" s="10"/>
      <c r="AC47" s="23"/>
      <c r="AD47" s="10"/>
      <c r="AE47" s="23"/>
      <c r="AF47" s="24"/>
      <c r="AG47" s="24"/>
      <c r="AH47" s="24"/>
      <c r="AI47" s="31"/>
      <c r="AJ47" s="31"/>
      <c r="AK47" s="4"/>
    </row>
    <row r="48" spans="9:37" ht="12.75">
      <c r="I48" s="23"/>
      <c r="AB48" s="10"/>
      <c r="AC48" s="23"/>
      <c r="AD48" s="4"/>
      <c r="AE48" s="4"/>
      <c r="AF48" s="4"/>
      <c r="AG48" s="4"/>
      <c r="AH48" s="4"/>
      <c r="AI48" s="4"/>
      <c r="AJ48" s="4"/>
      <c r="AK48" s="4"/>
    </row>
    <row r="49" spans="30:37" ht="12.75">
      <c r="AD49" s="4"/>
      <c r="AE49" s="4"/>
      <c r="AF49" s="4"/>
      <c r="AG49" s="4"/>
      <c r="AH49" s="4"/>
      <c r="AI49" s="4"/>
      <c r="AJ49" s="4"/>
      <c r="AK49" s="4"/>
    </row>
    <row r="50" spans="30:37" ht="12.75">
      <c r="AD50" s="4"/>
      <c r="AE50" s="4"/>
      <c r="AF50" s="4"/>
      <c r="AG50" s="4"/>
      <c r="AH50" s="4"/>
      <c r="AI50" s="4"/>
      <c r="AJ50" s="4"/>
      <c r="AK50" s="4"/>
    </row>
  </sheetData>
  <mergeCells count="5">
    <mergeCell ref="C1:D1"/>
    <mergeCell ref="N1:P1"/>
    <mergeCell ref="J1:K1"/>
    <mergeCell ref="L1:M1"/>
    <mergeCell ref="E1:G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802.3 Next Gen 100G Optics Study Group</dc:title>
  <dc:subject>PMD Solution Analyzer version 2012_11_17</dc:subject>
  <dc:creator>Paul Kolesar, CommScope</dc:creator>
  <cp:keywords/>
  <dc:description/>
  <cp:lastModifiedBy>pkolesar</cp:lastModifiedBy>
  <dcterms:created xsi:type="dcterms:W3CDTF">2011-01-26T21:58:43Z</dcterms:created>
  <dcterms:modified xsi:type="dcterms:W3CDTF">2012-02-29T21:31:13Z</dcterms:modified>
  <cp:category/>
  <cp:version/>
  <cp:contentType/>
  <cp:contentStatus/>
</cp:coreProperties>
</file>