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14280" windowHeight="11760" activeTab="1"/>
  </bookViews>
  <sheets>
    <sheet name="Notes" sheetId="40" r:id="rId1"/>
    <sheet name="Base" sheetId="47" r:id="rId2"/>
    <sheet name="Base(c)" sheetId="48" r:id="rId3"/>
    <sheet name="10GbE Notes" sheetId="30" r:id="rId4"/>
    <sheet name="1310S" sheetId="27" r:id="rId5"/>
  </sheets>
  <definedNames>
    <definedName name="B_1" localSheetId="1">Base!$AB$3</definedName>
    <definedName name="B_1" localSheetId="2">'Base(c)'!$AB$3</definedName>
    <definedName name="B_1">'1310S'!$AB$3</definedName>
    <definedName name="C_1" localSheetId="1">Base!$L$9</definedName>
    <definedName name="C_1" localSheetId="2">'Base(c)'!$L$9</definedName>
    <definedName name="C_1">'1310S'!$L$9</definedName>
    <definedName name="ER" localSheetId="1">Base!$AB$6</definedName>
    <definedName name="ER" localSheetId="2">'Base(c)'!$AB$6</definedName>
    <definedName name="ER">'1310S'!$AB$6</definedName>
    <definedName name="kRIN" localSheetId="1">Base!$G$6</definedName>
    <definedName name="kRIN" localSheetId="2">'Base(c)'!$G$6</definedName>
    <definedName name="kRIN">'1310S'!$G$6</definedName>
    <definedName name="Pmn" localSheetId="1">Base!$G$13</definedName>
    <definedName name="Pmn" localSheetId="2">'Base(c)'!$G$13</definedName>
    <definedName name="Pmn">'1310S'!$G$13</definedName>
    <definedName name="_xlnm.Print_Area" localSheetId="4">'1310S'!$A$1:$X$52</definedName>
    <definedName name="_xlnm.Print_Area" localSheetId="1">Base!$A$1:$X$53</definedName>
    <definedName name="_xlnm.Print_Area" localSheetId="2">'Base(c)'!$A$1:$X$53</definedName>
    <definedName name="PRINT_AREA_MI" localSheetId="4">'1310S'!$A$5:$H$33</definedName>
    <definedName name="PRINT_AREA_MI" localSheetId="1">Base!$A$5:$H$33</definedName>
    <definedName name="PRINT_AREA_MI" localSheetId="2">'Base(c)'!$A$5:$H$33</definedName>
    <definedName name="PRINT_AREA_MI">#REF!</definedName>
    <definedName name="Q" localSheetId="1">Base!$C$3</definedName>
    <definedName name="Q" localSheetId="2">'Base(c)'!$C$3</definedName>
    <definedName name="Q">'1310S'!$C$3</definedName>
    <definedName name="SD_blw" localSheetId="1">Base!$T$10</definedName>
    <definedName name="SD_blw" localSheetId="2">'Base(c)'!$T$10</definedName>
    <definedName name="SD_blw">'1310S'!$T$10</definedName>
    <definedName name="Tb_eff" localSheetId="1">Base!$L$12</definedName>
    <definedName name="Tb_eff" localSheetId="2">'Base(c)'!$L$12</definedName>
    <definedName name="Tb_eff">'1310S'!$L$12</definedName>
    <definedName name="Uc" localSheetId="1">Base!$C$6</definedName>
    <definedName name="Uc" localSheetId="2">'Base(c)'!$C$6</definedName>
    <definedName name="Uc">'1310S'!$C$6</definedName>
    <definedName name="Uo" localSheetId="1">Base!$P$7</definedName>
    <definedName name="Uo" localSheetId="2">'Base(c)'!$P$7</definedName>
    <definedName name="Uo">'1310S'!$P$7</definedName>
    <definedName name="Vmn" localSheetId="1">Base!$AG$7</definedName>
    <definedName name="Vmn" localSheetId="2">'Base(c)'!$AG$7</definedName>
    <definedName name="Vmn">'1310S'!$AG$7</definedName>
  </definedNames>
  <calcPr calcId="125725"/>
</workbook>
</file>

<file path=xl/calcChain.xml><?xml version="1.0" encoding="utf-8"?>
<calcChain xmlns="http://schemas.openxmlformats.org/spreadsheetml/2006/main">
  <c r="C10" i="47"/>
  <c r="G8" l="1"/>
  <c r="G3" l="1"/>
  <c r="F44" i="48" l="1"/>
  <c r="B44" i="47" l="1"/>
  <c r="F41"/>
  <c r="F42" l="1"/>
  <c r="C4" l="1"/>
  <c r="G45" l="1"/>
  <c r="G40"/>
  <c r="G43"/>
  <c r="G44"/>
  <c r="G46"/>
  <c r="G49" s="1"/>
  <c r="G47"/>
  <c r="F47" s="1"/>
  <c r="G41"/>
  <c r="G42"/>
  <c r="T5"/>
  <c r="F46" i="48"/>
  <c r="F45"/>
  <c r="F42"/>
  <c r="F43"/>
  <c r="G13"/>
  <c r="G48" i="47" l="1"/>
  <c r="T3" i="48"/>
  <c r="T10"/>
  <c r="T4"/>
  <c r="P12"/>
  <c r="P7"/>
  <c r="P2"/>
  <c r="L10"/>
  <c r="L7"/>
  <c r="L5"/>
  <c r="L4"/>
  <c r="G12"/>
  <c r="G6"/>
  <c r="G4"/>
  <c r="G2"/>
  <c r="G3" s="1"/>
  <c r="C8"/>
  <c r="AB11" s="1"/>
  <c r="C7"/>
  <c r="AB4" s="1"/>
  <c r="E17" s="1"/>
  <c r="C6"/>
  <c r="P6" s="1"/>
  <c r="C3"/>
  <c r="AO45"/>
  <c r="AO46" s="1"/>
  <c r="AO43"/>
  <c r="AO42"/>
  <c r="AN42"/>
  <c r="AN46" s="1"/>
  <c r="Z42"/>
  <c r="AK42" s="1"/>
  <c r="AN41"/>
  <c r="AN47" s="1"/>
  <c r="AK41"/>
  <c r="AJ41"/>
  <c r="G14"/>
  <c r="O11"/>
  <c r="AK9"/>
  <c r="W9"/>
  <c r="AK8"/>
  <c r="AB8"/>
  <c r="W2"/>
  <c r="U2"/>
  <c r="W1"/>
  <c r="R1"/>
  <c r="O1"/>
  <c r="G52" i="47" l="1"/>
  <c r="F52" s="1"/>
  <c r="F49"/>
  <c r="F50"/>
  <c r="G50" s="1"/>
  <c r="F51"/>
  <c r="G51" s="1"/>
  <c r="F48"/>
  <c r="AG7" i="48"/>
  <c r="L3"/>
  <c r="AM30" s="1"/>
  <c r="P3"/>
  <c r="P9"/>
  <c r="D17" s="1"/>
  <c r="F17" s="1"/>
  <c r="P4"/>
  <c r="B17" s="1"/>
  <c r="C17" s="1"/>
  <c r="AB5"/>
  <c r="A18"/>
  <c r="L6"/>
  <c r="AL38" s="1"/>
  <c r="T12"/>
  <c r="AJ42"/>
  <c r="Z43"/>
  <c r="AN44"/>
  <c r="AN43"/>
  <c r="AN45" s="1"/>
  <c r="AO45" i="47"/>
  <c r="AO46" s="1"/>
  <c r="AO43"/>
  <c r="AO42"/>
  <c r="AN42"/>
  <c r="AN46" s="1"/>
  <c r="Z42"/>
  <c r="AN41"/>
  <c r="AN47" s="1"/>
  <c r="AK41"/>
  <c r="AJ41"/>
  <c r="A18"/>
  <c r="G14"/>
  <c r="T12"/>
  <c r="AB11"/>
  <c r="O11"/>
  <c r="AK9"/>
  <c r="W9"/>
  <c r="P9"/>
  <c r="D17" s="1"/>
  <c r="AK8"/>
  <c r="AB8"/>
  <c r="AG7"/>
  <c r="P6"/>
  <c r="L6"/>
  <c r="AB5"/>
  <c r="AB4"/>
  <c r="E17" s="1"/>
  <c r="P4"/>
  <c r="B17" s="1"/>
  <c r="C17" s="1"/>
  <c r="P3"/>
  <c r="L3"/>
  <c r="W2"/>
  <c r="U2"/>
  <c r="W1"/>
  <c r="R1"/>
  <c r="O1"/>
  <c r="AM34" i="48" l="1"/>
  <c r="Q11"/>
  <c r="AM22"/>
  <c r="AM26"/>
  <c r="P5"/>
  <c r="AM38"/>
  <c r="X4"/>
  <c r="AM37"/>
  <c r="AM27"/>
  <c r="AM23"/>
  <c r="AM19"/>
  <c r="AM18"/>
  <c r="AM32"/>
  <c r="AM36"/>
  <c r="AM28"/>
  <c r="AM24"/>
  <c r="AM20"/>
  <c r="AM33"/>
  <c r="AR18"/>
  <c r="AM31"/>
  <c r="AM35"/>
  <c r="AM29"/>
  <c r="AM25"/>
  <c r="AM21"/>
  <c r="E18"/>
  <c r="A19"/>
  <c r="AR19" s="1"/>
  <c r="AO18"/>
  <c r="AP18"/>
  <c r="AQ18"/>
  <c r="D18"/>
  <c r="B18"/>
  <c r="C18" s="1"/>
  <c r="AM30" i="47"/>
  <c r="P11"/>
  <c r="AL20" i="48"/>
  <c r="T8" i="47"/>
  <c r="C4" i="48"/>
  <c r="AB12" i="47"/>
  <c r="C9" s="1"/>
  <c r="C10" i="48"/>
  <c r="AB12" s="1"/>
  <c r="C9" s="1"/>
  <c r="AL28"/>
  <c r="AL32"/>
  <c r="AL31"/>
  <c r="AL29"/>
  <c r="AL24"/>
  <c r="AL21"/>
  <c r="L8"/>
  <c r="AL25"/>
  <c r="AL35"/>
  <c r="AL36"/>
  <c r="AL17"/>
  <c r="AL27"/>
  <c r="AL23"/>
  <c r="AL19"/>
  <c r="AL33"/>
  <c r="AL37"/>
  <c r="AL30"/>
  <c r="AL26"/>
  <c r="AL22"/>
  <c r="AL18"/>
  <c r="AN38"/>
  <c r="AN37" s="1"/>
  <c r="AN36" s="1"/>
  <c r="AN35" s="1"/>
  <c r="AN34" s="1"/>
  <c r="AN33" s="1"/>
  <c r="AN32" s="1"/>
  <c r="AN31" s="1"/>
  <c r="AN30" s="1"/>
  <c r="AN29" s="1"/>
  <c r="AN28" s="1"/>
  <c r="AN27" s="1"/>
  <c r="AN26" s="1"/>
  <c r="AN25" s="1"/>
  <c r="AN24" s="1"/>
  <c r="AN23" s="1"/>
  <c r="AN22" s="1"/>
  <c r="AN21" s="1"/>
  <c r="AN20" s="1"/>
  <c r="AN19" s="1"/>
  <c r="AL34"/>
  <c r="Z44"/>
  <c r="AJ43"/>
  <c r="AK43"/>
  <c r="F17" i="47"/>
  <c r="P5"/>
  <c r="AR18"/>
  <c r="AL38"/>
  <c r="AL37"/>
  <c r="AL36"/>
  <c r="AL35"/>
  <c r="AL34"/>
  <c r="AL33"/>
  <c r="AL32"/>
  <c r="AN38"/>
  <c r="AN37" s="1"/>
  <c r="AN36" s="1"/>
  <c r="AN35" s="1"/>
  <c r="AN34" s="1"/>
  <c r="AN33" s="1"/>
  <c r="AN32" s="1"/>
  <c r="AN31" s="1"/>
  <c r="AN30" s="1"/>
  <c r="AN29" s="1"/>
  <c r="AN28" s="1"/>
  <c r="AN27" s="1"/>
  <c r="AN26" s="1"/>
  <c r="AN25" s="1"/>
  <c r="AN24" s="1"/>
  <c r="AN23" s="1"/>
  <c r="AN22" s="1"/>
  <c r="AN21" s="1"/>
  <c r="AN20" s="1"/>
  <c r="AN19" s="1"/>
  <c r="T5" i="48"/>
  <c r="T7" s="1"/>
  <c r="G8"/>
  <c r="B18" i="47"/>
  <c r="C18" s="1"/>
  <c r="AL18"/>
  <c r="AQ18"/>
  <c r="AM19"/>
  <c r="AM20"/>
  <c r="AM21"/>
  <c r="AM22"/>
  <c r="AM23"/>
  <c r="AM24"/>
  <c r="AM25"/>
  <c r="AM26"/>
  <c r="AM27"/>
  <c r="AM28"/>
  <c r="AM29"/>
  <c r="AM38"/>
  <c r="AM37"/>
  <c r="AM36"/>
  <c r="AM35"/>
  <c r="AM34"/>
  <c r="AM33"/>
  <c r="AM32"/>
  <c r="AM31"/>
  <c r="Q11"/>
  <c r="E18"/>
  <c r="AP18"/>
  <c r="AL19"/>
  <c r="AL20"/>
  <c r="AL21"/>
  <c r="AL22"/>
  <c r="AL23"/>
  <c r="AL24"/>
  <c r="AL25"/>
  <c r="AL26"/>
  <c r="AL27"/>
  <c r="AL28"/>
  <c r="AL29"/>
  <c r="AL30"/>
  <c r="AL31"/>
  <c r="X4"/>
  <c r="AL17"/>
  <c r="D18"/>
  <c r="AO18"/>
  <c r="A19"/>
  <c r="W5"/>
  <c r="L8"/>
  <c r="L11"/>
  <c r="AM18"/>
  <c r="AK42"/>
  <c r="AJ42"/>
  <c r="Z43"/>
  <c r="AN44"/>
  <c r="AN43"/>
  <c r="AN45" s="1"/>
  <c r="AB6" l="1"/>
  <c r="AB7" s="1"/>
  <c r="C11" s="1"/>
  <c r="P13"/>
  <c r="G19" s="1"/>
  <c r="G43" i="48"/>
  <c r="G42"/>
  <c r="G45"/>
  <c r="G46"/>
  <c r="G44"/>
  <c r="G7" s="1"/>
  <c r="F18"/>
  <c r="AO19"/>
  <c r="AQ19"/>
  <c r="A20"/>
  <c r="AO20" s="1"/>
  <c r="AP19"/>
  <c r="B19"/>
  <c r="C19" s="1"/>
  <c r="D19"/>
  <c r="E19"/>
  <c r="L13" i="47"/>
  <c r="G9"/>
  <c r="P11" i="48"/>
  <c r="P13" s="1"/>
  <c r="F18" i="47"/>
  <c r="AB6" i="48"/>
  <c r="AB7" s="1"/>
  <c r="C11" s="1"/>
  <c r="AG8" i="47"/>
  <c r="W5" i="48"/>
  <c r="AG8" s="1"/>
  <c r="T8"/>
  <c r="Y1"/>
  <c r="L11"/>
  <c r="AK44"/>
  <c r="Z45"/>
  <c r="AJ44"/>
  <c r="T7" i="47"/>
  <c r="Y44"/>
  <c r="AA43" s="1"/>
  <c r="O18"/>
  <c r="P18" s="1"/>
  <c r="Q18" s="1"/>
  <c r="O17"/>
  <c r="P17" s="1"/>
  <c r="Q17" s="1"/>
  <c r="L12"/>
  <c r="AR19"/>
  <c r="D19"/>
  <c r="O19" s="1"/>
  <c r="P19" s="1"/>
  <c r="Q19" s="1"/>
  <c r="A20"/>
  <c r="AO19"/>
  <c r="E19"/>
  <c r="AP19"/>
  <c r="B19"/>
  <c r="C19" s="1"/>
  <c r="AQ19"/>
  <c r="Z44"/>
  <c r="AJ43"/>
  <c r="AK43"/>
  <c r="AB9" l="1"/>
  <c r="G5"/>
  <c r="G17"/>
  <c r="H17" s="1"/>
  <c r="G18"/>
  <c r="H18" s="1"/>
  <c r="I18" s="1"/>
  <c r="AF18" s="1"/>
  <c r="G20"/>
  <c r="B20" i="48"/>
  <c r="C20" s="1"/>
  <c r="A21"/>
  <c r="AR21" s="1"/>
  <c r="F19"/>
  <c r="O19"/>
  <c r="P19" s="1"/>
  <c r="Q19" s="1"/>
  <c r="E20"/>
  <c r="AR20"/>
  <c r="AP20"/>
  <c r="D20"/>
  <c r="O20" s="1"/>
  <c r="P20" s="1"/>
  <c r="Q20" s="1"/>
  <c r="G20"/>
  <c r="AQ20"/>
  <c r="AK18" i="47"/>
  <c r="G19" i="48"/>
  <c r="G17"/>
  <c r="G18"/>
  <c r="L13"/>
  <c r="G5"/>
  <c r="AB9"/>
  <c r="L12"/>
  <c r="O17"/>
  <c r="P17" s="1"/>
  <c r="Q17" s="1"/>
  <c r="O18"/>
  <c r="P18" s="1"/>
  <c r="Q18" s="1"/>
  <c r="Y44"/>
  <c r="AA45" s="1"/>
  <c r="G9"/>
  <c r="AK45"/>
  <c r="Z46"/>
  <c r="AJ45"/>
  <c r="AM43" i="47"/>
  <c r="AL41"/>
  <c r="AM41"/>
  <c r="H7"/>
  <c r="AL42"/>
  <c r="AM42"/>
  <c r="AL43"/>
  <c r="F19"/>
  <c r="Z45"/>
  <c r="AL44"/>
  <c r="AM44"/>
  <c r="AA44"/>
  <c r="AJ44"/>
  <c r="AK44"/>
  <c r="AR20"/>
  <c r="D20"/>
  <c r="A21"/>
  <c r="AO20"/>
  <c r="E20"/>
  <c r="AP20"/>
  <c r="B20"/>
  <c r="C20" s="1"/>
  <c r="AQ20"/>
  <c r="AG3"/>
  <c r="AG4" s="1"/>
  <c r="AG5"/>
  <c r="T13" s="1"/>
  <c r="AA42"/>
  <c r="AA41"/>
  <c r="AG6" l="1"/>
  <c r="F20" i="48"/>
  <c r="AK20" s="1"/>
  <c r="AP21"/>
  <c r="AK19"/>
  <c r="D21"/>
  <c r="O21" s="1"/>
  <c r="P21" s="1"/>
  <c r="Q21" s="1"/>
  <c r="B21"/>
  <c r="C21" s="1"/>
  <c r="A22"/>
  <c r="A23" s="1"/>
  <c r="AQ21"/>
  <c r="AO21"/>
  <c r="G21"/>
  <c r="E21"/>
  <c r="H19"/>
  <c r="I19" s="1"/>
  <c r="AG19" s="1"/>
  <c r="H17"/>
  <c r="AG6"/>
  <c r="AK18"/>
  <c r="H18"/>
  <c r="I18" s="1"/>
  <c r="AH18" s="1"/>
  <c r="AL45"/>
  <c r="AM45"/>
  <c r="AL42"/>
  <c r="AL43"/>
  <c r="H7"/>
  <c r="AM41"/>
  <c r="AM44"/>
  <c r="AM43"/>
  <c r="AL41"/>
  <c r="AM42"/>
  <c r="AL44"/>
  <c r="AA43"/>
  <c r="AA42"/>
  <c r="AA44"/>
  <c r="AA41"/>
  <c r="AG3"/>
  <c r="AG4" s="1"/>
  <c r="AG5"/>
  <c r="T13" s="1"/>
  <c r="AM46"/>
  <c r="AA46"/>
  <c r="Z47"/>
  <c r="AJ46"/>
  <c r="AK46"/>
  <c r="AL46"/>
  <c r="AH18" i="47"/>
  <c r="AE18"/>
  <c r="AB18" s="1"/>
  <c r="AG18"/>
  <c r="AI18"/>
  <c r="Y18"/>
  <c r="Z18" s="1"/>
  <c r="J18" s="1"/>
  <c r="AJ18"/>
  <c r="AL45"/>
  <c r="AM45"/>
  <c r="AA45"/>
  <c r="Z46"/>
  <c r="AJ45"/>
  <c r="AK45"/>
  <c r="F20"/>
  <c r="O20"/>
  <c r="P20" s="1"/>
  <c r="Q20" s="1"/>
  <c r="AR21"/>
  <c r="D21"/>
  <c r="A22"/>
  <c r="AO21"/>
  <c r="E21"/>
  <c r="AP21"/>
  <c r="B21"/>
  <c r="C21" s="1"/>
  <c r="AQ21"/>
  <c r="G21"/>
  <c r="H19"/>
  <c r="I19" s="1"/>
  <c r="AK19"/>
  <c r="AG9"/>
  <c r="AB42" s="1"/>
  <c r="AD42" s="1"/>
  <c r="I17"/>
  <c r="H20" i="48" l="1"/>
  <c r="I20" s="1"/>
  <c r="AE20" s="1"/>
  <c r="D22"/>
  <c r="O22" s="1"/>
  <c r="P22" s="1"/>
  <c r="Q22" s="1"/>
  <c r="AP22"/>
  <c r="G22"/>
  <c r="AR22"/>
  <c r="E22"/>
  <c r="F21"/>
  <c r="AK21" s="1"/>
  <c r="AQ22"/>
  <c r="AO22"/>
  <c r="B22"/>
  <c r="C22" s="1"/>
  <c r="AI19"/>
  <c r="AE19"/>
  <c r="Y19"/>
  <c r="Z19" s="1"/>
  <c r="J19" s="1"/>
  <c r="AF19"/>
  <c r="AH19"/>
  <c r="AC19" s="1"/>
  <c r="AJ19"/>
  <c r="AG18"/>
  <c r="AC18" s="1"/>
  <c r="AF18"/>
  <c r="AI18"/>
  <c r="AE18"/>
  <c r="Y18"/>
  <c r="Z18" s="1"/>
  <c r="J18" s="1"/>
  <c r="AJ18"/>
  <c r="I17"/>
  <c r="AG9"/>
  <c r="AC46" s="1"/>
  <c r="AE46" s="1"/>
  <c r="AH46" s="1"/>
  <c r="AJ20"/>
  <c r="AR23"/>
  <c r="D23"/>
  <c r="A24"/>
  <c r="AO23"/>
  <c r="E23"/>
  <c r="AP23"/>
  <c r="B23"/>
  <c r="C23" s="1"/>
  <c r="AQ23"/>
  <c r="G23"/>
  <c r="AK47"/>
  <c r="AL47"/>
  <c r="Z48"/>
  <c r="AM47"/>
  <c r="AA47"/>
  <c r="AJ47"/>
  <c r="K18" i="47"/>
  <c r="AC18"/>
  <c r="AD18"/>
  <c r="L18" s="1"/>
  <c r="AG42"/>
  <c r="Y19"/>
  <c r="Z19" s="1"/>
  <c r="J19" s="1"/>
  <c r="AG19"/>
  <c r="AF19"/>
  <c r="AE19"/>
  <c r="AJ19"/>
  <c r="AH19"/>
  <c r="AI19"/>
  <c r="F21"/>
  <c r="O21"/>
  <c r="P21" s="1"/>
  <c r="Q21" s="1"/>
  <c r="AC45"/>
  <c r="AE45" s="1"/>
  <c r="AH45" s="1"/>
  <c r="AB45"/>
  <c r="AD45" s="1"/>
  <c r="AC42"/>
  <c r="AE42" s="1"/>
  <c r="AH42" s="1"/>
  <c r="AR22"/>
  <c r="D22"/>
  <c r="A23"/>
  <c r="AO22"/>
  <c r="E22"/>
  <c r="AP22"/>
  <c r="B22"/>
  <c r="C22" s="1"/>
  <c r="AQ22"/>
  <c r="G22"/>
  <c r="Z47"/>
  <c r="AJ46"/>
  <c r="AK46"/>
  <c r="AL46"/>
  <c r="AM46"/>
  <c r="AA46"/>
  <c r="AC41"/>
  <c r="AE41" s="1"/>
  <c r="AH41" s="1"/>
  <c r="AB43"/>
  <c r="AD43" s="1"/>
  <c r="AC43"/>
  <c r="AE43" s="1"/>
  <c r="AH43" s="1"/>
  <c r="AK1"/>
  <c r="AB44"/>
  <c r="AD44" s="1"/>
  <c r="AK2"/>
  <c r="AC44"/>
  <c r="AE44" s="1"/>
  <c r="AH44" s="1"/>
  <c r="AG10"/>
  <c r="AG11"/>
  <c r="H20"/>
  <c r="I20" s="1"/>
  <c r="AK20"/>
  <c r="AB41"/>
  <c r="AD41" s="1"/>
  <c r="Y17"/>
  <c r="Z17" s="1"/>
  <c r="J17" s="1"/>
  <c r="AH17"/>
  <c r="AI17"/>
  <c r="AG17"/>
  <c r="AF17"/>
  <c r="AJ17"/>
  <c r="AE17"/>
  <c r="AG20" i="48" l="1"/>
  <c r="AH20"/>
  <c r="AI20"/>
  <c r="AD20" s="1"/>
  <c r="AF20"/>
  <c r="AB20" s="1"/>
  <c r="Y20"/>
  <c r="Z20" s="1"/>
  <c r="J20" s="1"/>
  <c r="H21"/>
  <c r="I21" s="1"/>
  <c r="AF21" s="1"/>
  <c r="F22"/>
  <c r="AK22" s="1"/>
  <c r="AD19"/>
  <c r="N19" s="1"/>
  <c r="AB19"/>
  <c r="K19" s="1"/>
  <c r="M19" s="1"/>
  <c r="AB18"/>
  <c r="K18" s="1"/>
  <c r="M18" s="1"/>
  <c r="AD18"/>
  <c r="L18" s="1"/>
  <c r="AB46"/>
  <c r="AD46" s="1"/>
  <c r="AF46" s="1"/>
  <c r="AI46" s="1"/>
  <c r="AC41"/>
  <c r="AE41" s="1"/>
  <c r="AH41" s="1"/>
  <c r="AC42"/>
  <c r="AE42" s="1"/>
  <c r="AH42" s="1"/>
  <c r="AB41"/>
  <c r="AD41" s="1"/>
  <c r="AG11"/>
  <c r="AC44"/>
  <c r="AE44" s="1"/>
  <c r="AH44" s="1"/>
  <c r="AK1"/>
  <c r="AB42"/>
  <c r="AD42" s="1"/>
  <c r="AC45"/>
  <c r="AE45" s="1"/>
  <c r="AH45" s="1"/>
  <c r="AK2"/>
  <c r="AB43"/>
  <c r="AD43" s="1"/>
  <c r="AG10"/>
  <c r="AB45"/>
  <c r="AD45" s="1"/>
  <c r="AB44"/>
  <c r="AD44" s="1"/>
  <c r="AC43"/>
  <c r="AE43" s="1"/>
  <c r="AH43" s="1"/>
  <c r="Y17"/>
  <c r="Z17" s="1"/>
  <c r="J17" s="1"/>
  <c r="AF17"/>
  <c r="AI17"/>
  <c r="AG17"/>
  <c r="AE17"/>
  <c r="AH17"/>
  <c r="AJ17"/>
  <c r="AR24"/>
  <c r="D24"/>
  <c r="A25"/>
  <c r="AO24"/>
  <c r="E24"/>
  <c r="AP24"/>
  <c r="B24"/>
  <c r="C24" s="1"/>
  <c r="AQ24"/>
  <c r="G24"/>
  <c r="AJ48"/>
  <c r="AK48"/>
  <c r="Z49"/>
  <c r="AL48"/>
  <c r="AM48"/>
  <c r="AA48"/>
  <c r="AC47"/>
  <c r="AE47" s="1"/>
  <c r="AH47" s="1"/>
  <c r="AB47"/>
  <c r="AD47" s="1"/>
  <c r="F23"/>
  <c r="O23"/>
  <c r="P23" s="1"/>
  <c r="Q23" s="1"/>
  <c r="M18" i="47"/>
  <c r="AC17"/>
  <c r="S17" s="1"/>
  <c r="AA18"/>
  <c r="R18" s="1"/>
  <c r="N18"/>
  <c r="AD17"/>
  <c r="AA17" s="1"/>
  <c r="AG12"/>
  <c r="G11" s="1"/>
  <c r="AK3"/>
  <c r="AK4" s="1"/>
  <c r="AD19"/>
  <c r="L19" s="1"/>
  <c r="AF20"/>
  <c r="AH20"/>
  <c r="AE20"/>
  <c r="AJ20"/>
  <c r="AI20"/>
  <c r="Y20"/>
  <c r="Z20" s="1"/>
  <c r="J20" s="1"/>
  <c r="AG20"/>
  <c r="AF42"/>
  <c r="AI42" s="1"/>
  <c r="AF44"/>
  <c r="AI44" s="1"/>
  <c r="AG44"/>
  <c r="H21"/>
  <c r="I21" s="1"/>
  <c r="AK21"/>
  <c r="AB19"/>
  <c r="K19" s="1"/>
  <c r="AF43"/>
  <c r="AI43" s="1"/>
  <c r="AG43"/>
  <c r="AL47"/>
  <c r="Z48"/>
  <c r="AM47"/>
  <c r="AA47"/>
  <c r="AJ47"/>
  <c r="AK47"/>
  <c r="F22"/>
  <c r="O22"/>
  <c r="P22" s="1"/>
  <c r="Q22" s="1"/>
  <c r="AF45"/>
  <c r="AI45" s="1"/>
  <c r="AG45"/>
  <c r="AB17"/>
  <c r="K17" s="1"/>
  <c r="AF41"/>
  <c r="AI41" s="1"/>
  <c r="AG41"/>
  <c r="AC46"/>
  <c r="AE46" s="1"/>
  <c r="AH46" s="1"/>
  <c r="AB46"/>
  <c r="AD46" s="1"/>
  <c r="AR23"/>
  <c r="D23"/>
  <c r="A24"/>
  <c r="AO23"/>
  <c r="E23"/>
  <c r="AP23"/>
  <c r="B23"/>
  <c r="C23" s="1"/>
  <c r="AQ23"/>
  <c r="G23"/>
  <c r="AC19"/>
  <c r="AC20" i="48" l="1"/>
  <c r="K20"/>
  <c r="L20"/>
  <c r="AJ21"/>
  <c r="AG21"/>
  <c r="Y21"/>
  <c r="Z21" s="1"/>
  <c r="J21" s="1"/>
  <c r="AE21"/>
  <c r="AB21" s="1"/>
  <c r="AI21"/>
  <c r="AD21" s="1"/>
  <c r="N21" s="1"/>
  <c r="AH21"/>
  <c r="H22"/>
  <c r="I22" s="1"/>
  <c r="AI22" s="1"/>
  <c r="AA19"/>
  <c r="R19" s="1"/>
  <c r="L19"/>
  <c r="AG46"/>
  <c r="N18"/>
  <c r="AA18"/>
  <c r="R18" s="1"/>
  <c r="AK3"/>
  <c r="AK4" s="1"/>
  <c r="AG12"/>
  <c r="G11" s="1"/>
  <c r="AF44"/>
  <c r="AI44" s="1"/>
  <c r="AG44"/>
  <c r="AF43"/>
  <c r="AI43" s="1"/>
  <c r="AG43"/>
  <c r="AD17"/>
  <c r="AG42"/>
  <c r="AF42"/>
  <c r="AI42" s="1"/>
  <c r="AF41"/>
  <c r="AI41" s="1"/>
  <c r="AG41"/>
  <c r="AC17"/>
  <c r="AF45"/>
  <c r="AI45" s="1"/>
  <c r="AG45"/>
  <c r="AB17"/>
  <c r="K17" s="1"/>
  <c r="N20"/>
  <c r="AA20"/>
  <c r="R20" s="1"/>
  <c r="H23"/>
  <c r="I23" s="1"/>
  <c r="AK23"/>
  <c r="F24"/>
  <c r="O24"/>
  <c r="P24" s="1"/>
  <c r="Q24" s="1"/>
  <c r="AB48"/>
  <c r="AD48" s="1"/>
  <c r="AC48"/>
  <c r="AE48" s="1"/>
  <c r="AH48" s="1"/>
  <c r="AR25"/>
  <c r="D25"/>
  <c r="A26"/>
  <c r="AO25"/>
  <c r="E25"/>
  <c r="AP25"/>
  <c r="B25"/>
  <c r="C25" s="1"/>
  <c r="AQ25"/>
  <c r="G25"/>
  <c r="AG47"/>
  <c r="AF47"/>
  <c r="AI47" s="1"/>
  <c r="AJ49"/>
  <c r="AK49"/>
  <c r="Z50"/>
  <c r="AL49"/>
  <c r="AM49"/>
  <c r="AA49"/>
  <c r="L17" i="47"/>
  <c r="T17" s="1"/>
  <c r="V17" s="1"/>
  <c r="S18"/>
  <c r="U18" s="1"/>
  <c r="AD20"/>
  <c r="N20" s="1"/>
  <c r="M19"/>
  <c r="N19"/>
  <c r="AA19"/>
  <c r="R19" s="1"/>
  <c r="M17"/>
  <c r="U17" s="1"/>
  <c r="F23"/>
  <c r="O23"/>
  <c r="P23" s="1"/>
  <c r="Q23" s="1"/>
  <c r="AC20"/>
  <c r="AB20"/>
  <c r="K20" s="1"/>
  <c r="AR24"/>
  <c r="D24"/>
  <c r="A25"/>
  <c r="AO24"/>
  <c r="E24"/>
  <c r="AP24"/>
  <c r="B24"/>
  <c r="C24" s="1"/>
  <c r="AQ24"/>
  <c r="G24"/>
  <c r="AK48"/>
  <c r="Z49"/>
  <c r="AL48"/>
  <c r="AM48"/>
  <c r="AA48"/>
  <c r="AJ48"/>
  <c r="H22"/>
  <c r="I22" s="1"/>
  <c r="AK22"/>
  <c r="AF46"/>
  <c r="AI46" s="1"/>
  <c r="AG46"/>
  <c r="AB47"/>
  <c r="AD47" s="1"/>
  <c r="AC47"/>
  <c r="AE47" s="1"/>
  <c r="AH47" s="1"/>
  <c r="Y21"/>
  <c r="Z21" s="1"/>
  <c r="J21" s="1"/>
  <c r="AG21"/>
  <c r="AH21"/>
  <c r="AF21"/>
  <c r="AE21"/>
  <c r="AJ21"/>
  <c r="AI21"/>
  <c r="M20" i="48" l="1"/>
  <c r="K21"/>
  <c r="AC21"/>
  <c r="AE22"/>
  <c r="AG22"/>
  <c r="AH22"/>
  <c r="Y22"/>
  <c r="Z22" s="1"/>
  <c r="J22" s="1"/>
  <c r="AJ22"/>
  <c r="AD22" s="1"/>
  <c r="AF22"/>
  <c r="S19"/>
  <c r="T19" s="1"/>
  <c r="V19" s="1"/>
  <c r="AA21"/>
  <c r="R21" s="1"/>
  <c r="L21"/>
  <c r="S18"/>
  <c r="T18" s="1"/>
  <c r="W18" s="1"/>
  <c r="S20"/>
  <c r="T20" s="1"/>
  <c r="V20" s="1"/>
  <c r="AA17"/>
  <c r="L17"/>
  <c r="S17"/>
  <c r="M17"/>
  <c r="AB49"/>
  <c r="AD49" s="1"/>
  <c r="AC49"/>
  <c r="AE49" s="1"/>
  <c r="AH49" s="1"/>
  <c r="AJ50"/>
  <c r="AK50"/>
  <c r="Z51"/>
  <c r="AL50"/>
  <c r="AM50"/>
  <c r="AA50"/>
  <c r="AG23"/>
  <c r="AE23"/>
  <c r="AF23"/>
  <c r="AH23"/>
  <c r="AJ23"/>
  <c r="AI23"/>
  <c r="Y23"/>
  <c r="Z23" s="1"/>
  <c r="J23" s="1"/>
  <c r="F25"/>
  <c r="O25"/>
  <c r="P25" s="1"/>
  <c r="Q25" s="1"/>
  <c r="H24"/>
  <c r="I24" s="1"/>
  <c r="AK24"/>
  <c r="AR26"/>
  <c r="D26"/>
  <c r="A27"/>
  <c r="AO26"/>
  <c r="E26"/>
  <c r="AP26"/>
  <c r="B26"/>
  <c r="C26" s="1"/>
  <c r="AQ26"/>
  <c r="G26"/>
  <c r="AF48"/>
  <c r="AI48" s="1"/>
  <c r="AG48"/>
  <c r="L20" i="47"/>
  <c r="AA20"/>
  <c r="R20" s="1"/>
  <c r="AB21"/>
  <c r="K21" s="1"/>
  <c r="T18"/>
  <c r="W18" s="1"/>
  <c r="S19"/>
  <c r="T19" s="1"/>
  <c r="AD21"/>
  <c r="AA21" s="1"/>
  <c r="W17"/>
  <c r="AF47"/>
  <c r="AI47" s="1"/>
  <c r="AG47"/>
  <c r="AK49"/>
  <c r="Z50"/>
  <c r="AL49"/>
  <c r="AM49"/>
  <c r="AA49"/>
  <c r="AJ49"/>
  <c r="AR25"/>
  <c r="D25"/>
  <c r="A26"/>
  <c r="AO25"/>
  <c r="E25"/>
  <c r="AP25"/>
  <c r="B25"/>
  <c r="C25" s="1"/>
  <c r="AQ25"/>
  <c r="G25"/>
  <c r="AC21"/>
  <c r="AF22"/>
  <c r="AE22"/>
  <c r="AJ22"/>
  <c r="AI22"/>
  <c r="Y22"/>
  <c r="Z22" s="1"/>
  <c r="J22" s="1"/>
  <c r="AH22"/>
  <c r="AG22"/>
  <c r="M20"/>
  <c r="AB48"/>
  <c r="AD48" s="1"/>
  <c r="AC48"/>
  <c r="AE48" s="1"/>
  <c r="AH48" s="1"/>
  <c r="F24"/>
  <c r="O24"/>
  <c r="P24" s="1"/>
  <c r="Q24" s="1"/>
  <c r="H23"/>
  <c r="I23" s="1"/>
  <c r="AK23"/>
  <c r="M21" i="48" l="1"/>
  <c r="AB22"/>
  <c r="K22" s="1"/>
  <c r="AC22"/>
  <c r="W19"/>
  <c r="U19"/>
  <c r="U20"/>
  <c r="U18"/>
  <c r="S21"/>
  <c r="V18"/>
  <c r="W20"/>
  <c r="U17"/>
  <c r="T17"/>
  <c r="AD23"/>
  <c r="L23" s="1"/>
  <c r="AB50"/>
  <c r="AD50" s="1"/>
  <c r="AC50"/>
  <c r="AE50" s="1"/>
  <c r="AH50" s="1"/>
  <c r="AB23"/>
  <c r="K23" s="1"/>
  <c r="F26"/>
  <c r="O26"/>
  <c r="P26" s="1"/>
  <c r="Q26" s="1"/>
  <c r="Z52"/>
  <c r="AJ51"/>
  <c r="AK51"/>
  <c r="AL51"/>
  <c r="AM51"/>
  <c r="AA51"/>
  <c r="AR27"/>
  <c r="D27"/>
  <c r="A28"/>
  <c r="AO27"/>
  <c r="E27"/>
  <c r="AP27"/>
  <c r="B27"/>
  <c r="C27" s="1"/>
  <c r="AQ27"/>
  <c r="G27"/>
  <c r="L22"/>
  <c r="AA22"/>
  <c r="N22"/>
  <c r="AJ24"/>
  <c r="AI24"/>
  <c r="Y24"/>
  <c r="Z24" s="1"/>
  <c r="J24" s="1"/>
  <c r="AG24"/>
  <c r="AH24"/>
  <c r="AE24"/>
  <c r="AF24"/>
  <c r="H25"/>
  <c r="I25" s="1"/>
  <c r="AK25"/>
  <c r="AF49"/>
  <c r="AI49" s="1"/>
  <c r="AG49"/>
  <c r="AC23"/>
  <c r="L21" i="47"/>
  <c r="U19"/>
  <c r="M21"/>
  <c r="V18"/>
  <c r="AB22"/>
  <c r="K22" s="1"/>
  <c r="N21"/>
  <c r="AD22"/>
  <c r="L22" s="1"/>
  <c r="AR26"/>
  <c r="D26"/>
  <c r="A27"/>
  <c r="AO26"/>
  <c r="E26"/>
  <c r="AP26"/>
  <c r="B26"/>
  <c r="C26" s="1"/>
  <c r="AQ26"/>
  <c r="G26"/>
  <c r="Y23"/>
  <c r="Z23" s="1"/>
  <c r="J23" s="1"/>
  <c r="AG23"/>
  <c r="AF23"/>
  <c r="AE23"/>
  <c r="AJ23"/>
  <c r="AH23"/>
  <c r="AI23"/>
  <c r="S20"/>
  <c r="U20" s="1"/>
  <c r="AC22"/>
  <c r="V19"/>
  <c r="W19"/>
  <c r="AB49"/>
  <c r="AD49" s="1"/>
  <c r="AC49"/>
  <c r="AE49" s="1"/>
  <c r="AH49" s="1"/>
  <c r="H24"/>
  <c r="I24" s="1"/>
  <c r="AK24"/>
  <c r="AG48"/>
  <c r="AF48"/>
  <c r="AI48" s="1"/>
  <c r="R21"/>
  <c r="F25"/>
  <c r="O25"/>
  <c r="P25" s="1"/>
  <c r="Q25" s="1"/>
  <c r="AK50"/>
  <c r="Z51"/>
  <c r="AL50"/>
  <c r="AM50"/>
  <c r="AA50"/>
  <c r="AJ50"/>
  <c r="M22" l="1"/>
  <c r="U21" i="48"/>
  <c r="M22"/>
  <c r="M23"/>
  <c r="T21"/>
  <c r="W21" s="1"/>
  <c r="AC24"/>
  <c r="AD24"/>
  <c r="N24" s="1"/>
  <c r="V17"/>
  <c r="W17"/>
  <c r="AA23"/>
  <c r="R23" s="1"/>
  <c r="N23"/>
  <c r="AB24"/>
  <c r="K24" s="1"/>
  <c r="AG25"/>
  <c r="AE25"/>
  <c r="AF25"/>
  <c r="AJ25"/>
  <c r="AI25"/>
  <c r="Y25"/>
  <c r="Z25" s="1"/>
  <c r="J25" s="1"/>
  <c r="AH25"/>
  <c r="AF50"/>
  <c r="AI50" s="1"/>
  <c r="AG50"/>
  <c r="AL52"/>
  <c r="AM52"/>
  <c r="AA52"/>
  <c r="Z53"/>
  <c r="AJ52"/>
  <c r="AK52"/>
  <c r="H26"/>
  <c r="I26" s="1"/>
  <c r="AK26"/>
  <c r="F27"/>
  <c r="O27"/>
  <c r="P27" s="1"/>
  <c r="Q27" s="1"/>
  <c r="AB51"/>
  <c r="AD51" s="1"/>
  <c r="AC51"/>
  <c r="AE51" s="1"/>
  <c r="AH51" s="1"/>
  <c r="R22"/>
  <c r="D28"/>
  <c r="A29"/>
  <c r="E28"/>
  <c r="B28"/>
  <c r="C28" s="1"/>
  <c r="G28"/>
  <c r="S21" i="47"/>
  <c r="U21" s="1"/>
  <c r="AB23"/>
  <c r="K23" s="1"/>
  <c r="N22"/>
  <c r="AA22"/>
  <c r="R22" s="1"/>
  <c r="T20"/>
  <c r="AD23"/>
  <c r="AB50"/>
  <c r="AD50" s="1"/>
  <c r="AC50"/>
  <c r="AE50" s="1"/>
  <c r="AH50" s="1"/>
  <c r="F26"/>
  <c r="O26"/>
  <c r="P26" s="1"/>
  <c r="Q26" s="1"/>
  <c r="AK51"/>
  <c r="AL51"/>
  <c r="AM51"/>
  <c r="AA51"/>
  <c r="Z52"/>
  <c r="AJ51"/>
  <c r="AR27"/>
  <c r="D27"/>
  <c r="A28"/>
  <c r="AO27"/>
  <c r="E27"/>
  <c r="AP27"/>
  <c r="B27"/>
  <c r="C27" s="1"/>
  <c r="AQ27"/>
  <c r="G27"/>
  <c r="H25"/>
  <c r="I25" s="1"/>
  <c r="AK25"/>
  <c r="AF24"/>
  <c r="AH24"/>
  <c r="AE24"/>
  <c r="AJ24"/>
  <c r="AI24"/>
  <c r="Y24"/>
  <c r="Z24" s="1"/>
  <c r="J24" s="1"/>
  <c r="AG24"/>
  <c r="AG49"/>
  <c r="AF49"/>
  <c r="AI49" s="1"/>
  <c r="AC23"/>
  <c r="A42" l="1"/>
  <c r="V21" i="48"/>
  <c r="AA24"/>
  <c r="R24" s="1"/>
  <c r="M24"/>
  <c r="L24"/>
  <c r="M23" i="47"/>
  <c r="S23" i="48"/>
  <c r="T23" s="1"/>
  <c r="V23" s="1"/>
  <c r="T21" i="47"/>
  <c r="W21" s="1"/>
  <c r="AD25" i="48"/>
  <c r="AA25" s="1"/>
  <c r="AB25"/>
  <c r="K25" s="1"/>
  <c r="AC25"/>
  <c r="S22"/>
  <c r="T22" s="1"/>
  <c r="V22" s="1"/>
  <c r="F28"/>
  <c r="O28"/>
  <c r="P28" s="1"/>
  <c r="Q28" s="1"/>
  <c r="H27"/>
  <c r="I27" s="1"/>
  <c r="AK27"/>
  <c r="AJ26"/>
  <c r="AH26"/>
  <c r="AI26"/>
  <c r="AE26"/>
  <c r="Y26"/>
  <c r="Z26" s="1"/>
  <c r="J26" s="1"/>
  <c r="AG26"/>
  <c r="AF26"/>
  <c r="AC52"/>
  <c r="AE52" s="1"/>
  <c r="AH52" s="1"/>
  <c r="AB52"/>
  <c r="AD52" s="1"/>
  <c r="AR29"/>
  <c r="D29"/>
  <c r="A30"/>
  <c r="AO29"/>
  <c r="E29"/>
  <c r="AP29"/>
  <c r="B29"/>
  <c r="C29" s="1"/>
  <c r="AQ29"/>
  <c r="G29"/>
  <c r="Z54"/>
  <c r="AJ53"/>
  <c r="AK53"/>
  <c r="AL53"/>
  <c r="AM53"/>
  <c r="AA53"/>
  <c r="AF51"/>
  <c r="AI51" s="1"/>
  <c r="AG51"/>
  <c r="AC24" i="47"/>
  <c r="S22"/>
  <c r="U22" s="1"/>
  <c r="AD24"/>
  <c r="AA24" s="1"/>
  <c r="Y25"/>
  <c r="Z25" s="1"/>
  <c r="J25" s="1"/>
  <c r="AG25"/>
  <c r="AH25"/>
  <c r="AF25"/>
  <c r="AE25"/>
  <c r="AJ25"/>
  <c r="AI25"/>
  <c r="F27"/>
  <c r="O27"/>
  <c r="P27" s="1"/>
  <c r="Q27" s="1"/>
  <c r="AB51"/>
  <c r="AD51" s="1"/>
  <c r="AC51"/>
  <c r="AE51" s="1"/>
  <c r="AH51" s="1"/>
  <c r="V20"/>
  <c r="W20"/>
  <c r="AB24"/>
  <c r="K24" s="1"/>
  <c r="D28"/>
  <c r="A29"/>
  <c r="E28"/>
  <c r="B28"/>
  <c r="C28" s="1"/>
  <c r="G28"/>
  <c r="AM52"/>
  <c r="AA52"/>
  <c r="AJ52"/>
  <c r="Z53"/>
  <c r="AK52"/>
  <c r="AL52"/>
  <c r="L23"/>
  <c r="AA23"/>
  <c r="N23"/>
  <c r="H26"/>
  <c r="I26" s="1"/>
  <c r="AK26"/>
  <c r="AG50"/>
  <c r="AF50"/>
  <c r="AI50" s="1"/>
  <c r="AC26" i="48" l="1"/>
  <c r="N25"/>
  <c r="L25"/>
  <c r="U23"/>
  <c r="V21" i="47"/>
  <c r="T22"/>
  <c r="V22" s="1"/>
  <c r="AD26" i="48"/>
  <c r="N26" s="1"/>
  <c r="M25"/>
  <c r="W23"/>
  <c r="W22"/>
  <c r="U22"/>
  <c r="AF52"/>
  <c r="AI52" s="1"/>
  <c r="AG52"/>
  <c r="S24"/>
  <c r="U24" s="1"/>
  <c r="AG27"/>
  <c r="AE27"/>
  <c r="AF27"/>
  <c r="AH27"/>
  <c r="AJ27"/>
  <c r="AI27"/>
  <c r="Y27"/>
  <c r="Z27" s="1"/>
  <c r="J27" s="1"/>
  <c r="AL54"/>
  <c r="Z55"/>
  <c r="AM54"/>
  <c r="AA54"/>
  <c r="AJ54"/>
  <c r="AK54"/>
  <c r="F29"/>
  <c r="O29"/>
  <c r="P29" s="1"/>
  <c r="Q29" s="1"/>
  <c r="AB26"/>
  <c r="K26" s="1"/>
  <c r="R25"/>
  <c r="AB53"/>
  <c r="AD53" s="1"/>
  <c r="AC53"/>
  <c r="AE53" s="1"/>
  <c r="AH53" s="1"/>
  <c r="AR30"/>
  <c r="D30"/>
  <c r="A31"/>
  <c r="AO30"/>
  <c r="E30"/>
  <c r="AP30"/>
  <c r="B30"/>
  <c r="C30" s="1"/>
  <c r="AQ30"/>
  <c r="G30"/>
  <c r="H28"/>
  <c r="AK28"/>
  <c r="AC25" i="47"/>
  <c r="AB25"/>
  <c r="K25" s="1"/>
  <c r="L24"/>
  <c r="N24"/>
  <c r="H27"/>
  <c r="I27" s="1"/>
  <c r="AK27"/>
  <c r="M24"/>
  <c r="R24"/>
  <c r="R23"/>
  <c r="Z54"/>
  <c r="AJ53"/>
  <c r="AK53"/>
  <c r="AL53"/>
  <c r="AM53"/>
  <c r="AA53"/>
  <c r="F28"/>
  <c r="O28"/>
  <c r="P28" s="1"/>
  <c r="Q28" s="1"/>
  <c r="AF26"/>
  <c r="AE26"/>
  <c r="AJ26"/>
  <c r="AI26"/>
  <c r="Y26"/>
  <c r="Z26" s="1"/>
  <c r="J26" s="1"/>
  <c r="AH26"/>
  <c r="AG26"/>
  <c r="AC52"/>
  <c r="AE52" s="1"/>
  <c r="AH52" s="1"/>
  <c r="AB52"/>
  <c r="AD52" s="1"/>
  <c r="AR29"/>
  <c r="D29"/>
  <c r="A30"/>
  <c r="AO29"/>
  <c r="E29"/>
  <c r="AP29"/>
  <c r="B29"/>
  <c r="C29" s="1"/>
  <c r="AQ29"/>
  <c r="G29"/>
  <c r="AG51"/>
  <c r="AF51"/>
  <c r="AI51" s="1"/>
  <c r="AD25"/>
  <c r="M26" i="48" l="1"/>
  <c r="S25"/>
  <c r="U25" s="1"/>
  <c r="W22" i="47"/>
  <c r="M25"/>
  <c r="L26" i="48"/>
  <c r="AA26"/>
  <c r="R26" s="1"/>
  <c r="AD27"/>
  <c r="AA27" s="1"/>
  <c r="AB27"/>
  <c r="K27" s="1"/>
  <c r="AC27"/>
  <c r="F30"/>
  <c r="O30"/>
  <c r="P30" s="1"/>
  <c r="Q30" s="1"/>
  <c r="A32"/>
  <c r="AO31"/>
  <c r="AP31"/>
  <c r="AQ31"/>
  <c r="AR31"/>
  <c r="D31"/>
  <c r="E31"/>
  <c r="B31"/>
  <c r="C31" s="1"/>
  <c r="G31"/>
  <c r="AK55"/>
  <c r="AL55"/>
  <c r="AM55"/>
  <c r="AA55"/>
  <c r="Z56"/>
  <c r="AJ55"/>
  <c r="T24"/>
  <c r="I28"/>
  <c r="AR28"/>
  <c r="AQ28"/>
  <c r="AF53"/>
  <c r="AI53" s="1"/>
  <c r="AG53"/>
  <c r="H29"/>
  <c r="I29" s="1"/>
  <c r="AK29"/>
  <c r="AB54"/>
  <c r="AD54" s="1"/>
  <c r="AC54"/>
  <c r="AE54" s="1"/>
  <c r="AH54" s="1"/>
  <c r="S24" i="47"/>
  <c r="U24" s="1"/>
  <c r="AB26"/>
  <c r="K26" s="1"/>
  <c r="AD26"/>
  <c r="L26" s="1"/>
  <c r="Y27"/>
  <c r="Z27" s="1"/>
  <c r="J27" s="1"/>
  <c r="AG27"/>
  <c r="AF27"/>
  <c r="AE27"/>
  <c r="AJ27"/>
  <c r="AH27"/>
  <c r="AI27"/>
  <c r="F29"/>
  <c r="O29"/>
  <c r="P29" s="1"/>
  <c r="Q29" s="1"/>
  <c r="AF52"/>
  <c r="AI52" s="1"/>
  <c r="AG52"/>
  <c r="AL54"/>
  <c r="AM54"/>
  <c r="AA54"/>
  <c r="Z55"/>
  <c r="AJ54"/>
  <c r="AK54"/>
  <c r="AC26"/>
  <c r="AR30"/>
  <c r="D30"/>
  <c r="A31"/>
  <c r="AO30"/>
  <c r="E30"/>
  <c r="AP30"/>
  <c r="B30"/>
  <c r="C30" s="1"/>
  <c r="AQ30"/>
  <c r="G30"/>
  <c r="AB53"/>
  <c r="AD53" s="1"/>
  <c r="AC53"/>
  <c r="AE53" s="1"/>
  <c r="AH53" s="1"/>
  <c r="L25"/>
  <c r="AA25"/>
  <c r="N25"/>
  <c r="H28"/>
  <c r="AK28"/>
  <c r="S23"/>
  <c r="T23" s="1"/>
  <c r="T25" i="48" l="1"/>
  <c r="W25" s="1"/>
  <c r="S26"/>
  <c r="T26" s="1"/>
  <c r="T24" i="47"/>
  <c r="W24" s="1"/>
  <c r="M27" i="48"/>
  <c r="L27"/>
  <c r="N27"/>
  <c r="AJ28"/>
  <c r="AI28"/>
  <c r="Y28"/>
  <c r="Z28" s="1"/>
  <c r="J28" s="1"/>
  <c r="AE28"/>
  <c r="AG28"/>
  <c r="AH28"/>
  <c r="AF28"/>
  <c r="AP28"/>
  <c r="R27"/>
  <c r="AC55"/>
  <c r="AE55" s="1"/>
  <c r="AH55" s="1"/>
  <c r="AB55"/>
  <c r="AD55" s="1"/>
  <c r="A33"/>
  <c r="AO32"/>
  <c r="E32"/>
  <c r="AP32"/>
  <c r="B32"/>
  <c r="C32" s="1"/>
  <c r="AQ32"/>
  <c r="AR32"/>
  <c r="D32"/>
  <c r="G32"/>
  <c r="AG29"/>
  <c r="AE29"/>
  <c r="AF29"/>
  <c r="AJ29"/>
  <c r="AI29"/>
  <c r="Y29"/>
  <c r="Z29" s="1"/>
  <c r="J29" s="1"/>
  <c r="AH29"/>
  <c r="AM56"/>
  <c r="AA56"/>
  <c r="Z57"/>
  <c r="AJ56"/>
  <c r="AK56"/>
  <c r="AL56"/>
  <c r="F31"/>
  <c r="O31"/>
  <c r="P31" s="1"/>
  <c r="Q31" s="1"/>
  <c r="H30"/>
  <c r="I30" s="1"/>
  <c r="AK30"/>
  <c r="AF54"/>
  <c r="AI54" s="1"/>
  <c r="AG54"/>
  <c r="V24"/>
  <c r="W24"/>
  <c r="M26" i="47"/>
  <c r="N26"/>
  <c r="AA26"/>
  <c r="R26" s="1"/>
  <c r="V23"/>
  <c r="W23"/>
  <c r="F30"/>
  <c r="O30"/>
  <c r="P30" s="1"/>
  <c r="Q30" s="1"/>
  <c r="Z56"/>
  <c r="AJ55"/>
  <c r="AK55"/>
  <c r="AL55"/>
  <c r="AM55"/>
  <c r="AA55"/>
  <c r="AB27"/>
  <c r="K27" s="1"/>
  <c r="I28"/>
  <c r="AR28"/>
  <c r="AQ28"/>
  <c r="R25"/>
  <c r="S25" s="1"/>
  <c r="T25" s="1"/>
  <c r="AQ31"/>
  <c r="AO31"/>
  <c r="D31"/>
  <c r="AP31"/>
  <c r="E31"/>
  <c r="AR31"/>
  <c r="B31"/>
  <c r="C31" s="1"/>
  <c r="A32"/>
  <c r="G31"/>
  <c r="H29"/>
  <c r="I29" s="1"/>
  <c r="AK29"/>
  <c r="AC27"/>
  <c r="U23"/>
  <c r="AF53"/>
  <c r="AI53" s="1"/>
  <c r="AG53"/>
  <c r="AC54"/>
  <c r="AE54" s="1"/>
  <c r="AH54" s="1"/>
  <c r="AB54"/>
  <c r="AD54" s="1"/>
  <c r="AD27"/>
  <c r="V25" i="48" l="1"/>
  <c r="V24" i="47"/>
  <c r="U26" i="48"/>
  <c r="AD29"/>
  <c r="AA29" s="1"/>
  <c r="AC29"/>
  <c r="AD28"/>
  <c r="N28" s="1"/>
  <c r="AB29"/>
  <c r="K29" s="1"/>
  <c r="V26"/>
  <c r="W26"/>
  <c r="S27"/>
  <c r="T27" s="1"/>
  <c r="AC28"/>
  <c r="AB56"/>
  <c r="AD56" s="1"/>
  <c r="AC56"/>
  <c r="AE56" s="1"/>
  <c r="AH56" s="1"/>
  <c r="F32"/>
  <c r="O32"/>
  <c r="P32" s="1"/>
  <c r="Q32" s="1"/>
  <c r="A34"/>
  <c r="AO33"/>
  <c r="E33"/>
  <c r="AP33"/>
  <c r="B33"/>
  <c r="C33" s="1"/>
  <c r="AQ33"/>
  <c r="AR33"/>
  <c r="D33"/>
  <c r="G33"/>
  <c r="AK31"/>
  <c r="H31"/>
  <c r="I31" s="1"/>
  <c r="AK57"/>
  <c r="AL57"/>
  <c r="AM57"/>
  <c r="AA57"/>
  <c r="Z58"/>
  <c r="AJ57"/>
  <c r="AJ30"/>
  <c r="AH30"/>
  <c r="AI30"/>
  <c r="AE30"/>
  <c r="Y30"/>
  <c r="Z30" s="1"/>
  <c r="J30" s="1"/>
  <c r="AG30"/>
  <c r="AF30"/>
  <c r="AG55"/>
  <c r="AF55"/>
  <c r="AI55" s="1"/>
  <c r="AB28"/>
  <c r="K28" s="1"/>
  <c r="S26" i="47"/>
  <c r="T26" s="1"/>
  <c r="M27"/>
  <c r="U25"/>
  <c r="V25"/>
  <c r="W25"/>
  <c r="F31"/>
  <c r="O31"/>
  <c r="P31" s="1"/>
  <c r="Q31" s="1"/>
  <c r="AF54"/>
  <c r="AI54" s="1"/>
  <c r="AG54"/>
  <c r="AP32"/>
  <c r="AQ32"/>
  <c r="AR32"/>
  <c r="A33"/>
  <c r="AO32"/>
  <c r="B32"/>
  <c r="C32" s="1"/>
  <c r="D32"/>
  <c r="E32"/>
  <c r="G32"/>
  <c r="AF28"/>
  <c r="AH28"/>
  <c r="AE28"/>
  <c r="AJ28"/>
  <c r="AI28"/>
  <c r="Y28"/>
  <c r="Z28" s="1"/>
  <c r="J28" s="1"/>
  <c r="AG28"/>
  <c r="AP28"/>
  <c r="AL56"/>
  <c r="AM56"/>
  <c r="AA56"/>
  <c r="Z57"/>
  <c r="AJ56"/>
  <c r="AK56"/>
  <c r="L27"/>
  <c r="AA27"/>
  <c r="N27"/>
  <c r="AB55"/>
  <c r="AD55" s="1"/>
  <c r="AC55"/>
  <c r="AE55" s="1"/>
  <c r="AH55" s="1"/>
  <c r="Y29"/>
  <c r="Z29" s="1"/>
  <c r="J29" s="1"/>
  <c r="AG29"/>
  <c r="AH29"/>
  <c r="AF29"/>
  <c r="AE29"/>
  <c r="AJ29"/>
  <c r="AI29"/>
  <c r="H30"/>
  <c r="I30" s="1"/>
  <c r="AK30"/>
  <c r="AC30" i="48" l="1"/>
  <c r="L29"/>
  <c r="N29"/>
  <c r="AD29" i="47"/>
  <c r="L29" s="1"/>
  <c r="M29" i="48"/>
  <c r="L28"/>
  <c r="AA28"/>
  <c r="R28" s="1"/>
  <c r="V27"/>
  <c r="W27"/>
  <c r="AM58"/>
  <c r="AA58"/>
  <c r="AJ58"/>
  <c r="Z59"/>
  <c r="AK58"/>
  <c r="AL58"/>
  <c r="F33"/>
  <c r="O33"/>
  <c r="P33" s="1"/>
  <c r="Q33" s="1"/>
  <c r="AF56"/>
  <c r="AI56" s="1"/>
  <c r="AG56"/>
  <c r="AD30"/>
  <c r="U27"/>
  <c r="A35"/>
  <c r="AO34"/>
  <c r="E34"/>
  <c r="AP34"/>
  <c r="B34"/>
  <c r="C34" s="1"/>
  <c r="AQ34"/>
  <c r="AR34"/>
  <c r="D34"/>
  <c r="G34"/>
  <c r="R29"/>
  <c r="AB28" i="47"/>
  <c r="K28" s="1"/>
  <c r="AB30" i="48"/>
  <c r="K30" s="1"/>
  <c r="AC57"/>
  <c r="AE57" s="1"/>
  <c r="AH57" s="1"/>
  <c r="AB57"/>
  <c r="AD57" s="1"/>
  <c r="AH31"/>
  <c r="AG31"/>
  <c r="AF31"/>
  <c r="Y31"/>
  <c r="Z31" s="1"/>
  <c r="J31" s="1"/>
  <c r="AE31"/>
  <c r="AJ31"/>
  <c r="AI31"/>
  <c r="AK32"/>
  <c r="H32"/>
  <c r="I32" s="1"/>
  <c r="M28"/>
  <c r="U26" i="47"/>
  <c r="W26"/>
  <c r="V26"/>
  <c r="AC28"/>
  <c r="AB29"/>
  <c r="K29" s="1"/>
  <c r="AD28"/>
  <c r="N28" s="1"/>
  <c r="AF30"/>
  <c r="AE30"/>
  <c r="AJ30"/>
  <c r="AI30"/>
  <c r="Y30"/>
  <c r="Z30" s="1"/>
  <c r="J30" s="1"/>
  <c r="AH30"/>
  <c r="AG30"/>
  <c r="Z58"/>
  <c r="AJ57"/>
  <c r="AK57"/>
  <c r="AL57"/>
  <c r="AM57"/>
  <c r="AA57"/>
  <c r="AC29"/>
  <c r="AF55"/>
  <c r="AI55" s="1"/>
  <c r="AG55"/>
  <c r="R27"/>
  <c r="S27" s="1"/>
  <c r="F32"/>
  <c r="O32"/>
  <c r="P32" s="1"/>
  <c r="Q32" s="1"/>
  <c r="AK31"/>
  <c r="H31"/>
  <c r="I31" s="1"/>
  <c r="AP33"/>
  <c r="B33"/>
  <c r="C33" s="1"/>
  <c r="AQ33"/>
  <c r="AR33"/>
  <c r="D33"/>
  <c r="A34"/>
  <c r="AO33"/>
  <c r="E33"/>
  <c r="G33"/>
  <c r="AB56"/>
  <c r="AD56" s="1"/>
  <c r="AC56"/>
  <c r="AE56" s="1"/>
  <c r="AH56" s="1"/>
  <c r="M30" i="48" l="1"/>
  <c r="S29"/>
  <c r="U29" s="1"/>
  <c r="AA29" i="47"/>
  <c r="R29" s="1"/>
  <c r="N29"/>
  <c r="S28" i="48"/>
  <c r="AB31"/>
  <c r="K31" s="1"/>
  <c r="AD31"/>
  <c r="F34"/>
  <c r="O34"/>
  <c r="P34" s="1"/>
  <c r="Q34" s="1"/>
  <c r="AC58"/>
  <c r="AE58" s="1"/>
  <c r="AH58" s="1"/>
  <c r="AB58"/>
  <c r="AD58" s="1"/>
  <c r="A36"/>
  <c r="AO35"/>
  <c r="E35"/>
  <c r="AP35"/>
  <c r="B35"/>
  <c r="C35" s="1"/>
  <c r="AQ35"/>
  <c r="AR35"/>
  <c r="D35"/>
  <c r="G35"/>
  <c r="L30"/>
  <c r="AA30"/>
  <c r="N30"/>
  <c r="AK33"/>
  <c r="H33"/>
  <c r="I33" s="1"/>
  <c r="AE32"/>
  <c r="AJ32"/>
  <c r="AH32"/>
  <c r="AI32"/>
  <c r="Y32"/>
  <c r="Z32" s="1"/>
  <c r="J32" s="1"/>
  <c r="AG32"/>
  <c r="AF32"/>
  <c r="AG57"/>
  <c r="AF57"/>
  <c r="AI57" s="1"/>
  <c r="Z60"/>
  <c r="AJ59"/>
  <c r="AK59"/>
  <c r="AL59"/>
  <c r="AM59"/>
  <c r="AA59"/>
  <c r="AC31"/>
  <c r="M28" i="47"/>
  <c r="M29"/>
  <c r="AB30"/>
  <c r="K30" s="1"/>
  <c r="AD30"/>
  <c r="AA30" s="1"/>
  <c r="AA28"/>
  <c r="R28" s="1"/>
  <c r="L28"/>
  <c r="U27"/>
  <c r="F33"/>
  <c r="O33"/>
  <c r="P33" s="1"/>
  <c r="Q33" s="1"/>
  <c r="H32"/>
  <c r="I32" s="1"/>
  <c r="AK32"/>
  <c r="AL58"/>
  <c r="AM58"/>
  <c r="AA58"/>
  <c r="Z59"/>
  <c r="AJ58"/>
  <c r="AK58"/>
  <c r="AF56"/>
  <c r="AI56" s="1"/>
  <c r="AG56"/>
  <c r="AP34"/>
  <c r="B34"/>
  <c r="C34" s="1"/>
  <c r="AQ34"/>
  <c r="AR34"/>
  <c r="D34"/>
  <c r="A35"/>
  <c r="AO34"/>
  <c r="E34"/>
  <c r="G34"/>
  <c r="AB57"/>
  <c r="AD57" s="1"/>
  <c r="AC57"/>
  <c r="AE57" s="1"/>
  <c r="AH57" s="1"/>
  <c r="T27"/>
  <c r="AI31"/>
  <c r="AF31"/>
  <c r="Y31"/>
  <c r="Z31" s="1"/>
  <c r="J31" s="1"/>
  <c r="AH31"/>
  <c r="AE31"/>
  <c r="AJ31"/>
  <c r="AG31"/>
  <c r="AC30"/>
  <c r="T29" i="48" l="1"/>
  <c r="W29" s="1"/>
  <c r="S29" i="47"/>
  <c r="T29" s="1"/>
  <c r="AD32" i="48"/>
  <c r="AA32" s="1"/>
  <c r="U28"/>
  <c r="W12"/>
  <c r="T28"/>
  <c r="AB32"/>
  <c r="K32" s="1"/>
  <c r="M31"/>
  <c r="AC32"/>
  <c r="A37"/>
  <c r="AO36"/>
  <c r="E36"/>
  <c r="AP36"/>
  <c r="B36"/>
  <c r="C36" s="1"/>
  <c r="AQ36"/>
  <c r="AR36"/>
  <c r="D36"/>
  <c r="G36"/>
  <c r="M30" i="47"/>
  <c r="AL60" i="48"/>
  <c r="AM60"/>
  <c r="AA60"/>
  <c r="Z61"/>
  <c r="AJ60"/>
  <c r="AK60"/>
  <c r="Y33"/>
  <c r="Z33" s="1"/>
  <c r="J33" s="1"/>
  <c r="AG33"/>
  <c r="AF33"/>
  <c r="AH33"/>
  <c r="AE33"/>
  <c r="AJ33"/>
  <c r="AI33"/>
  <c r="AA31"/>
  <c r="L31"/>
  <c r="N31"/>
  <c r="AB59"/>
  <c r="AD59" s="1"/>
  <c r="AC59"/>
  <c r="AE59" s="1"/>
  <c r="AH59" s="1"/>
  <c r="R30"/>
  <c r="S30" s="1"/>
  <c r="AK34"/>
  <c r="H34"/>
  <c r="I34" s="1"/>
  <c r="F35"/>
  <c r="O35"/>
  <c r="P35" s="1"/>
  <c r="Q35" s="1"/>
  <c r="AF58"/>
  <c r="AI58" s="1"/>
  <c r="AG58"/>
  <c r="S28" i="47"/>
  <c r="T28" s="1"/>
  <c r="AB31"/>
  <c r="K31" s="1"/>
  <c r="N30"/>
  <c r="L30"/>
  <c r="AD31"/>
  <c r="L31" s="1"/>
  <c r="AC31"/>
  <c r="F34"/>
  <c r="O34"/>
  <c r="P34" s="1"/>
  <c r="Q34" s="1"/>
  <c r="H33"/>
  <c r="I33" s="1"/>
  <c r="AK33"/>
  <c r="V27"/>
  <c r="W27"/>
  <c r="AP35"/>
  <c r="B35"/>
  <c r="C35" s="1"/>
  <c r="AQ35"/>
  <c r="AR35"/>
  <c r="D35"/>
  <c r="A36"/>
  <c r="AO35"/>
  <c r="E35"/>
  <c r="G35"/>
  <c r="AC58"/>
  <c r="AE58" s="1"/>
  <c r="AH58" s="1"/>
  <c r="AB58"/>
  <c r="AD58" s="1"/>
  <c r="AF32"/>
  <c r="Y32"/>
  <c r="Z32" s="1"/>
  <c r="J32" s="1"/>
  <c r="AE32"/>
  <c r="AJ32"/>
  <c r="AG32"/>
  <c r="AI32"/>
  <c r="AH32"/>
  <c r="AF57"/>
  <c r="AI57" s="1"/>
  <c r="AG57"/>
  <c r="R30"/>
  <c r="Z60"/>
  <c r="AJ59"/>
  <c r="AK59"/>
  <c r="AL59"/>
  <c r="AM59"/>
  <c r="AA59"/>
  <c r="V29" i="48" l="1"/>
  <c r="U29" i="47"/>
  <c r="N32" i="48"/>
  <c r="L32"/>
  <c r="AB33"/>
  <c r="K33" s="1"/>
  <c r="W28"/>
  <c r="V28"/>
  <c r="S30" i="47"/>
  <c r="T30" s="1"/>
  <c r="AC33" i="48"/>
  <c r="AE34"/>
  <c r="AJ34"/>
  <c r="AI34"/>
  <c r="Y34"/>
  <c r="Z34" s="1"/>
  <c r="J34" s="1"/>
  <c r="AG34"/>
  <c r="AH34"/>
  <c r="AF34"/>
  <c r="A38"/>
  <c r="AO37"/>
  <c r="E37"/>
  <c r="AP37"/>
  <c r="B37"/>
  <c r="C37" s="1"/>
  <c r="AQ37"/>
  <c r="AR37"/>
  <c r="D37"/>
  <c r="G37"/>
  <c r="M32"/>
  <c r="R32"/>
  <c r="AC60"/>
  <c r="AE60" s="1"/>
  <c r="AH60" s="1"/>
  <c r="AB60"/>
  <c r="AD60" s="1"/>
  <c r="AO28"/>
  <c r="AK35"/>
  <c r="H35"/>
  <c r="I35" s="1"/>
  <c r="Z62"/>
  <c r="AJ61"/>
  <c r="AK61"/>
  <c r="AL61"/>
  <c r="AM61"/>
  <c r="AA61"/>
  <c r="U30"/>
  <c r="T30"/>
  <c r="AD33"/>
  <c r="AF59"/>
  <c r="AI59" s="1"/>
  <c r="AG59"/>
  <c r="R31"/>
  <c r="F36"/>
  <c r="O36"/>
  <c r="P36" s="1"/>
  <c r="Q36" s="1"/>
  <c r="U28" i="47"/>
  <c r="AB32"/>
  <c r="K32" s="1"/>
  <c r="M31"/>
  <c r="N31"/>
  <c r="AD32"/>
  <c r="AA32" s="1"/>
  <c r="AA31"/>
  <c r="R31" s="1"/>
  <c r="V28"/>
  <c r="W28"/>
  <c r="AF58"/>
  <c r="AI58" s="1"/>
  <c r="AG58"/>
  <c r="V29"/>
  <c r="W29"/>
  <c r="AP36"/>
  <c r="B36"/>
  <c r="C36" s="1"/>
  <c r="AQ36"/>
  <c r="AR36"/>
  <c r="D36"/>
  <c r="A37"/>
  <c r="AO36"/>
  <c r="E36"/>
  <c r="G36"/>
  <c r="AL60"/>
  <c r="AM60"/>
  <c r="AA60"/>
  <c r="Z61"/>
  <c r="AJ60"/>
  <c r="AK60"/>
  <c r="H34"/>
  <c r="I34" s="1"/>
  <c r="AK34"/>
  <c r="AC32"/>
  <c r="AB59"/>
  <c r="AD59" s="1"/>
  <c r="AC59"/>
  <c r="AE59" s="1"/>
  <c r="AH59" s="1"/>
  <c r="F35"/>
  <c r="O35"/>
  <c r="P35" s="1"/>
  <c r="Q35" s="1"/>
  <c r="AH33"/>
  <c r="AI33"/>
  <c r="AF33"/>
  <c r="Y33"/>
  <c r="Z33" s="1"/>
  <c r="J33" s="1"/>
  <c r="AE33"/>
  <c r="AJ33"/>
  <c r="AG33"/>
  <c r="B42" l="1"/>
  <c r="S31"/>
  <c r="T31" s="1"/>
  <c r="S32" i="48"/>
  <c r="U32" s="1"/>
  <c r="M33"/>
  <c r="U30" i="47"/>
  <c r="AD34" i="48"/>
  <c r="AA34" s="1"/>
  <c r="AC34"/>
  <c r="AB34"/>
  <c r="K34" s="1"/>
  <c r="V30"/>
  <c r="W30"/>
  <c r="Y35"/>
  <c r="Z35" s="1"/>
  <c r="J35" s="1"/>
  <c r="AH35"/>
  <c r="AG35"/>
  <c r="AF35"/>
  <c r="AE35"/>
  <c r="AJ35"/>
  <c r="AI35"/>
  <c r="F37"/>
  <c r="O37"/>
  <c r="P37" s="1"/>
  <c r="Q37" s="1"/>
  <c r="S31"/>
  <c r="AA33"/>
  <c r="L33"/>
  <c r="N33"/>
  <c r="AL62"/>
  <c r="AM62"/>
  <c r="AA62"/>
  <c r="Z63"/>
  <c r="AJ62"/>
  <c r="AK62"/>
  <c r="AO38"/>
  <c r="AO39" s="1"/>
  <c r="W3" s="1"/>
  <c r="E38"/>
  <c r="AP38"/>
  <c r="AP39" s="1"/>
  <c r="AP61" s="1"/>
  <c r="AR61" s="1"/>
  <c r="B38"/>
  <c r="C38" s="1"/>
  <c r="AQ38"/>
  <c r="AQ39" s="1"/>
  <c r="AR38"/>
  <c r="AR39" s="1"/>
  <c r="D38"/>
  <c r="G38"/>
  <c r="AK36"/>
  <c r="H36"/>
  <c r="I36" s="1"/>
  <c r="AB61"/>
  <c r="AD61" s="1"/>
  <c r="AC61"/>
  <c r="AE61" s="1"/>
  <c r="AH61" s="1"/>
  <c r="AF60"/>
  <c r="AI60" s="1"/>
  <c r="AG60"/>
  <c r="M32" i="47"/>
  <c r="N32"/>
  <c r="L32"/>
  <c r="AC33"/>
  <c r="Z62"/>
  <c r="AJ61"/>
  <c r="AK61"/>
  <c r="AL61"/>
  <c r="AM61"/>
  <c r="AA61"/>
  <c r="F36"/>
  <c r="O36"/>
  <c r="P36" s="1"/>
  <c r="Q36" s="1"/>
  <c r="V30"/>
  <c r="W30"/>
  <c r="AB33"/>
  <c r="K33" s="1"/>
  <c r="AF59"/>
  <c r="AI59" s="1"/>
  <c r="AG59"/>
  <c r="AP37"/>
  <c r="B37"/>
  <c r="C37" s="1"/>
  <c r="AQ37"/>
  <c r="AR37"/>
  <c r="D37"/>
  <c r="A38"/>
  <c r="AO37"/>
  <c r="E37"/>
  <c r="G37"/>
  <c r="AD33"/>
  <c r="H35"/>
  <c r="I35" s="1"/>
  <c r="AK35"/>
  <c r="R32"/>
  <c r="AF34"/>
  <c r="Y34"/>
  <c r="Z34" s="1"/>
  <c r="J34" s="1"/>
  <c r="AH34"/>
  <c r="AE34"/>
  <c r="AJ34"/>
  <c r="AG34"/>
  <c r="AI34"/>
  <c r="AB60"/>
  <c r="AD60" s="1"/>
  <c r="AC60"/>
  <c r="AE60" s="1"/>
  <c r="AH60" s="1"/>
  <c r="AO28"/>
  <c r="AB35" i="48" l="1"/>
  <c r="K35" s="1"/>
  <c r="U31" i="47"/>
  <c r="X32" i="48"/>
  <c r="T32"/>
  <c r="W32" s="1"/>
  <c r="M34"/>
  <c r="N34"/>
  <c r="L34"/>
  <c r="AQ61"/>
  <c r="AS61" s="1"/>
  <c r="AV61" s="1"/>
  <c r="AD35"/>
  <c r="N35" s="1"/>
  <c r="X31"/>
  <c r="AC35"/>
  <c r="AF61"/>
  <c r="AI61" s="1"/>
  <c r="AG61"/>
  <c r="F38"/>
  <c r="O38"/>
  <c r="P38" s="1"/>
  <c r="Q38" s="1"/>
  <c r="AQ41"/>
  <c r="AS41" s="1"/>
  <c r="AV41" s="1"/>
  <c r="AP44"/>
  <c r="AR44" s="1"/>
  <c r="AP41"/>
  <c r="AR41" s="1"/>
  <c r="AP42"/>
  <c r="AR42" s="1"/>
  <c r="AQ42"/>
  <c r="AS42" s="1"/>
  <c r="AV42" s="1"/>
  <c r="AQ43"/>
  <c r="AS43" s="1"/>
  <c r="AV43" s="1"/>
  <c r="AQ44"/>
  <c r="AS44" s="1"/>
  <c r="AV44" s="1"/>
  <c r="AP43"/>
  <c r="AR43" s="1"/>
  <c r="AQ45"/>
  <c r="AS45" s="1"/>
  <c r="AV45" s="1"/>
  <c r="AP45"/>
  <c r="AR45" s="1"/>
  <c r="AP46"/>
  <c r="AR46" s="1"/>
  <c r="AQ46"/>
  <c r="AS46" s="1"/>
  <c r="AV46" s="1"/>
  <c r="AQ47"/>
  <c r="AS47" s="1"/>
  <c r="AV47" s="1"/>
  <c r="AP47"/>
  <c r="AR47" s="1"/>
  <c r="AQ48"/>
  <c r="AS48" s="1"/>
  <c r="AV48" s="1"/>
  <c r="AP48"/>
  <c r="AR48" s="1"/>
  <c r="AQ49"/>
  <c r="AS49" s="1"/>
  <c r="AV49" s="1"/>
  <c r="AP49"/>
  <c r="AR49" s="1"/>
  <c r="AQ50"/>
  <c r="AS50" s="1"/>
  <c r="AV50" s="1"/>
  <c r="AP50"/>
  <c r="AR50" s="1"/>
  <c r="AP51"/>
  <c r="AR51" s="1"/>
  <c r="AQ51"/>
  <c r="AS51" s="1"/>
  <c r="AV51" s="1"/>
  <c r="AQ52"/>
  <c r="AS52" s="1"/>
  <c r="AV52" s="1"/>
  <c r="AP52"/>
  <c r="AR52" s="1"/>
  <c r="AP53"/>
  <c r="AR53" s="1"/>
  <c r="AQ53"/>
  <c r="AS53" s="1"/>
  <c r="AV53" s="1"/>
  <c r="AQ54"/>
  <c r="AS54" s="1"/>
  <c r="AV54" s="1"/>
  <c r="AP54"/>
  <c r="AR54" s="1"/>
  <c r="AP55"/>
  <c r="AR55" s="1"/>
  <c r="AQ55"/>
  <c r="AS55" s="1"/>
  <c r="AV55" s="1"/>
  <c r="AQ56"/>
  <c r="AS56" s="1"/>
  <c r="AV56" s="1"/>
  <c r="AP56"/>
  <c r="AR56" s="1"/>
  <c r="AP57"/>
  <c r="AR57" s="1"/>
  <c r="AQ57"/>
  <c r="AS57" s="1"/>
  <c r="AV57" s="1"/>
  <c r="AQ58"/>
  <c r="AS58" s="1"/>
  <c r="AV58" s="1"/>
  <c r="AP58"/>
  <c r="AR58" s="1"/>
  <c r="AQ59"/>
  <c r="AS59" s="1"/>
  <c r="AV59" s="1"/>
  <c r="AP59"/>
  <c r="AR59" s="1"/>
  <c r="AP60"/>
  <c r="AR60" s="1"/>
  <c r="AQ60"/>
  <c r="AS60" s="1"/>
  <c r="AV60" s="1"/>
  <c r="AB62"/>
  <c r="AD62" s="1"/>
  <c r="AP62"/>
  <c r="AR62" s="1"/>
  <c r="AC62"/>
  <c r="AE62" s="1"/>
  <c r="AH62" s="1"/>
  <c r="AQ62"/>
  <c r="AS62" s="1"/>
  <c r="AV62" s="1"/>
  <c r="AK37"/>
  <c r="H37"/>
  <c r="I37" s="1"/>
  <c r="U31"/>
  <c r="AU61"/>
  <c r="Z64"/>
  <c r="AJ63"/>
  <c r="AK63"/>
  <c r="AL63"/>
  <c r="AM63"/>
  <c r="AA63"/>
  <c r="T31"/>
  <c r="AE36"/>
  <c r="AJ36"/>
  <c r="AH36"/>
  <c r="AI36"/>
  <c r="Y36"/>
  <c r="Z36" s="1"/>
  <c r="J36" s="1"/>
  <c r="AG36"/>
  <c r="AF36"/>
  <c r="X18"/>
  <c r="X17"/>
  <c r="X19"/>
  <c r="X20"/>
  <c r="X21"/>
  <c r="X23"/>
  <c r="X22"/>
  <c r="X24"/>
  <c r="X25"/>
  <c r="X26"/>
  <c r="X27"/>
  <c r="X29"/>
  <c r="X28"/>
  <c r="X30"/>
  <c r="R34"/>
  <c r="W11"/>
  <c r="R33"/>
  <c r="AB34" i="47"/>
  <c r="K34" s="1"/>
  <c r="AD34"/>
  <c r="L34" s="1"/>
  <c r="S32"/>
  <c r="U32" s="1"/>
  <c r="AC34"/>
  <c r="M33"/>
  <c r="AA33"/>
  <c r="L33"/>
  <c r="N33"/>
  <c r="AF60"/>
  <c r="AI60" s="1"/>
  <c r="AG60"/>
  <c r="F37"/>
  <c r="O37"/>
  <c r="P37" s="1"/>
  <c r="Q37" s="1"/>
  <c r="AL62"/>
  <c r="AM62"/>
  <c r="AA62"/>
  <c r="Z63"/>
  <c r="AJ62"/>
  <c r="AK62"/>
  <c r="AI35"/>
  <c r="AH35"/>
  <c r="AF35"/>
  <c r="Y35"/>
  <c r="Z35" s="1"/>
  <c r="J35" s="1"/>
  <c r="AE35"/>
  <c r="AJ35"/>
  <c r="AG35"/>
  <c r="AP38"/>
  <c r="AP39" s="1"/>
  <c r="AQ61" s="1"/>
  <c r="AS61" s="1"/>
  <c r="AV61" s="1"/>
  <c r="B38"/>
  <c r="C38" s="1"/>
  <c r="AQ38"/>
  <c r="AQ39" s="1"/>
  <c r="AR38"/>
  <c r="AR39" s="1"/>
  <c r="D38"/>
  <c r="AO38"/>
  <c r="AO39" s="1"/>
  <c r="W3" s="1"/>
  <c r="E38"/>
  <c r="G38"/>
  <c r="V31"/>
  <c r="W31"/>
  <c r="AB61"/>
  <c r="AD61" s="1"/>
  <c r="AC61"/>
  <c r="AE61" s="1"/>
  <c r="AH61" s="1"/>
  <c r="H36"/>
  <c r="I36" s="1"/>
  <c r="AK36"/>
  <c r="M35" i="48" l="1"/>
  <c r="V32"/>
  <c r="AT61"/>
  <c r="AW61" s="1"/>
  <c r="S34"/>
  <c r="X34" s="1"/>
  <c r="W13"/>
  <c r="AA34" i="47"/>
  <c r="R34" s="1"/>
  <c r="AA35" i="48"/>
  <c r="R35" s="1"/>
  <c r="L35"/>
  <c r="AC36"/>
  <c r="V31"/>
  <c r="W31"/>
  <c r="AF62"/>
  <c r="AI62" s="1"/>
  <c r="AG62"/>
  <c r="AU57"/>
  <c r="AT57"/>
  <c r="AW57" s="1"/>
  <c r="AU55"/>
  <c r="AT55"/>
  <c r="AW55" s="1"/>
  <c r="AT53"/>
  <c r="AW53" s="1"/>
  <c r="AU53"/>
  <c r="AT51"/>
  <c r="AW51" s="1"/>
  <c r="AU51"/>
  <c r="AL64"/>
  <c r="AM64"/>
  <c r="AA64"/>
  <c r="Z65"/>
  <c r="AJ64"/>
  <c r="AK64"/>
  <c r="Y37"/>
  <c r="Z37" s="1"/>
  <c r="J37" s="1"/>
  <c r="AG37"/>
  <c r="AF37"/>
  <c r="AH37"/>
  <c r="AE37"/>
  <c r="AJ37"/>
  <c r="AI37"/>
  <c r="AT62"/>
  <c r="AW62" s="1"/>
  <c r="AU62"/>
  <c r="AT59"/>
  <c r="AW59" s="1"/>
  <c r="AU59"/>
  <c r="AT49"/>
  <c r="AW49" s="1"/>
  <c r="AU49"/>
  <c r="AT47"/>
  <c r="AW47" s="1"/>
  <c r="AU47"/>
  <c r="AT45"/>
  <c r="AW45" s="1"/>
  <c r="AU45"/>
  <c r="AT44"/>
  <c r="AW44" s="1"/>
  <c r="AU44"/>
  <c r="AB63"/>
  <c r="AD63" s="1"/>
  <c r="AP63"/>
  <c r="AR63" s="1"/>
  <c r="AC63"/>
  <c r="AE63" s="1"/>
  <c r="AH63" s="1"/>
  <c r="AQ63"/>
  <c r="AS63" s="1"/>
  <c r="AV63" s="1"/>
  <c r="AT60"/>
  <c r="AW60" s="1"/>
  <c r="AU60"/>
  <c r="AU46"/>
  <c r="AT46"/>
  <c r="AW46" s="1"/>
  <c r="AT41"/>
  <c r="AW41" s="1"/>
  <c r="AU41"/>
  <c r="AK38"/>
  <c r="H38"/>
  <c r="I38" s="1"/>
  <c r="AD36"/>
  <c r="AT58"/>
  <c r="AW58" s="1"/>
  <c r="AU58"/>
  <c r="AT56"/>
  <c r="AW56" s="1"/>
  <c r="AU56"/>
  <c r="AT54"/>
  <c r="AW54" s="1"/>
  <c r="AU54"/>
  <c r="AT52"/>
  <c r="AW52" s="1"/>
  <c r="AU52"/>
  <c r="AT50"/>
  <c r="AW50" s="1"/>
  <c r="AU50"/>
  <c r="AT48"/>
  <c r="AW48" s="1"/>
  <c r="AU48"/>
  <c r="AU43"/>
  <c r="AT43"/>
  <c r="AW43" s="1"/>
  <c r="AT42"/>
  <c r="AW42" s="1"/>
  <c r="AU42"/>
  <c r="S33"/>
  <c r="T33" s="1"/>
  <c r="AB36"/>
  <c r="K36" s="1"/>
  <c r="AB35" i="47"/>
  <c r="K35" s="1"/>
  <c r="N34"/>
  <c r="M34"/>
  <c r="X32"/>
  <c r="T32"/>
  <c r="W32" s="1"/>
  <c r="AD35"/>
  <c r="N35" s="1"/>
  <c r="AC35"/>
  <c r="R33"/>
  <c r="S33" s="1"/>
  <c r="AF61"/>
  <c r="AI61" s="1"/>
  <c r="AG61"/>
  <c r="F38"/>
  <c r="O38"/>
  <c r="P38" s="1"/>
  <c r="Q38" s="1"/>
  <c r="AP43"/>
  <c r="AR43" s="1"/>
  <c r="AQ44"/>
  <c r="AS44" s="1"/>
  <c r="AV44" s="1"/>
  <c r="AQ43"/>
  <c r="AS43" s="1"/>
  <c r="AV43" s="1"/>
  <c r="AP44"/>
  <c r="AR44" s="1"/>
  <c r="AP42"/>
  <c r="AR42" s="1"/>
  <c r="AQ42"/>
  <c r="AS42" s="1"/>
  <c r="AV42" s="1"/>
  <c r="AQ41"/>
  <c r="AS41" s="1"/>
  <c r="AV41" s="1"/>
  <c r="AP41"/>
  <c r="AR41" s="1"/>
  <c r="AP45"/>
  <c r="AR45" s="1"/>
  <c r="AQ45"/>
  <c r="AS45" s="1"/>
  <c r="AV45" s="1"/>
  <c r="AQ46"/>
  <c r="AS46" s="1"/>
  <c r="AV46" s="1"/>
  <c r="AP46"/>
  <c r="AR46" s="1"/>
  <c r="AQ47"/>
  <c r="AS47" s="1"/>
  <c r="AV47" s="1"/>
  <c r="AP47"/>
  <c r="AR47" s="1"/>
  <c r="AQ48"/>
  <c r="AS48" s="1"/>
  <c r="AV48" s="1"/>
  <c r="AP48"/>
  <c r="AR48" s="1"/>
  <c r="AQ49"/>
  <c r="AS49" s="1"/>
  <c r="AV49" s="1"/>
  <c r="AP49"/>
  <c r="AR49" s="1"/>
  <c r="AQ50"/>
  <c r="AS50" s="1"/>
  <c r="AV50" s="1"/>
  <c r="AP50"/>
  <c r="AR50" s="1"/>
  <c r="AQ51"/>
  <c r="AS51" s="1"/>
  <c r="AV51" s="1"/>
  <c r="AP51"/>
  <c r="AR51" s="1"/>
  <c r="AP52"/>
  <c r="AR52" s="1"/>
  <c r="AQ52"/>
  <c r="AS52" s="1"/>
  <c r="AV52" s="1"/>
  <c r="AQ53"/>
  <c r="AS53" s="1"/>
  <c r="AV53" s="1"/>
  <c r="AP53"/>
  <c r="AR53" s="1"/>
  <c r="AP54"/>
  <c r="AR54" s="1"/>
  <c r="AQ54"/>
  <c r="AS54" s="1"/>
  <c r="AV54" s="1"/>
  <c r="AP55"/>
  <c r="AR55" s="1"/>
  <c r="AQ55"/>
  <c r="AS55" s="1"/>
  <c r="AV55" s="1"/>
  <c r="AP56"/>
  <c r="AR56" s="1"/>
  <c r="AQ56"/>
  <c r="AS56" s="1"/>
  <c r="AV56" s="1"/>
  <c r="AQ57"/>
  <c r="AS57" s="1"/>
  <c r="AV57" s="1"/>
  <c r="AP57"/>
  <c r="AR57" s="1"/>
  <c r="AQ58"/>
  <c r="AS58" s="1"/>
  <c r="AV58" s="1"/>
  <c r="AP58"/>
  <c r="AR58" s="1"/>
  <c r="AP59"/>
  <c r="AR59" s="1"/>
  <c r="AQ59"/>
  <c r="AS59" s="1"/>
  <c r="AV59" s="1"/>
  <c r="AP60"/>
  <c r="AR60" s="1"/>
  <c r="AQ60"/>
  <c r="AS60" s="1"/>
  <c r="AV60" s="1"/>
  <c r="AP62"/>
  <c r="AR62" s="1"/>
  <c r="AC62"/>
  <c r="AE62" s="1"/>
  <c r="AH62" s="1"/>
  <c r="AQ62"/>
  <c r="AS62" s="1"/>
  <c r="AV62" s="1"/>
  <c r="AB62"/>
  <c r="AD62" s="1"/>
  <c r="H37"/>
  <c r="I37" s="1"/>
  <c r="AK37"/>
  <c r="X18"/>
  <c r="X17"/>
  <c r="X19"/>
  <c r="X21"/>
  <c r="X20"/>
  <c r="X22"/>
  <c r="X24"/>
  <c r="X26"/>
  <c r="X23"/>
  <c r="X25"/>
  <c r="X27"/>
  <c r="X29"/>
  <c r="X28"/>
  <c r="X30"/>
  <c r="X31"/>
  <c r="Z64"/>
  <c r="AJ63"/>
  <c r="AK63"/>
  <c r="AL63"/>
  <c r="AM63"/>
  <c r="AA63"/>
  <c r="AF36"/>
  <c r="Y36"/>
  <c r="Z36" s="1"/>
  <c r="J36" s="1"/>
  <c r="AE36"/>
  <c r="AJ36"/>
  <c r="AG36"/>
  <c r="AI36"/>
  <c r="AH36"/>
  <c r="AP61"/>
  <c r="AR61" s="1"/>
  <c r="W11"/>
  <c r="V32" l="1"/>
  <c r="T34" i="48"/>
  <c r="W34" s="1"/>
  <c r="U34"/>
  <c r="S34" i="47"/>
  <c r="X34" s="1"/>
  <c r="M36" i="48"/>
  <c r="S35"/>
  <c r="X35" s="1"/>
  <c r="AC37"/>
  <c r="AB37"/>
  <c r="K37" s="1"/>
  <c r="X33"/>
  <c r="V33"/>
  <c r="W33"/>
  <c r="AT63"/>
  <c r="AW63" s="1"/>
  <c r="AU63"/>
  <c r="AC64"/>
  <c r="AE64" s="1"/>
  <c r="AH64" s="1"/>
  <c r="AQ64"/>
  <c r="AS64" s="1"/>
  <c r="AV64" s="1"/>
  <c r="AB64"/>
  <c r="AD64" s="1"/>
  <c r="AP64"/>
  <c r="AR64" s="1"/>
  <c r="U33"/>
  <c r="Z66"/>
  <c r="AJ65"/>
  <c r="AK65"/>
  <c r="AL65"/>
  <c r="AM65"/>
  <c r="AA65"/>
  <c r="AE38"/>
  <c r="AJ38"/>
  <c r="AI38"/>
  <c r="Y38"/>
  <c r="Z38" s="1"/>
  <c r="J38" s="1"/>
  <c r="AG38"/>
  <c r="AH38"/>
  <c r="AF38"/>
  <c r="AD37"/>
  <c r="AA36"/>
  <c r="L36"/>
  <c r="N36"/>
  <c r="AF63"/>
  <c r="AI63" s="1"/>
  <c r="AG63"/>
  <c r="M35" i="47"/>
  <c r="L35"/>
  <c r="AC36"/>
  <c r="AA35"/>
  <c r="R35" s="1"/>
  <c r="AD36"/>
  <c r="N36" s="1"/>
  <c r="X33"/>
  <c r="T33"/>
  <c r="U33"/>
  <c r="AT61"/>
  <c r="AW61" s="1"/>
  <c r="AU61"/>
  <c r="AH37"/>
  <c r="AI37"/>
  <c r="AF37"/>
  <c r="Y37"/>
  <c r="Z37" s="1"/>
  <c r="J37" s="1"/>
  <c r="AE37"/>
  <c r="AJ37"/>
  <c r="AG37"/>
  <c r="AT62"/>
  <c r="AW62" s="1"/>
  <c r="AU62"/>
  <c r="AT59"/>
  <c r="AW59" s="1"/>
  <c r="AU59"/>
  <c r="AT55"/>
  <c r="AW55" s="1"/>
  <c r="AU55"/>
  <c r="AT45"/>
  <c r="AW45" s="1"/>
  <c r="AU45"/>
  <c r="AT42"/>
  <c r="AW42" s="1"/>
  <c r="AU42"/>
  <c r="AT43"/>
  <c r="AW43" s="1"/>
  <c r="AU43"/>
  <c r="AL64"/>
  <c r="AM64"/>
  <c r="AA64"/>
  <c r="Z65"/>
  <c r="AJ64"/>
  <c r="AK64"/>
  <c r="AT57"/>
  <c r="AW57" s="1"/>
  <c r="AU57"/>
  <c r="AT53"/>
  <c r="AW53" s="1"/>
  <c r="AU53"/>
  <c r="AU51"/>
  <c r="AT51"/>
  <c r="AW51" s="1"/>
  <c r="AU49"/>
  <c r="AT49"/>
  <c r="AW49" s="1"/>
  <c r="AU47"/>
  <c r="AT47"/>
  <c r="AW47" s="1"/>
  <c r="AP63"/>
  <c r="AR63" s="1"/>
  <c r="AQ63"/>
  <c r="AS63" s="1"/>
  <c r="AV63" s="1"/>
  <c r="AB63"/>
  <c r="AD63" s="1"/>
  <c r="AC63"/>
  <c r="AE63" s="1"/>
  <c r="AH63" s="1"/>
  <c r="AT60"/>
  <c r="AW60" s="1"/>
  <c r="AU60"/>
  <c r="AT56"/>
  <c r="AW56" s="1"/>
  <c r="AU56"/>
  <c r="AT54"/>
  <c r="AW54" s="1"/>
  <c r="AU54"/>
  <c r="AT52"/>
  <c r="AW52" s="1"/>
  <c r="AU52"/>
  <c r="H38"/>
  <c r="I38" s="1"/>
  <c r="AK38"/>
  <c r="AF62"/>
  <c r="AI62" s="1"/>
  <c r="AG62"/>
  <c r="AT58"/>
  <c r="AW58" s="1"/>
  <c r="AU58"/>
  <c r="AU50"/>
  <c r="AT50"/>
  <c r="AW50" s="1"/>
  <c r="AU48"/>
  <c r="AT48"/>
  <c r="AW48" s="1"/>
  <c r="AT46"/>
  <c r="AW46" s="1"/>
  <c r="AU46"/>
  <c r="AU41"/>
  <c r="AT41"/>
  <c r="AW41" s="1"/>
  <c r="AU44"/>
  <c r="AT44"/>
  <c r="AW44" s="1"/>
  <c r="AB36"/>
  <c r="K36" s="1"/>
  <c r="T34" l="1"/>
  <c r="W34" s="1"/>
  <c r="U34"/>
  <c r="V34" i="48"/>
  <c r="U35"/>
  <c r="T35"/>
  <c r="W35" s="1"/>
  <c r="M37"/>
  <c r="AD38"/>
  <c r="L38" s="1"/>
  <c r="AC38"/>
  <c r="AF64"/>
  <c r="AI64" s="1"/>
  <c r="AG64"/>
  <c r="AC37" i="47"/>
  <c r="AT64" i="48"/>
  <c r="AW64" s="1"/>
  <c r="AU64"/>
  <c r="AA37"/>
  <c r="L37"/>
  <c r="N37"/>
  <c r="AL66"/>
  <c r="AM66"/>
  <c r="AA66"/>
  <c r="Z67"/>
  <c r="AJ66"/>
  <c r="AK66"/>
  <c r="R36"/>
  <c r="AQ65"/>
  <c r="AS65" s="1"/>
  <c r="AV65" s="1"/>
  <c r="AB65"/>
  <c r="AD65" s="1"/>
  <c r="AP65"/>
  <c r="AR65" s="1"/>
  <c r="AC65"/>
  <c r="AE65" s="1"/>
  <c r="AH65" s="1"/>
  <c r="AB38"/>
  <c r="K38" s="1"/>
  <c r="S35" i="47"/>
  <c r="U35" s="1"/>
  <c r="M36"/>
  <c r="AA36"/>
  <c r="R36" s="1"/>
  <c r="L36"/>
  <c r="AF63"/>
  <c r="AI63" s="1"/>
  <c r="AG63"/>
  <c r="Z66"/>
  <c r="AJ65"/>
  <c r="AK65"/>
  <c r="AL65"/>
  <c r="AM65"/>
  <c r="AA65"/>
  <c r="V33"/>
  <c r="W33"/>
  <c r="AF38"/>
  <c r="Y38"/>
  <c r="Z38" s="1"/>
  <c r="J38" s="1"/>
  <c r="AH38"/>
  <c r="AE38"/>
  <c r="AJ38"/>
  <c r="AG38"/>
  <c r="AI38"/>
  <c r="AB64"/>
  <c r="AD64" s="1"/>
  <c r="AP64"/>
  <c r="AR64" s="1"/>
  <c r="AC64"/>
  <c r="AE64" s="1"/>
  <c r="AH64" s="1"/>
  <c r="AQ64"/>
  <c r="AS64" s="1"/>
  <c r="AV64" s="1"/>
  <c r="AT63"/>
  <c r="AW63" s="1"/>
  <c r="AU63"/>
  <c r="AB37"/>
  <c r="K37" s="1"/>
  <c r="V34"/>
  <c r="AD37"/>
  <c r="V35" i="48" l="1"/>
  <c r="M37" i="47"/>
  <c r="T35"/>
  <c r="W35" s="1"/>
  <c r="AC38"/>
  <c r="AA38" i="48"/>
  <c r="R38" s="1"/>
  <c r="N38"/>
  <c r="AT65"/>
  <c r="AW65" s="1"/>
  <c r="AU65"/>
  <c r="AB66"/>
  <c r="AD66" s="1"/>
  <c r="AP66"/>
  <c r="AR66" s="1"/>
  <c r="AC66"/>
  <c r="AE66" s="1"/>
  <c r="AH66" s="1"/>
  <c r="AQ66"/>
  <c r="AS66" s="1"/>
  <c r="AV66" s="1"/>
  <c r="S36"/>
  <c r="U36" s="1"/>
  <c r="Z68"/>
  <c r="AJ67"/>
  <c r="AK67"/>
  <c r="AL67"/>
  <c r="AM67"/>
  <c r="AA67"/>
  <c r="S36" i="47"/>
  <c r="X36" s="1"/>
  <c r="M38" i="48"/>
  <c r="AF65"/>
  <c r="AI65" s="1"/>
  <c r="AG65"/>
  <c r="R37"/>
  <c r="S37" s="1"/>
  <c r="X37" s="1"/>
  <c r="X35" i="47"/>
  <c r="AD38"/>
  <c r="L38" s="1"/>
  <c r="AB38"/>
  <c r="K38" s="1"/>
  <c r="AA37"/>
  <c r="L37"/>
  <c r="N37"/>
  <c r="AF64"/>
  <c r="AI64" s="1"/>
  <c r="AG64"/>
  <c r="AL66"/>
  <c r="AM66"/>
  <c r="AA66"/>
  <c r="Z67"/>
  <c r="AJ66"/>
  <c r="AK66"/>
  <c r="AT64"/>
  <c r="AW64" s="1"/>
  <c r="AU64"/>
  <c r="AB65"/>
  <c r="AD65" s="1"/>
  <c r="AC65"/>
  <c r="AE65" s="1"/>
  <c r="AH65" s="1"/>
  <c r="AP65"/>
  <c r="AR65" s="1"/>
  <c r="AQ65"/>
  <c r="AS65" s="1"/>
  <c r="AV65" s="1"/>
  <c r="V35" l="1"/>
  <c r="M38"/>
  <c r="T36"/>
  <c r="V36" s="1"/>
  <c r="U36"/>
  <c r="U37" i="48"/>
  <c r="T36"/>
  <c r="W36" s="1"/>
  <c r="AL68"/>
  <c r="AM68"/>
  <c r="AA68"/>
  <c r="Z69"/>
  <c r="AJ68"/>
  <c r="AK68"/>
  <c r="AF66"/>
  <c r="AI66" s="1"/>
  <c r="AG66"/>
  <c r="S38"/>
  <c r="X38" s="1"/>
  <c r="AB67"/>
  <c r="AD67" s="1"/>
  <c r="AP67"/>
  <c r="AR67" s="1"/>
  <c r="AC67"/>
  <c r="AE67" s="1"/>
  <c r="AH67" s="1"/>
  <c r="AQ67"/>
  <c r="AS67" s="1"/>
  <c r="AV67" s="1"/>
  <c r="AT66"/>
  <c r="AW66" s="1"/>
  <c r="AU66"/>
  <c r="T37"/>
  <c r="X36"/>
  <c r="N38" i="47"/>
  <c r="AA38"/>
  <c r="AT65"/>
  <c r="AW65" s="1"/>
  <c r="AU65"/>
  <c r="AP66"/>
  <c r="AR66" s="1"/>
  <c r="AC66"/>
  <c r="AE66" s="1"/>
  <c r="AH66" s="1"/>
  <c r="AQ66"/>
  <c r="AS66" s="1"/>
  <c r="AV66" s="1"/>
  <c r="AB66"/>
  <c r="AD66" s="1"/>
  <c r="R37"/>
  <c r="S37" s="1"/>
  <c r="T37" s="1"/>
  <c r="Z68"/>
  <c r="AJ67"/>
  <c r="AK67"/>
  <c r="AL67"/>
  <c r="AM67"/>
  <c r="AA67"/>
  <c r="AF65"/>
  <c r="AI65" s="1"/>
  <c r="AG65"/>
  <c r="W36" l="1"/>
  <c r="T38" i="48"/>
  <c r="W38" s="1"/>
  <c r="V36"/>
  <c r="AT67"/>
  <c r="AW67" s="1"/>
  <c r="AU67"/>
  <c r="AJ69"/>
  <c r="AK69"/>
  <c r="AL69"/>
  <c r="AM69"/>
  <c r="AA69"/>
  <c r="U38"/>
  <c r="V37"/>
  <c r="W37"/>
  <c r="AF67"/>
  <c r="AI67" s="1"/>
  <c r="AG67"/>
  <c r="AC68"/>
  <c r="AE68" s="1"/>
  <c r="AH68" s="1"/>
  <c r="AQ68"/>
  <c r="AS68" s="1"/>
  <c r="AV68" s="1"/>
  <c r="AB68"/>
  <c r="AD68" s="1"/>
  <c r="AP68"/>
  <c r="AR68" s="1"/>
  <c r="R38" i="47"/>
  <c r="X37"/>
  <c r="V37"/>
  <c r="W37"/>
  <c r="U37"/>
  <c r="AL68"/>
  <c r="AM68"/>
  <c r="AA68"/>
  <c r="Z69"/>
  <c r="AJ68"/>
  <c r="AK68"/>
  <c r="AP67"/>
  <c r="AR67" s="1"/>
  <c r="AQ67"/>
  <c r="AS67" s="1"/>
  <c r="AV67" s="1"/>
  <c r="AB67"/>
  <c r="AD67" s="1"/>
  <c r="AC67"/>
  <c r="AE67" s="1"/>
  <c r="AH67" s="1"/>
  <c r="AF66"/>
  <c r="AI66" s="1"/>
  <c r="AG66"/>
  <c r="AT66"/>
  <c r="AW66" s="1"/>
  <c r="AU66"/>
  <c r="V38" i="48" l="1"/>
  <c r="AF68"/>
  <c r="AI68" s="1"/>
  <c r="AG68"/>
  <c r="AT68"/>
  <c r="AW68" s="1"/>
  <c r="AU68"/>
  <c r="AQ69"/>
  <c r="AS69" s="1"/>
  <c r="AV69" s="1"/>
  <c r="AB69"/>
  <c r="AD69" s="1"/>
  <c r="AP69"/>
  <c r="AR69" s="1"/>
  <c r="AC69"/>
  <c r="AE69" s="1"/>
  <c r="AH69" s="1"/>
  <c r="S38" i="47"/>
  <c r="U38" s="1"/>
  <c r="AJ69"/>
  <c r="AK69"/>
  <c r="AL69"/>
  <c r="AM69"/>
  <c r="AA69"/>
  <c r="AF67"/>
  <c r="AI67" s="1"/>
  <c r="AG67"/>
  <c r="AT67"/>
  <c r="AW67" s="1"/>
  <c r="AU67"/>
  <c r="AB68"/>
  <c r="AD68" s="1"/>
  <c r="AP68"/>
  <c r="AR68" s="1"/>
  <c r="AC68"/>
  <c r="AE68" s="1"/>
  <c r="AH68" s="1"/>
  <c r="AQ68"/>
  <c r="AS68" s="1"/>
  <c r="AV68" s="1"/>
  <c r="AF69" i="48" l="1"/>
  <c r="AI69" s="1"/>
  <c r="AG69"/>
  <c r="AT69"/>
  <c r="AW69" s="1"/>
  <c r="AU69"/>
  <c r="X38" i="47"/>
  <c r="T38"/>
  <c r="AB69"/>
  <c r="AD69" s="1"/>
  <c r="AC69"/>
  <c r="AE69" s="1"/>
  <c r="AH69" s="1"/>
  <c r="AP69"/>
  <c r="AR69" s="1"/>
  <c r="AQ69"/>
  <c r="AS69" s="1"/>
  <c r="AV69" s="1"/>
  <c r="AF68"/>
  <c r="AI68" s="1"/>
  <c r="AG68"/>
  <c r="AT68"/>
  <c r="AW68" s="1"/>
  <c r="AU68"/>
  <c r="W38" l="1"/>
  <c r="V38"/>
  <c r="AF69"/>
  <c r="AI69" s="1"/>
  <c r="AG69"/>
  <c r="AT69"/>
  <c r="AW69" s="1"/>
  <c r="AU69"/>
  <c r="O1" i="27" l="1"/>
  <c r="R1"/>
  <c r="W1"/>
  <c r="U2"/>
  <c r="W2"/>
  <c r="G3"/>
  <c r="P3"/>
  <c r="P4"/>
  <c r="P5" s="1"/>
  <c r="X4"/>
  <c r="AB4"/>
  <c r="E17" s="1"/>
  <c r="AB5"/>
  <c r="L6"/>
  <c r="P6"/>
  <c r="G7"/>
  <c r="T7"/>
  <c r="AG7"/>
  <c r="G8"/>
  <c r="L8"/>
  <c r="AB8"/>
  <c r="AG8"/>
  <c r="AK8"/>
  <c r="P9"/>
  <c r="D17" s="1"/>
  <c r="W9"/>
  <c r="AK9"/>
  <c r="C10"/>
  <c r="L11"/>
  <c r="G9" s="1"/>
  <c r="AL41" s="1"/>
  <c r="O11"/>
  <c r="Q11"/>
  <c r="AB11"/>
  <c r="L12"/>
  <c r="T12"/>
  <c r="AB12"/>
  <c r="C9" s="1"/>
  <c r="AB6" s="1"/>
  <c r="AB7" s="1"/>
  <c r="C11" s="1"/>
  <c r="P13"/>
  <c r="G14"/>
  <c r="T8" s="1"/>
  <c r="L13" s="1"/>
  <c r="G17"/>
  <c r="AL17"/>
  <c r="A18"/>
  <c r="G18"/>
  <c r="AL18"/>
  <c r="AM18"/>
  <c r="AP18"/>
  <c r="AR18"/>
  <c r="AL19"/>
  <c r="AM19"/>
  <c r="AL20"/>
  <c r="AM20"/>
  <c r="AL21"/>
  <c r="AM21"/>
  <c r="AL22"/>
  <c r="AM22"/>
  <c r="AL23"/>
  <c r="AM23"/>
  <c r="AL24"/>
  <c r="AM24"/>
  <c r="AL25"/>
  <c r="AM25"/>
  <c r="AL26"/>
  <c r="AM26"/>
  <c r="AL27"/>
  <c r="AM27"/>
  <c r="AL28"/>
  <c r="AM28"/>
  <c r="AL29"/>
  <c r="AM29"/>
  <c r="AL30"/>
  <c r="AM30"/>
  <c r="AL31"/>
  <c r="AM31"/>
  <c r="AL32"/>
  <c r="AM32"/>
  <c r="AL33"/>
  <c r="AM33"/>
  <c r="AL34"/>
  <c r="AM34"/>
  <c r="AL35"/>
  <c r="AM35"/>
  <c r="AL36"/>
  <c r="AM36"/>
  <c r="AL37"/>
  <c r="AM37"/>
  <c r="AL38"/>
  <c r="AM38"/>
  <c r="AN38"/>
  <c r="AN37" s="1"/>
  <c r="AN36" s="1"/>
  <c r="AN35" s="1"/>
  <c r="AN34" s="1"/>
  <c r="AN33" s="1"/>
  <c r="AN32" s="1"/>
  <c r="AN31" s="1"/>
  <c r="AN30" s="1"/>
  <c r="AN29" s="1"/>
  <c r="AN28" s="1"/>
  <c r="AN27" s="1"/>
  <c r="AN26" s="1"/>
  <c r="AN25" s="1"/>
  <c r="AN24" s="1"/>
  <c r="AN23" s="1"/>
  <c r="AN22" s="1"/>
  <c r="AN21" s="1"/>
  <c r="AN20" s="1"/>
  <c r="AN19" s="1"/>
  <c r="AJ41"/>
  <c r="AK41"/>
  <c r="AN41"/>
  <c r="AN47" s="1"/>
  <c r="Z42"/>
  <c r="AJ42"/>
  <c r="AK42"/>
  <c r="AN42"/>
  <c r="AO42"/>
  <c r="Z43"/>
  <c r="AJ43"/>
  <c r="AK43"/>
  <c r="AM43"/>
  <c r="AN43"/>
  <c r="AO43"/>
  <c r="Y44"/>
  <c r="AA41" s="1"/>
  <c r="Z44"/>
  <c r="AK44" s="1"/>
  <c r="AJ44"/>
  <c r="AL44"/>
  <c r="AN44"/>
  <c r="AN45"/>
  <c r="AO45"/>
  <c r="AN46"/>
  <c r="AO46"/>
  <c r="B17" l="1"/>
  <c r="C17" s="1"/>
  <c r="E18"/>
  <c r="F17"/>
  <c r="H17" s="1"/>
  <c r="I17" s="1"/>
  <c r="AG17" s="1"/>
  <c r="O17"/>
  <c r="P17" s="1"/>
  <c r="Q17" s="1"/>
  <c r="D18"/>
  <c r="O18" s="1"/>
  <c r="P18" s="1"/>
  <c r="Q18" s="1"/>
  <c r="AM44"/>
  <c r="AA44"/>
  <c r="H7"/>
  <c r="AM41"/>
  <c r="AL42"/>
  <c r="Z45"/>
  <c r="AL43"/>
  <c r="AA43"/>
  <c r="AM42"/>
  <c r="G5"/>
  <c r="AB9"/>
  <c r="AA42"/>
  <c r="AQ18"/>
  <c r="B18"/>
  <c r="C18" s="1"/>
  <c r="AG5"/>
  <c r="T13" s="1"/>
  <c r="A19"/>
  <c r="AO18"/>
  <c r="AG3"/>
  <c r="AG4" s="1"/>
  <c r="AG6" l="1"/>
  <c r="AG9"/>
  <c r="AK1" s="1"/>
  <c r="F18"/>
  <c r="H18" s="1"/>
  <c r="I18" s="1"/>
  <c r="AF17"/>
  <c r="AE17"/>
  <c r="AG10"/>
  <c r="AA45"/>
  <c r="AM45"/>
  <c r="AL45"/>
  <c r="Z46"/>
  <c r="AK45"/>
  <c r="AJ45"/>
  <c r="AJ17"/>
  <c r="AH17"/>
  <c r="AC17" s="1"/>
  <c r="Y17"/>
  <c r="Z17" s="1"/>
  <c r="J17" s="1"/>
  <c r="AI17"/>
  <c r="B19"/>
  <c r="C19" s="1"/>
  <c r="AP19"/>
  <c r="E19"/>
  <c r="AO19"/>
  <c r="A20"/>
  <c r="D19"/>
  <c r="AR19"/>
  <c r="G19"/>
  <c r="AQ19"/>
  <c r="AB42"/>
  <c r="AD42" s="1"/>
  <c r="AB44" l="1"/>
  <c r="AD44" s="1"/>
  <c r="AG44" s="1"/>
  <c r="AC42"/>
  <c r="AE42" s="1"/>
  <c r="AH42" s="1"/>
  <c r="AC44"/>
  <c r="AE44" s="1"/>
  <c r="AH44" s="1"/>
  <c r="AB43"/>
  <c r="AD43" s="1"/>
  <c r="AG43" s="1"/>
  <c r="AK2"/>
  <c r="AK3" s="1"/>
  <c r="AK4" s="1"/>
  <c r="AB41"/>
  <c r="AD41" s="1"/>
  <c r="AG41" s="1"/>
  <c r="AC43"/>
  <c r="AE43" s="1"/>
  <c r="AH43" s="1"/>
  <c r="AG11"/>
  <c r="AG12" s="1"/>
  <c r="G11" s="1"/>
  <c r="AC41"/>
  <c r="AE41" s="1"/>
  <c r="AH41" s="1"/>
  <c r="AK18"/>
  <c r="AB17"/>
  <c r="K17" s="1"/>
  <c r="M17" s="1"/>
  <c r="S17"/>
  <c r="AF42"/>
  <c r="AI42" s="1"/>
  <c r="AG42"/>
  <c r="F19"/>
  <c r="O19"/>
  <c r="P19" s="1"/>
  <c r="Q19" s="1"/>
  <c r="Y18"/>
  <c r="Z18" s="1"/>
  <c r="J18" s="1"/>
  <c r="AF18"/>
  <c r="AJ18"/>
  <c r="AG18"/>
  <c r="AI18"/>
  <c r="AH18"/>
  <c r="AE18"/>
  <c r="AA46"/>
  <c r="AM46"/>
  <c r="AL46"/>
  <c r="Z47"/>
  <c r="AK46"/>
  <c r="AJ46"/>
  <c r="B20"/>
  <c r="C20" s="1"/>
  <c r="AP20"/>
  <c r="E20"/>
  <c r="AO20"/>
  <c r="A21"/>
  <c r="D20"/>
  <c r="AR20"/>
  <c r="G20"/>
  <c r="AQ20"/>
  <c r="AC45"/>
  <c r="AE45" s="1"/>
  <c r="AH45" s="1"/>
  <c r="AB45"/>
  <c r="AD45" s="1"/>
  <c r="AD17"/>
  <c r="AF43" l="1"/>
  <c r="AI43" s="1"/>
  <c r="AF44"/>
  <c r="AI44" s="1"/>
  <c r="AB18"/>
  <c r="K18" s="1"/>
  <c r="AF41"/>
  <c r="AI41" s="1"/>
  <c r="U17"/>
  <c r="AC18"/>
  <c r="AD18"/>
  <c r="AA18" s="1"/>
  <c r="L17"/>
  <c r="T17" s="1"/>
  <c r="AA17"/>
  <c r="F20"/>
  <c r="O20"/>
  <c r="P20" s="1"/>
  <c r="Q20" s="1"/>
  <c r="AG45"/>
  <c r="AF45"/>
  <c r="AI45" s="1"/>
  <c r="AA47"/>
  <c r="AM47"/>
  <c r="AL47"/>
  <c r="AK47"/>
  <c r="Z48"/>
  <c r="AJ47"/>
  <c r="B21"/>
  <c r="C21" s="1"/>
  <c r="AP21"/>
  <c r="E21"/>
  <c r="AO21"/>
  <c r="A22"/>
  <c r="D21"/>
  <c r="AR21"/>
  <c r="G21"/>
  <c r="AQ21"/>
  <c r="AC46"/>
  <c r="AE46" s="1"/>
  <c r="AH46" s="1"/>
  <c r="AB46"/>
  <c r="AD46" s="1"/>
  <c r="AK19"/>
  <c r="H19"/>
  <c r="I19" s="1"/>
  <c r="M18" l="1"/>
  <c r="L18"/>
  <c r="N18"/>
  <c r="F21"/>
  <c r="O21"/>
  <c r="P21" s="1"/>
  <c r="Q21" s="1"/>
  <c r="R18"/>
  <c r="Y19"/>
  <c r="Z19" s="1"/>
  <c r="J19" s="1"/>
  <c r="AG19"/>
  <c r="AH19"/>
  <c r="AJ19"/>
  <c r="AI19"/>
  <c r="AF19"/>
  <c r="AE19"/>
  <c r="AG46"/>
  <c r="AF46"/>
  <c r="AI46" s="1"/>
  <c r="AJ48"/>
  <c r="Z49"/>
  <c r="AA48"/>
  <c r="AM48"/>
  <c r="AL48"/>
  <c r="AK48"/>
  <c r="AC47"/>
  <c r="AE47" s="1"/>
  <c r="AH47" s="1"/>
  <c r="AB47"/>
  <c r="AD47" s="1"/>
  <c r="B22"/>
  <c r="C22" s="1"/>
  <c r="AP22"/>
  <c r="E22"/>
  <c r="AO22"/>
  <c r="A23"/>
  <c r="D22"/>
  <c r="AR22"/>
  <c r="G22"/>
  <c r="AQ22"/>
  <c r="AK20"/>
  <c r="H20"/>
  <c r="I20" s="1"/>
  <c r="V17"/>
  <c r="W17"/>
  <c r="S18" l="1"/>
  <c r="U18" s="1"/>
  <c r="AC19"/>
  <c r="AG47"/>
  <c r="AF47"/>
  <c r="AI47" s="1"/>
  <c r="AL49"/>
  <c r="AK49"/>
  <c r="AJ49"/>
  <c r="Z50"/>
  <c r="AA49"/>
  <c r="AM49"/>
  <c r="F22"/>
  <c r="O22"/>
  <c r="P22" s="1"/>
  <c r="Q22" s="1"/>
  <c r="AB48"/>
  <c r="AD48" s="1"/>
  <c r="AC48"/>
  <c r="AE48" s="1"/>
  <c r="AH48" s="1"/>
  <c r="AD19"/>
  <c r="Y20"/>
  <c r="Z20" s="1"/>
  <c r="J20" s="1"/>
  <c r="AH20"/>
  <c r="AJ20"/>
  <c r="AF20"/>
  <c r="AE20"/>
  <c r="AG20"/>
  <c r="AC20" s="1"/>
  <c r="AI20"/>
  <c r="AD20" s="1"/>
  <c r="B23"/>
  <c r="C23" s="1"/>
  <c r="AP23"/>
  <c r="E23"/>
  <c r="AO23"/>
  <c r="A24"/>
  <c r="D23"/>
  <c r="AR23"/>
  <c r="G23"/>
  <c r="AQ23"/>
  <c r="AK21"/>
  <c r="H21"/>
  <c r="I21" s="1"/>
  <c r="AB19"/>
  <c r="K19" s="1"/>
  <c r="T18" l="1"/>
  <c r="V18" s="1"/>
  <c r="AB20"/>
  <c r="K20" s="1"/>
  <c r="M20" s="1"/>
  <c r="Y21"/>
  <c r="Z21" s="1"/>
  <c r="J21" s="1"/>
  <c r="AF21"/>
  <c r="AE21"/>
  <c r="AG21"/>
  <c r="AH21"/>
  <c r="AI21"/>
  <c r="AJ21"/>
  <c r="L20"/>
  <c r="AA20"/>
  <c r="N20"/>
  <c r="B24"/>
  <c r="C24" s="1"/>
  <c r="AP24"/>
  <c r="E24"/>
  <c r="AO24"/>
  <c r="A25"/>
  <c r="D24"/>
  <c r="AR24"/>
  <c r="G24"/>
  <c r="AQ24"/>
  <c r="AF48"/>
  <c r="AI48" s="1"/>
  <c r="AG48"/>
  <c r="AK22"/>
  <c r="H22"/>
  <c r="I22" s="1"/>
  <c r="AJ50"/>
  <c r="Z51"/>
  <c r="AA50"/>
  <c r="AM50"/>
  <c r="AL50"/>
  <c r="AK50"/>
  <c r="M19"/>
  <c r="F23"/>
  <c r="O23"/>
  <c r="P23" s="1"/>
  <c r="Q23" s="1"/>
  <c r="L19"/>
  <c r="AA19"/>
  <c r="N19"/>
  <c r="AC49"/>
  <c r="AE49" s="1"/>
  <c r="AH49" s="1"/>
  <c r="AB49"/>
  <c r="AD49" s="1"/>
  <c r="W18" l="1"/>
  <c r="AC21"/>
  <c r="AD21"/>
  <c r="L21" s="1"/>
  <c r="AG49"/>
  <c r="AF49"/>
  <c r="AI49" s="1"/>
  <c r="AL51"/>
  <c r="AK51"/>
  <c r="AJ51"/>
  <c r="Z52"/>
  <c r="AA51"/>
  <c r="AM51"/>
  <c r="Y22"/>
  <c r="Z22" s="1"/>
  <c r="J22" s="1"/>
  <c r="AG22"/>
  <c r="AH22"/>
  <c r="AJ22"/>
  <c r="AI22"/>
  <c r="AF22"/>
  <c r="AE22"/>
  <c r="R19"/>
  <c r="S19" s="1"/>
  <c r="B25"/>
  <c r="C25" s="1"/>
  <c r="AP25"/>
  <c r="E25"/>
  <c r="AO25"/>
  <c r="A26"/>
  <c r="D25"/>
  <c r="AR25"/>
  <c r="G25"/>
  <c r="AQ25"/>
  <c r="AB21"/>
  <c r="K21" s="1"/>
  <c r="M21" s="1"/>
  <c r="AB50"/>
  <c r="AD50" s="1"/>
  <c r="AC50"/>
  <c r="AE50" s="1"/>
  <c r="AH50" s="1"/>
  <c r="AK23"/>
  <c r="H23"/>
  <c r="I23" s="1"/>
  <c r="F24"/>
  <c r="O24"/>
  <c r="P24" s="1"/>
  <c r="Q24" s="1"/>
  <c r="R20"/>
  <c r="N21" l="1"/>
  <c r="AC22"/>
  <c r="AD22"/>
  <c r="L22" s="1"/>
  <c r="AA21"/>
  <c r="R21" s="1"/>
  <c r="T19"/>
  <c r="AK24"/>
  <c r="H24"/>
  <c r="I24" s="1"/>
  <c r="Y23"/>
  <c r="Z23" s="1"/>
  <c r="J23" s="1"/>
  <c r="AG23"/>
  <c r="AH23"/>
  <c r="AJ23"/>
  <c r="AI23"/>
  <c r="AF23"/>
  <c r="AE23"/>
  <c r="AF50"/>
  <c r="AI50" s="1"/>
  <c r="AG50"/>
  <c r="AJ52"/>
  <c r="Z53"/>
  <c r="AA52"/>
  <c r="AM52"/>
  <c r="AL52"/>
  <c r="AK52"/>
  <c r="U19"/>
  <c r="B26"/>
  <c r="C26" s="1"/>
  <c r="AP26"/>
  <c r="E26"/>
  <c r="AO26"/>
  <c r="A27"/>
  <c r="D26"/>
  <c r="AR26"/>
  <c r="G26"/>
  <c r="AQ26"/>
  <c r="AC51"/>
  <c r="AE51" s="1"/>
  <c r="AH51" s="1"/>
  <c r="AB51"/>
  <c r="AD51" s="1"/>
  <c r="S20"/>
  <c r="T20" s="1"/>
  <c r="AB22"/>
  <c r="K22" s="1"/>
  <c r="F25"/>
  <c r="O25"/>
  <c r="P25" s="1"/>
  <c r="Q25" s="1"/>
  <c r="S21" l="1"/>
  <c r="T21" s="1"/>
  <c r="W21" s="1"/>
  <c r="M22"/>
  <c r="AD23"/>
  <c r="N23" s="1"/>
  <c r="AC23"/>
  <c r="AA22"/>
  <c r="R22" s="1"/>
  <c r="N22"/>
  <c r="U20"/>
  <c r="AB23"/>
  <c r="K23" s="1"/>
  <c r="M23" s="1"/>
  <c r="AL53"/>
  <c r="AK53"/>
  <c r="AJ53"/>
  <c r="Z54"/>
  <c r="AA53"/>
  <c r="AM53"/>
  <c r="V19"/>
  <c r="W19"/>
  <c r="AK25"/>
  <c r="H25"/>
  <c r="I25" s="1"/>
  <c r="B27"/>
  <c r="C27" s="1"/>
  <c r="AP27"/>
  <c r="E27"/>
  <c r="AO27"/>
  <c r="A28"/>
  <c r="D27"/>
  <c r="AR27"/>
  <c r="G27"/>
  <c r="AQ27"/>
  <c r="AB52"/>
  <c r="AD52" s="1"/>
  <c r="AC52"/>
  <c r="AE52" s="1"/>
  <c r="AH52" s="1"/>
  <c r="V20"/>
  <c r="W20"/>
  <c r="AG51"/>
  <c r="AF51"/>
  <c r="AI51" s="1"/>
  <c r="F26"/>
  <c r="O26"/>
  <c r="P26" s="1"/>
  <c r="Q26" s="1"/>
  <c r="Y24"/>
  <c r="Z24" s="1"/>
  <c r="J24" s="1"/>
  <c r="AH24"/>
  <c r="AJ24"/>
  <c r="AI24"/>
  <c r="AF24"/>
  <c r="AE24"/>
  <c r="AG24"/>
  <c r="U21" l="1"/>
  <c r="AC24"/>
  <c r="L23"/>
  <c r="AA23"/>
  <c r="S22"/>
  <c r="U22" s="1"/>
  <c r="V21"/>
  <c r="AD24"/>
  <c r="N24" s="1"/>
  <c r="B28"/>
  <c r="C28" s="1"/>
  <c r="E28"/>
  <c r="A29"/>
  <c r="D28"/>
  <c r="G28"/>
  <c r="AJ54"/>
  <c r="Z55"/>
  <c r="AA54"/>
  <c r="AM54"/>
  <c r="AL54"/>
  <c r="AK54"/>
  <c r="AK26"/>
  <c r="H26"/>
  <c r="I26" s="1"/>
  <c r="F27"/>
  <c r="O27"/>
  <c r="P27" s="1"/>
  <c r="Q27" s="1"/>
  <c r="AC53"/>
  <c r="AE53" s="1"/>
  <c r="AH53" s="1"/>
  <c r="AB53"/>
  <c r="AD53" s="1"/>
  <c r="AB24"/>
  <c r="K24" s="1"/>
  <c r="M24" s="1"/>
  <c r="R23"/>
  <c r="AF52"/>
  <c r="AI52" s="1"/>
  <c r="AG52"/>
  <c r="Y25"/>
  <c r="Z25" s="1"/>
  <c r="J25" s="1"/>
  <c r="AF25"/>
  <c r="AE25"/>
  <c r="AG25"/>
  <c r="AH25"/>
  <c r="AJ25"/>
  <c r="AI25"/>
  <c r="T22" l="1"/>
  <c r="W22" s="1"/>
  <c r="L24"/>
  <c r="AD25"/>
  <c r="L25" s="1"/>
  <c r="AB25"/>
  <c r="K25" s="1"/>
  <c r="AA24"/>
  <c r="AC25"/>
  <c r="AB54"/>
  <c r="AD54" s="1"/>
  <c r="AC54"/>
  <c r="AE54" s="1"/>
  <c r="AH54" s="1"/>
  <c r="V22"/>
  <c r="AG53"/>
  <c r="AF53"/>
  <c r="AI53" s="1"/>
  <c r="B29"/>
  <c r="C29" s="1"/>
  <c r="AP29"/>
  <c r="E29"/>
  <c r="AO29"/>
  <c r="A30"/>
  <c r="D29"/>
  <c r="AR29"/>
  <c r="G29"/>
  <c r="AQ29"/>
  <c r="F28"/>
  <c r="O28"/>
  <c r="P28" s="1"/>
  <c r="Q28" s="1"/>
  <c r="S23"/>
  <c r="R24"/>
  <c r="AK27"/>
  <c r="H27"/>
  <c r="I27" s="1"/>
  <c r="Y26"/>
  <c r="Z26" s="1"/>
  <c r="J26" s="1"/>
  <c r="AG26"/>
  <c r="AH26"/>
  <c r="AJ26"/>
  <c r="AI26"/>
  <c r="AE26"/>
  <c r="AF26"/>
  <c r="AL55"/>
  <c r="AK55"/>
  <c r="AJ55"/>
  <c r="Z56"/>
  <c r="AA55"/>
  <c r="AM55"/>
  <c r="N25" l="1"/>
  <c r="AA25"/>
  <c r="R25" s="1"/>
  <c r="M25"/>
  <c r="F29"/>
  <c r="O29"/>
  <c r="P29" s="1"/>
  <c r="Q29" s="1"/>
  <c r="T23"/>
  <c r="AJ56"/>
  <c r="Z57"/>
  <c r="AA56"/>
  <c r="AM56"/>
  <c r="AL56"/>
  <c r="AK56"/>
  <c r="AD26"/>
  <c r="S24"/>
  <c r="AC55"/>
  <c r="AE55" s="1"/>
  <c r="AH55" s="1"/>
  <c r="AB55"/>
  <c r="AD55" s="1"/>
  <c r="Y27"/>
  <c r="Z27" s="1"/>
  <c r="J27" s="1"/>
  <c r="AG27"/>
  <c r="AH27"/>
  <c r="AJ27"/>
  <c r="AI27"/>
  <c r="AD27" s="1"/>
  <c r="AF27"/>
  <c r="AE27"/>
  <c r="AK28"/>
  <c r="H28"/>
  <c r="B30"/>
  <c r="C30" s="1"/>
  <c r="AP30"/>
  <c r="E30"/>
  <c r="AO30"/>
  <c r="A31"/>
  <c r="D30"/>
  <c r="AR30"/>
  <c r="G30"/>
  <c r="AQ30"/>
  <c r="AF54"/>
  <c r="AI54" s="1"/>
  <c r="AG54"/>
  <c r="AB26"/>
  <c r="K26" s="1"/>
  <c r="AC26"/>
  <c r="U23"/>
  <c r="S25" l="1"/>
  <c r="U25" s="1"/>
  <c r="AC27"/>
  <c r="B31"/>
  <c r="C31" s="1"/>
  <c r="AP31"/>
  <c r="E31"/>
  <c r="AO31"/>
  <c r="A32"/>
  <c r="D31"/>
  <c r="AR31"/>
  <c r="G31"/>
  <c r="AQ31"/>
  <c r="F30"/>
  <c r="O30"/>
  <c r="P30" s="1"/>
  <c r="Q30" s="1"/>
  <c r="U24"/>
  <c r="M26"/>
  <c r="AB27"/>
  <c r="K27" s="1"/>
  <c r="AL57"/>
  <c r="AK57"/>
  <c r="AJ57"/>
  <c r="Z58"/>
  <c r="AA57"/>
  <c r="AM57"/>
  <c r="V23"/>
  <c r="W23"/>
  <c r="AK29"/>
  <c r="H29"/>
  <c r="I29" s="1"/>
  <c r="T24"/>
  <c r="I28"/>
  <c r="AR28"/>
  <c r="AQ28"/>
  <c r="L27"/>
  <c r="AA27"/>
  <c r="N27"/>
  <c r="AG55"/>
  <c r="AF55"/>
  <c r="AI55" s="1"/>
  <c r="L26"/>
  <c r="AA26"/>
  <c r="N26"/>
  <c r="AB56"/>
  <c r="AD56" s="1"/>
  <c r="AC56"/>
  <c r="AE56" s="1"/>
  <c r="AH56" s="1"/>
  <c r="T25" l="1"/>
  <c r="W25" s="1"/>
  <c r="M27"/>
  <c r="R26"/>
  <c r="S26" s="1"/>
  <c r="AJ58"/>
  <c r="Z59"/>
  <c r="AA58"/>
  <c r="AM58"/>
  <c r="AL58"/>
  <c r="AK58"/>
  <c r="AK30"/>
  <c r="H30"/>
  <c r="I30" s="1"/>
  <c r="AC57"/>
  <c r="AE57" s="1"/>
  <c r="AH57" s="1"/>
  <c r="AB57"/>
  <c r="AD57" s="1"/>
  <c r="B32"/>
  <c r="C32" s="1"/>
  <c r="AP32"/>
  <c r="E32"/>
  <c r="AO32"/>
  <c r="A33"/>
  <c r="D32"/>
  <c r="AR32"/>
  <c r="G32"/>
  <c r="AQ32"/>
  <c r="R27"/>
  <c r="S27" s="1"/>
  <c r="Y28"/>
  <c r="Z28" s="1"/>
  <c r="J28" s="1"/>
  <c r="AH28"/>
  <c r="AF28"/>
  <c r="AE28"/>
  <c r="AG28"/>
  <c r="AI28"/>
  <c r="AJ28"/>
  <c r="AP28"/>
  <c r="F31"/>
  <c r="O31"/>
  <c r="P31" s="1"/>
  <c r="Q31" s="1"/>
  <c r="AF56"/>
  <c r="AI56" s="1"/>
  <c r="AG56"/>
  <c r="V24"/>
  <c r="W24"/>
  <c r="Y29"/>
  <c r="Z29" s="1"/>
  <c r="J29" s="1"/>
  <c r="AF29"/>
  <c r="AE29"/>
  <c r="AG29"/>
  <c r="AH29"/>
  <c r="AI29"/>
  <c r="AJ29"/>
  <c r="AC28" l="1"/>
  <c r="V25"/>
  <c r="AD28"/>
  <c r="L28" s="1"/>
  <c r="U26"/>
  <c r="T26"/>
  <c r="W26" s="1"/>
  <c r="AD29"/>
  <c r="AA29" s="1"/>
  <c r="T27"/>
  <c r="V27" s="1"/>
  <c r="AC29"/>
  <c r="Y30"/>
  <c r="Z30" s="1"/>
  <c r="J30" s="1"/>
  <c r="AG30"/>
  <c r="AH30"/>
  <c r="AJ30"/>
  <c r="AI30"/>
  <c r="AF30"/>
  <c r="AE30"/>
  <c r="AL59"/>
  <c r="AK59"/>
  <c r="AJ59"/>
  <c r="Z60"/>
  <c r="AA59"/>
  <c r="AM59"/>
  <c r="AB29"/>
  <c r="K29" s="1"/>
  <c r="B33"/>
  <c r="C33" s="1"/>
  <c r="AP33"/>
  <c r="E33"/>
  <c r="AO33"/>
  <c r="A34"/>
  <c r="D33"/>
  <c r="AR33"/>
  <c r="G33"/>
  <c r="AQ33"/>
  <c r="AG57"/>
  <c r="AF57"/>
  <c r="AI57" s="1"/>
  <c r="AB58"/>
  <c r="AD58" s="1"/>
  <c r="AC58"/>
  <c r="AE58" s="1"/>
  <c r="AH58" s="1"/>
  <c r="AK31"/>
  <c r="H31"/>
  <c r="I31" s="1"/>
  <c r="F32"/>
  <c r="O32"/>
  <c r="P32" s="1"/>
  <c r="Q32" s="1"/>
  <c r="AB28"/>
  <c r="K28" s="1"/>
  <c r="U27"/>
  <c r="M28" l="1"/>
  <c r="V26"/>
  <c r="M29"/>
  <c r="N28"/>
  <c r="AA28"/>
  <c r="AD30"/>
  <c r="N30" s="1"/>
  <c r="W27"/>
  <c r="N29"/>
  <c r="L29"/>
  <c r="AC30"/>
  <c r="AK32"/>
  <c r="H32"/>
  <c r="I32" s="1"/>
  <c r="B34"/>
  <c r="C34" s="1"/>
  <c r="AP34"/>
  <c r="E34"/>
  <c r="AO34"/>
  <c r="A35"/>
  <c r="D34"/>
  <c r="AR34"/>
  <c r="G34"/>
  <c r="AQ34"/>
  <c r="R29"/>
  <c r="AJ60"/>
  <c r="Z61"/>
  <c r="AA60"/>
  <c r="AM60"/>
  <c r="AL60"/>
  <c r="AK60"/>
  <c r="R28"/>
  <c r="AB30"/>
  <c r="K30" s="1"/>
  <c r="Y31"/>
  <c r="Z31" s="1"/>
  <c r="J31" s="1"/>
  <c r="AG31"/>
  <c r="AH31"/>
  <c r="AJ31"/>
  <c r="AI31"/>
  <c r="AF31"/>
  <c r="AE31"/>
  <c r="AF58"/>
  <c r="AI58" s="1"/>
  <c r="AG58"/>
  <c r="F33"/>
  <c r="O33"/>
  <c r="P33" s="1"/>
  <c r="Q33" s="1"/>
  <c r="AC59"/>
  <c r="AE59" s="1"/>
  <c r="AH59" s="1"/>
  <c r="AB59"/>
  <c r="AD59" s="1"/>
  <c r="S28" l="1"/>
  <c r="U28" s="1"/>
  <c r="L30"/>
  <c r="AA30"/>
  <c r="S29"/>
  <c r="AB31"/>
  <c r="K31" s="1"/>
  <c r="AL61"/>
  <c r="AK61"/>
  <c r="AJ61"/>
  <c r="Z62"/>
  <c r="AA61"/>
  <c r="AM61"/>
  <c r="T29"/>
  <c r="U29"/>
  <c r="Y32"/>
  <c r="Z32" s="1"/>
  <c r="J32" s="1"/>
  <c r="AH32"/>
  <c r="AJ32"/>
  <c r="AF32"/>
  <c r="AE32"/>
  <c r="AG32"/>
  <c r="AC32" s="1"/>
  <c r="AI32"/>
  <c r="AD32" s="1"/>
  <c r="AD31"/>
  <c r="M30"/>
  <c r="AG59"/>
  <c r="AF59"/>
  <c r="AI59" s="1"/>
  <c r="AB60"/>
  <c r="AD60" s="1"/>
  <c r="AC60"/>
  <c r="AE60" s="1"/>
  <c r="AH60" s="1"/>
  <c r="AC31"/>
  <c r="B35"/>
  <c r="C35" s="1"/>
  <c r="AP35"/>
  <c r="E35"/>
  <c r="AO35"/>
  <c r="A36"/>
  <c r="D35"/>
  <c r="AR35"/>
  <c r="G35"/>
  <c r="AQ35"/>
  <c r="R30"/>
  <c r="AK33"/>
  <c r="H33"/>
  <c r="I33" s="1"/>
  <c r="F34"/>
  <c r="O34"/>
  <c r="P34" s="1"/>
  <c r="Q34" s="1"/>
  <c r="S30" l="1"/>
  <c r="U30" s="1"/>
  <c r="T28"/>
  <c r="W28" s="1"/>
  <c r="AO28" s="1"/>
  <c r="M31"/>
  <c r="AB32"/>
  <c r="K32" s="1"/>
  <c r="M32" s="1"/>
  <c r="V28"/>
  <c r="F35"/>
  <c r="O35"/>
  <c r="P35" s="1"/>
  <c r="Q35" s="1"/>
  <c r="L31"/>
  <c r="AA31"/>
  <c r="N31"/>
  <c r="V29"/>
  <c r="W29"/>
  <c r="AK34"/>
  <c r="H34"/>
  <c r="I34" s="1"/>
  <c r="AJ62"/>
  <c r="Z63"/>
  <c r="AA62"/>
  <c r="AM62"/>
  <c r="AL62"/>
  <c r="AK62"/>
  <c r="L32"/>
  <c r="AA32"/>
  <c r="N32"/>
  <c r="AC61"/>
  <c r="AE61" s="1"/>
  <c r="AH61" s="1"/>
  <c r="AB61"/>
  <c r="AD61" s="1"/>
  <c r="Y33"/>
  <c r="Z33" s="1"/>
  <c r="J33" s="1"/>
  <c r="AF33"/>
  <c r="AE33"/>
  <c r="AG33"/>
  <c r="AH33"/>
  <c r="AJ33"/>
  <c r="AI33"/>
  <c r="B36"/>
  <c r="C36" s="1"/>
  <c r="AP36"/>
  <c r="E36"/>
  <c r="AO36"/>
  <c r="A37"/>
  <c r="D36"/>
  <c r="AR36"/>
  <c r="G36"/>
  <c r="AQ36"/>
  <c r="AF60"/>
  <c r="AI60" s="1"/>
  <c r="AG60"/>
  <c r="T30" l="1"/>
  <c r="W30" s="1"/>
  <c r="R31"/>
  <c r="S31" s="1"/>
  <c r="AL63"/>
  <c r="AK63"/>
  <c r="AJ63"/>
  <c r="Z64"/>
  <c r="AA63"/>
  <c r="AM63"/>
  <c r="AK35"/>
  <c r="H35"/>
  <c r="I35" s="1"/>
  <c r="AD33"/>
  <c r="AB33"/>
  <c r="K33" s="1"/>
  <c r="B37"/>
  <c r="C37" s="1"/>
  <c r="E37"/>
  <c r="AO37"/>
  <c r="A38"/>
  <c r="D37"/>
  <c r="G37"/>
  <c r="AQ37"/>
  <c r="AP37"/>
  <c r="AR37"/>
  <c r="AB62"/>
  <c r="AD62" s="1"/>
  <c r="AC62"/>
  <c r="AE62" s="1"/>
  <c r="AH62" s="1"/>
  <c r="AC33"/>
  <c r="M33" s="1"/>
  <c r="F36"/>
  <c r="O36"/>
  <c r="P36" s="1"/>
  <c r="Q36" s="1"/>
  <c r="AG61"/>
  <c r="AF61"/>
  <c r="AI61" s="1"/>
  <c r="R32"/>
  <c r="S32" s="1"/>
  <c r="Y34"/>
  <c r="Z34" s="1"/>
  <c r="J34" s="1"/>
  <c r="AG34"/>
  <c r="AH34"/>
  <c r="AJ34"/>
  <c r="AI34"/>
  <c r="AE34"/>
  <c r="AF34"/>
  <c r="V30" l="1"/>
  <c r="AD34"/>
  <c r="L34" s="1"/>
  <c r="U31"/>
  <c r="T31"/>
  <c r="W31" s="1"/>
  <c r="AF62"/>
  <c r="AI62" s="1"/>
  <c r="AG62"/>
  <c r="L33"/>
  <c r="AA33"/>
  <c r="N33"/>
  <c r="AJ64"/>
  <c r="Z65"/>
  <c r="AA64"/>
  <c r="AM64"/>
  <c r="AL64"/>
  <c r="AK64"/>
  <c r="T32"/>
  <c r="E38"/>
  <c r="AO38"/>
  <c r="AO39" s="1"/>
  <c r="W3" s="1"/>
  <c r="G38"/>
  <c r="AQ38"/>
  <c r="AQ39" s="1"/>
  <c r="AR38"/>
  <c r="AR39" s="1"/>
  <c r="D38"/>
  <c r="AP38"/>
  <c r="AP39" s="1"/>
  <c r="AQ63" s="1"/>
  <c r="AS63" s="1"/>
  <c r="AV63" s="1"/>
  <c r="B38"/>
  <c r="C38" s="1"/>
  <c r="Y35"/>
  <c r="Z35" s="1"/>
  <c r="J35" s="1"/>
  <c r="AG35"/>
  <c r="AH35"/>
  <c r="AJ35"/>
  <c r="AI35"/>
  <c r="AF35"/>
  <c r="AE35"/>
  <c r="AC63"/>
  <c r="AE63" s="1"/>
  <c r="AH63" s="1"/>
  <c r="AB63"/>
  <c r="AD63" s="1"/>
  <c r="U32"/>
  <c r="AK36"/>
  <c r="H36"/>
  <c r="I36" s="1"/>
  <c r="F37"/>
  <c r="O37"/>
  <c r="P37" s="1"/>
  <c r="Q37" s="1"/>
  <c r="AB34"/>
  <c r="K34" s="1"/>
  <c r="AC34"/>
  <c r="W11" l="1"/>
  <c r="N34"/>
  <c r="AA34"/>
  <c r="R34" s="1"/>
  <c r="AP63"/>
  <c r="AR63" s="1"/>
  <c r="AU63" s="1"/>
  <c r="V31"/>
  <c r="M34"/>
  <c r="AC35"/>
  <c r="V32"/>
  <c r="W32"/>
  <c r="AL65"/>
  <c r="AK65"/>
  <c r="AJ65"/>
  <c r="Z66"/>
  <c r="AA65"/>
  <c r="AM65"/>
  <c r="R33"/>
  <c r="S33" s="1"/>
  <c r="AB35"/>
  <c r="K35" s="1"/>
  <c r="AK37"/>
  <c r="H37"/>
  <c r="I37" s="1"/>
  <c r="AG63"/>
  <c r="AF63"/>
  <c r="AI63" s="1"/>
  <c r="O38"/>
  <c r="P38" s="1"/>
  <c r="Q38" s="1"/>
  <c r="F38"/>
  <c r="X17"/>
  <c r="X18"/>
  <c r="X19"/>
  <c r="X21"/>
  <c r="X20"/>
  <c r="X22"/>
  <c r="X25"/>
  <c r="X23"/>
  <c r="X24"/>
  <c r="X27"/>
  <c r="X26"/>
  <c r="X29"/>
  <c r="X28"/>
  <c r="X30"/>
  <c r="X31"/>
  <c r="AB64"/>
  <c r="AD64" s="1"/>
  <c r="AP64"/>
  <c r="AR64" s="1"/>
  <c r="AC64"/>
  <c r="AE64" s="1"/>
  <c r="AH64" s="1"/>
  <c r="AQ64"/>
  <c r="AS64" s="1"/>
  <c r="AV64" s="1"/>
  <c r="Y36"/>
  <c r="Z36" s="1"/>
  <c r="J36" s="1"/>
  <c r="AH36"/>
  <c r="AI36"/>
  <c r="AF36"/>
  <c r="AE36"/>
  <c r="AG36"/>
  <c r="AC36" s="1"/>
  <c r="AJ36"/>
  <c r="AT63"/>
  <c r="AW63" s="1"/>
  <c r="AQ41"/>
  <c r="AS41" s="1"/>
  <c r="AV41" s="1"/>
  <c r="AP41"/>
  <c r="AR41" s="1"/>
  <c r="AP43"/>
  <c r="AR43" s="1"/>
  <c r="AQ42"/>
  <c r="AS42" s="1"/>
  <c r="AV42" s="1"/>
  <c r="AP44"/>
  <c r="AR44" s="1"/>
  <c r="AQ43"/>
  <c r="AS43" s="1"/>
  <c r="AV43" s="1"/>
  <c r="AP42"/>
  <c r="AR42" s="1"/>
  <c r="AQ44"/>
  <c r="AS44" s="1"/>
  <c r="AV44" s="1"/>
  <c r="AQ45"/>
  <c r="AS45" s="1"/>
  <c r="AV45" s="1"/>
  <c r="AP45"/>
  <c r="AR45" s="1"/>
  <c r="AP46"/>
  <c r="AR46" s="1"/>
  <c r="AQ46"/>
  <c r="AS46" s="1"/>
  <c r="AV46" s="1"/>
  <c r="AP47"/>
  <c r="AR47" s="1"/>
  <c r="AQ47"/>
  <c r="AS47" s="1"/>
  <c r="AV47" s="1"/>
  <c r="AP48"/>
  <c r="AR48" s="1"/>
  <c r="AQ48"/>
  <c r="AS48" s="1"/>
  <c r="AV48" s="1"/>
  <c r="AQ49"/>
  <c r="AS49" s="1"/>
  <c r="AV49" s="1"/>
  <c r="AP49"/>
  <c r="AR49" s="1"/>
  <c r="AP50"/>
  <c r="AR50" s="1"/>
  <c r="AQ50"/>
  <c r="AS50" s="1"/>
  <c r="AV50" s="1"/>
  <c r="AQ51"/>
  <c r="AS51" s="1"/>
  <c r="AV51" s="1"/>
  <c r="AP51"/>
  <c r="AR51" s="1"/>
  <c r="AQ52"/>
  <c r="AS52" s="1"/>
  <c r="AV52" s="1"/>
  <c r="AP52"/>
  <c r="AR52" s="1"/>
  <c r="AP53"/>
  <c r="AR53" s="1"/>
  <c r="AQ53"/>
  <c r="AS53" s="1"/>
  <c r="AV53" s="1"/>
  <c r="AP54"/>
  <c r="AR54" s="1"/>
  <c r="AQ54"/>
  <c r="AS54" s="1"/>
  <c r="AV54" s="1"/>
  <c r="AQ55"/>
  <c r="AS55" s="1"/>
  <c r="AV55" s="1"/>
  <c r="AP55"/>
  <c r="AR55" s="1"/>
  <c r="AQ56"/>
  <c r="AS56" s="1"/>
  <c r="AV56" s="1"/>
  <c r="AP56"/>
  <c r="AR56" s="1"/>
  <c r="AP57"/>
  <c r="AR57" s="1"/>
  <c r="AQ57"/>
  <c r="AS57" s="1"/>
  <c r="AV57" s="1"/>
  <c r="AQ58"/>
  <c r="AS58" s="1"/>
  <c r="AV58" s="1"/>
  <c r="AP58"/>
  <c r="AR58" s="1"/>
  <c r="AP59"/>
  <c r="AR59" s="1"/>
  <c r="AQ59"/>
  <c r="AS59" s="1"/>
  <c r="AV59" s="1"/>
  <c r="AQ60"/>
  <c r="AS60" s="1"/>
  <c r="AV60" s="1"/>
  <c r="AP60"/>
  <c r="AR60" s="1"/>
  <c r="AQ61"/>
  <c r="AS61" s="1"/>
  <c r="AV61" s="1"/>
  <c r="AP61"/>
  <c r="AR61" s="1"/>
  <c r="AQ62"/>
  <c r="AS62" s="1"/>
  <c r="AV62" s="1"/>
  <c r="AP62"/>
  <c r="AR62" s="1"/>
  <c r="AD35"/>
  <c r="X32"/>
  <c r="M35" l="1"/>
  <c r="S34"/>
  <c r="X34" s="1"/>
  <c r="AB36"/>
  <c r="K36" s="1"/>
  <c r="M36" s="1"/>
  <c r="U33"/>
  <c r="X33"/>
  <c r="T33"/>
  <c r="AT54"/>
  <c r="AW54" s="1"/>
  <c r="AU54"/>
  <c r="AT50"/>
  <c r="AW50" s="1"/>
  <c r="AU50"/>
  <c r="AT48"/>
  <c r="AW48" s="1"/>
  <c r="AU48"/>
  <c r="AU46"/>
  <c r="AT46"/>
  <c r="AW46" s="1"/>
  <c r="AT42"/>
  <c r="AW42" s="1"/>
  <c r="AU42"/>
  <c r="AU43"/>
  <c r="AT43"/>
  <c r="AW43" s="1"/>
  <c r="AC65"/>
  <c r="AE65" s="1"/>
  <c r="AH65" s="1"/>
  <c r="AQ65"/>
  <c r="AS65" s="1"/>
  <c r="AV65" s="1"/>
  <c r="AB65"/>
  <c r="AD65" s="1"/>
  <c r="AP65"/>
  <c r="AR65" s="1"/>
  <c r="AT62"/>
  <c r="AW62" s="1"/>
  <c r="AU62"/>
  <c r="AT60"/>
  <c r="AW60" s="1"/>
  <c r="AU60"/>
  <c r="AT58"/>
  <c r="AW58" s="1"/>
  <c r="AU58"/>
  <c r="AT56"/>
  <c r="AW56" s="1"/>
  <c r="AU56"/>
  <c r="AT52"/>
  <c r="AW52" s="1"/>
  <c r="AU52"/>
  <c r="AK38"/>
  <c r="H38"/>
  <c r="I38" s="1"/>
  <c r="L35"/>
  <c r="AA35"/>
  <c r="N35"/>
  <c r="AU59"/>
  <c r="AT59"/>
  <c r="AW59" s="1"/>
  <c r="AU57"/>
  <c r="AT57"/>
  <c r="AW57" s="1"/>
  <c r="AU53"/>
  <c r="AT53"/>
  <c r="AW53" s="1"/>
  <c r="AU47"/>
  <c r="AT47"/>
  <c r="AW47" s="1"/>
  <c r="AU44"/>
  <c r="AT44"/>
  <c r="AW44" s="1"/>
  <c r="AF64"/>
  <c r="AI64" s="1"/>
  <c r="AG64"/>
  <c r="AD36"/>
  <c r="AU61"/>
  <c r="AT61"/>
  <c r="AW61" s="1"/>
  <c r="AU55"/>
  <c r="AT55"/>
  <c r="AW55" s="1"/>
  <c r="AU51"/>
  <c r="AT51"/>
  <c r="AW51" s="1"/>
  <c r="AU49"/>
  <c r="AT49"/>
  <c r="AW49" s="1"/>
  <c r="AU45"/>
  <c r="AT45"/>
  <c r="AW45" s="1"/>
  <c r="AT41"/>
  <c r="AW41" s="1"/>
  <c r="AU41"/>
  <c r="AT64"/>
  <c r="AW64" s="1"/>
  <c r="AU64"/>
  <c r="Y37"/>
  <c r="Z37" s="1"/>
  <c r="J37" s="1"/>
  <c r="AF37"/>
  <c r="AG37"/>
  <c r="AI37"/>
  <c r="AE37"/>
  <c r="AH37"/>
  <c r="AJ37"/>
  <c r="AJ66"/>
  <c r="Z67"/>
  <c r="AA66"/>
  <c r="AM66"/>
  <c r="AL66"/>
  <c r="AK66"/>
  <c r="T34"/>
  <c r="AB37" l="1"/>
  <c r="K37" s="1"/>
  <c r="U34"/>
  <c r="AD37"/>
  <c r="N37" s="1"/>
  <c r="V34"/>
  <c r="W34"/>
  <c r="AB66"/>
  <c r="AD66" s="1"/>
  <c r="AP66"/>
  <c r="AR66" s="1"/>
  <c r="AC66"/>
  <c r="AE66" s="1"/>
  <c r="AH66" s="1"/>
  <c r="AQ66"/>
  <c r="AS66" s="1"/>
  <c r="AV66" s="1"/>
  <c r="L36"/>
  <c r="AA36"/>
  <c r="N36"/>
  <c r="R35"/>
  <c r="S35" s="1"/>
  <c r="V33"/>
  <c r="W33"/>
  <c r="Y38"/>
  <c r="Z38" s="1"/>
  <c r="J38" s="1"/>
  <c r="AJ38"/>
  <c r="AH38"/>
  <c r="AF38"/>
  <c r="AG38"/>
  <c r="AI38"/>
  <c r="AD38" s="1"/>
  <c r="AE38"/>
  <c r="AC37"/>
  <c r="AG65"/>
  <c r="AF65"/>
  <c r="AI65" s="1"/>
  <c r="AL67"/>
  <c r="AK67"/>
  <c r="AJ67"/>
  <c r="Z68"/>
  <c r="AA67"/>
  <c r="AM67"/>
  <c r="AU65"/>
  <c r="AT65"/>
  <c r="AW65" s="1"/>
  <c r="M37" l="1"/>
  <c r="L37"/>
  <c r="AA37"/>
  <c r="U35"/>
  <c r="X35"/>
  <c r="T35"/>
  <c r="AC67"/>
  <c r="AE67" s="1"/>
  <c r="AH67" s="1"/>
  <c r="AQ67"/>
  <c r="AS67" s="1"/>
  <c r="AV67" s="1"/>
  <c r="AB67"/>
  <c r="AD67" s="1"/>
  <c r="AP67"/>
  <c r="AR67" s="1"/>
  <c r="AC38"/>
  <c r="AA38"/>
  <c r="L38"/>
  <c r="N38"/>
  <c r="AF66"/>
  <c r="AI66" s="1"/>
  <c r="AG66"/>
  <c r="R36"/>
  <c r="S36" s="1"/>
  <c r="AT66"/>
  <c r="AW66" s="1"/>
  <c r="AU66"/>
  <c r="AB38"/>
  <c r="K38" s="1"/>
  <c r="AJ68"/>
  <c r="Z69"/>
  <c r="AA68"/>
  <c r="AM68"/>
  <c r="AL68"/>
  <c r="AK68"/>
  <c r="R37"/>
  <c r="U36" l="1"/>
  <c r="X36"/>
  <c r="T36"/>
  <c r="W36" s="1"/>
  <c r="AL69"/>
  <c r="AK69"/>
  <c r="AJ69"/>
  <c r="AA69"/>
  <c r="AM69"/>
  <c r="AU67"/>
  <c r="AT67"/>
  <c r="AW67" s="1"/>
  <c r="AB68"/>
  <c r="AD68" s="1"/>
  <c r="AP68"/>
  <c r="AR68" s="1"/>
  <c r="AC68"/>
  <c r="AE68" s="1"/>
  <c r="AH68" s="1"/>
  <c r="AQ68"/>
  <c r="AS68" s="1"/>
  <c r="AV68" s="1"/>
  <c r="R38"/>
  <c r="S37"/>
  <c r="T37" s="1"/>
  <c r="V35"/>
  <c r="W35"/>
  <c r="AG67"/>
  <c r="AF67"/>
  <c r="AI67" s="1"/>
  <c r="M38"/>
  <c r="V36" l="1"/>
  <c r="X37"/>
  <c r="V37"/>
  <c r="W37"/>
  <c r="AF68"/>
  <c r="AI68" s="1"/>
  <c r="AG68"/>
  <c r="S38"/>
  <c r="X38" s="1"/>
  <c r="AT68"/>
  <c r="AW68" s="1"/>
  <c r="AU68"/>
  <c r="U37"/>
  <c r="AC69"/>
  <c r="AE69" s="1"/>
  <c r="AH69" s="1"/>
  <c r="AQ69"/>
  <c r="AS69" s="1"/>
  <c r="AV69" s="1"/>
  <c r="AB69"/>
  <c r="AD69" s="1"/>
  <c r="AP69"/>
  <c r="AR69" s="1"/>
  <c r="T38" l="1"/>
  <c r="W38" s="1"/>
  <c r="AG69"/>
  <c r="AF69"/>
  <c r="AI69" s="1"/>
  <c r="AU69"/>
  <c r="AT69"/>
  <c r="AW69" s="1"/>
  <c r="U38"/>
  <c r="V38" l="1"/>
</calcChain>
</file>

<file path=xl/sharedStrings.xml><?xml version="1.0" encoding="utf-8"?>
<sst xmlns="http://schemas.openxmlformats.org/spreadsheetml/2006/main" count="1242" uniqueCount="469">
  <si>
    <t>Spreadsheet by Del Hanson, David Cunningham, Piers Dawe, David Dolfi  Agilent Technologies</t>
  </si>
  <si>
    <t>Case:</t>
  </si>
  <si>
    <t>SMF</t>
  </si>
  <si>
    <t>Rev.</t>
  </si>
  <si>
    <t>Geo mean R</t>
  </si>
  <si>
    <t>linear units</t>
  </si>
  <si>
    <t>Input=</t>
  </si>
  <si>
    <t>Bold</t>
  </si>
  <si>
    <t>Target reach</t>
  </si>
  <si>
    <t>km</t>
  </si>
  <si>
    <t>ps</t>
  </si>
  <si>
    <t>Model/format rev</t>
  </si>
  <si>
    <t>of</t>
  </si>
  <si>
    <t xml:space="preserve">Spec extinction ratio </t>
  </si>
  <si>
    <t>ps/(nm.km)</t>
  </si>
  <si>
    <t>BWm=</t>
  </si>
  <si>
    <t>MHz*km</t>
  </si>
  <si>
    <t>L_start=</t>
  </si>
  <si>
    <t>C_att=</t>
  </si>
  <si>
    <t>Spec ext. ratio penalty</t>
  </si>
  <si>
    <t>dBo</t>
  </si>
  <si>
    <t>L_inc=</t>
  </si>
  <si>
    <t>Refl Tx</t>
  </si>
  <si>
    <t>dB</t>
  </si>
  <si>
    <t>D2</t>
  </si>
  <si>
    <t>Det.Jitter</t>
  </si>
  <si>
    <t>RIN_Coef=</t>
  </si>
  <si>
    <t>Refl Rx</t>
  </si>
  <si>
    <t>Q=</t>
  </si>
  <si>
    <t>Pwr.Bud.-Conn.Loss</t>
  </si>
  <si>
    <t>no units</t>
  </si>
  <si>
    <t>ERF arg=</t>
  </si>
  <si>
    <t>Eff. BWm=</t>
  </si>
  <si>
    <t>Margin</t>
  </si>
  <si>
    <t>ERF=</t>
  </si>
  <si>
    <t>Worst ave launch pwr</t>
  </si>
  <si>
    <t>uW</t>
  </si>
  <si>
    <t>dB/Hz</t>
  </si>
  <si>
    <t>Base Rate=</t>
  </si>
  <si>
    <t>MBd</t>
  </si>
  <si>
    <t>DCD_DJ=</t>
  </si>
  <si>
    <t>B1=</t>
  </si>
  <si>
    <t>RIN at MinER</t>
  </si>
  <si>
    <t>Rec_BW=</t>
  </si>
  <si>
    <t>MHz</t>
  </si>
  <si>
    <t>C1=</t>
  </si>
  <si>
    <t>ns.MHz</t>
  </si>
  <si>
    <t>T_rx(10-90)</t>
  </si>
  <si>
    <t>ISI_TP4_Rx</t>
  </si>
  <si>
    <t>MPN k(OMA)</t>
  </si>
  <si>
    <t>Tx eye height</t>
  </si>
  <si>
    <t>c_rx</t>
  </si>
  <si>
    <t>Stressed</t>
  </si>
  <si>
    <t>ISI at eye</t>
  </si>
  <si>
    <t>ISI, jitter</t>
  </si>
  <si>
    <t>fraction of 1/2 eye</t>
  </si>
  <si>
    <t>P_BLW</t>
  </si>
  <si>
    <t>Receiver</t>
  </si>
  <si>
    <t>Pisi</t>
  </si>
  <si>
    <t>corners</t>
  </si>
  <si>
    <t>&amp; TP4</t>
  </si>
  <si>
    <t>From DJ times</t>
  </si>
  <si>
    <t xml:space="preserve">L  </t>
  </si>
  <si>
    <t>D1.L</t>
  </si>
  <si>
    <t>D2.L</t>
  </si>
  <si>
    <t>BWcd</t>
  </si>
  <si>
    <t>effBWm</t>
  </si>
  <si>
    <t>Te</t>
  </si>
  <si>
    <t>Tc</t>
  </si>
  <si>
    <t>Patt</t>
  </si>
  <si>
    <t>Beta</t>
  </si>
  <si>
    <t>SDmpn</t>
  </si>
  <si>
    <t>Pmpn</t>
  </si>
  <si>
    <t>Prin</t>
  </si>
  <si>
    <t>Pcross</t>
  </si>
  <si>
    <t>Ptotal</t>
  </si>
  <si>
    <t>Ch IL</t>
  </si>
  <si>
    <t>LP Pen</t>
  </si>
  <si>
    <t>V_rin</t>
  </si>
  <si>
    <t>central</t>
  </si>
  <si>
    <t>ex jitter</t>
  </si>
  <si>
    <t>closed eye</t>
  </si>
  <si>
    <t>P-C</t>
  </si>
  <si>
    <t>(for</t>
  </si>
  <si>
    <t>(for margin</t>
  </si>
  <si>
    <t>ERF arg</t>
  </si>
  <si>
    <t>Erf arg 1a</t>
  </si>
  <si>
    <t>Erf arg 2a</t>
  </si>
  <si>
    <t>Erf arg 1b</t>
  </si>
  <si>
    <t>Erf arg 2b</t>
  </si>
  <si>
    <t>(km)</t>
  </si>
  <si>
    <t>(MHz)</t>
  </si>
  <si>
    <t>(ps)</t>
  </si>
  <si>
    <t>(dB)</t>
  </si>
  <si>
    <t xml:space="preserve"> (dB)</t>
  </si>
  <si>
    <t>(dBm)</t>
  </si>
  <si>
    <t>J=0, dB</t>
  </si>
  <si>
    <t>(no units)</t>
  </si>
  <si>
    <t>graph)</t>
  </si>
  <si>
    <t>Target</t>
  </si>
  <si>
    <t>at target L)</t>
  </si>
  <si>
    <t>Notes</t>
  </si>
  <si>
    <t>Draft</t>
  </si>
  <si>
    <t>See"Notes" page</t>
  </si>
  <si>
    <r>
      <t>h</t>
    </r>
    <r>
      <rPr>
        <vertAlign val="subscript"/>
        <sz val="12"/>
        <color indexed="23"/>
        <rFont val="Arial"/>
        <family val="2"/>
      </rPr>
      <t>eye</t>
    </r>
    <r>
      <rPr>
        <sz val="12"/>
        <color indexed="23"/>
        <rFont val="Arial"/>
        <family val="2"/>
      </rPr>
      <t>(0)</t>
    </r>
  </si>
  <si>
    <t>(variance)</t>
  </si>
  <si>
    <t>Vmn</t>
  </si>
  <si>
    <t>P_DJ</t>
  </si>
  <si>
    <t>Tb_eff=</t>
  </si>
  <si>
    <t>Erf arg 1c</t>
  </si>
  <si>
    <t>Erf arg 2c</t>
  </si>
  <si>
    <t>For P_DJ</t>
  </si>
  <si>
    <t>ISI &amp;</t>
  </si>
  <si>
    <t>DJ</t>
  </si>
  <si>
    <t>Eye corners before DJ</t>
  </si>
  <si>
    <t>Tx mask top</t>
  </si>
  <si>
    <t>UI</t>
  </si>
  <si>
    <t>dBm</t>
  </si>
  <si>
    <t>"Worst"ave.TxPwr</t>
  </si>
  <si>
    <t>Ext. ratio penalty</t>
  </si>
  <si>
    <t>Min. Ext Ratio=</t>
  </si>
  <si>
    <t>Tx pwr OMA=</t>
  </si>
  <si>
    <t>Test Source ER=</t>
  </si>
  <si>
    <t>(UI) ex DCD</t>
  </si>
  <si>
    <t>Disp. min. Uo=</t>
  </si>
  <si>
    <t>nm</t>
  </si>
  <si>
    <t>ps/nm</t>
  </si>
  <si>
    <t>Reflection Noise factor</t>
  </si>
  <si>
    <t>Basics</t>
  </si>
  <si>
    <t>Transmitter</t>
  </si>
  <si>
    <t>Effect. DJ=</t>
  </si>
  <si>
    <t>RIN(OMA)</t>
  </si>
  <si>
    <t>Ts(20-80)</t>
  </si>
  <si>
    <t>Ts(10-90)</t>
  </si>
  <si>
    <t>Power Budget P=</t>
  </si>
  <si>
    <t>and</t>
  </si>
  <si>
    <t>graph</t>
  </si>
  <si>
    <t>Wavelength  Uc</t>
  </si>
  <si>
    <t>Fiber</t>
  </si>
  <si>
    <t>Attenuation=</t>
  </si>
  <si>
    <t>dB/km</t>
  </si>
  <si>
    <t>at</t>
  </si>
  <si>
    <t>Effective Rate</t>
  </si>
  <si>
    <t>Connections C</t>
  </si>
  <si>
    <t>P_BLW(no ISI)</t>
  </si>
  <si>
    <t>RMS Baseline wander SD</t>
  </si>
  <si>
    <t>ps/nm^2*km</t>
  </si>
  <si>
    <t>Answer!</t>
  </si>
  <si>
    <t>Test Tx</t>
  </si>
  <si>
    <t>1310nm serial</t>
  </si>
  <si>
    <t>Effective Rec Eye</t>
  </si>
  <si>
    <t>This file</t>
  </si>
  <si>
    <t>dB at</t>
  </si>
  <si>
    <t>Test Source ER pen.</t>
  </si>
  <si>
    <t>T</t>
  </si>
  <si>
    <t>arg 1</t>
  </si>
  <si>
    <t>arg 2</t>
  </si>
  <si>
    <t>erf 1</t>
  </si>
  <si>
    <t>erf 2</t>
  </si>
  <si>
    <t>oio</t>
  </si>
  <si>
    <t>Tstep</t>
  </si>
  <si>
    <t>erf1'</t>
  </si>
  <si>
    <t>erf2'</t>
  </si>
  <si>
    <t>ioi</t>
  </si>
  <si>
    <t>One bit L</t>
  </si>
  <si>
    <t>1 bit R</t>
  </si>
  <si>
    <t>speedup</t>
  </si>
  <si>
    <t>Teff</t>
  </si>
  <si>
    <t>Eye mask</t>
  </si>
  <si>
    <t>Jitter</t>
  </si>
  <si>
    <t>Early</t>
  </si>
  <si>
    <t>Late</t>
  </si>
  <si>
    <t>To switch polarisation Mode Dispersion off,</t>
  </si>
  <si>
    <t>ModalNoisePen</t>
  </si>
  <si>
    <t>&lt;- This revision number refers to the PMD numbers</t>
  </si>
  <si>
    <t>To be filed at:</t>
  </si>
  <si>
    <t>Corrections to February 1550 nm page:</t>
  </si>
  <si>
    <t>"Worst" dispersion is for dispersion min. at shortest wavelength</t>
  </si>
  <si>
    <t>Receiver (minimum) bandwidth corrected from 9500 to 7725 MHz</t>
  </si>
  <si>
    <t>Changes over 3pmd046.xls of 6 July 2000:</t>
  </si>
  <si>
    <t>1550 nm powers raised by 2 dB</t>
  </si>
  <si>
    <t>OMA definitions of Tx power and RIN added</t>
  </si>
  <si>
    <t>PMD accounted for</t>
  </si>
  <si>
    <t>Changes over 3pmd048PMD_OMA.xls of 13 Dec. 2000:</t>
  </si>
  <si>
    <t>850 serial sheets added</t>
  </si>
  <si>
    <t>Example LW4 (1300nm WWDM, WAN PHY) sheet added</t>
  </si>
  <si>
    <t>This version prepared by Piers Dawe, 850 input from Jack Jewell</t>
  </si>
  <si>
    <t>Based on updated Gigabit Ethernet Spreadsheet as detailed below</t>
  </si>
  <si>
    <t>Change history</t>
  </si>
  <si>
    <t>&lt;- This rev. number for model &amp; spreadsheet structure &amp; presentation</t>
  </si>
  <si>
    <t>Modifications over the IEEE 802.3z link model spreadsheet,</t>
  </si>
  <si>
    <t>http://grouper.ieee.org/groups/802/3/10G_study/public/email_attach/All_1250.xls</t>
  </si>
  <si>
    <t>which is documented in</t>
  </si>
  <si>
    <t>http://www.ieee802.org/3/z/public/presentations/mar1997/DCwpaper.pdf</t>
  </si>
  <si>
    <t>*</t>
  </si>
  <si>
    <t>"Back-to-back" line added showing case of 2m fibre, low RIN source with rise time as specified</t>
  </si>
  <si>
    <t>Baseline wander formulae included, assuming low-overhead scrambled coding e.g. SONET or 64B66B</t>
  </si>
  <si>
    <t xml:space="preserve">    Input parameter "RMS baseline wander" is like a signal/noise ratio: Standard dev/(eye height * 0.5)</t>
  </si>
  <si>
    <t xml:space="preserve">    P_BLW(no ISI) is the effect of baseline wander assuming ample bandwidth in transmitter and receiver, no fibre</t>
  </si>
  <si>
    <t xml:space="preserve">    P_BLW is the effect of baseline wander assuming fast transmitter, receiver bandwidth as specified, no fibre</t>
  </si>
  <si>
    <t xml:space="preserve">    The definition of "Power budget" (transmitted power - receiver sensitivity) already includes this effect.</t>
  </si>
  <si>
    <t xml:space="preserve">    Suggest reduce DCD_RJ if using BLW terms in low-overhead scenario</t>
  </si>
  <si>
    <t>Interaction between ISI, TP4 eye closure, RIN, MPN and baseline wander calculated</t>
  </si>
  <si>
    <t xml:space="preserve">    Pcross is the extra penalty caused by these interactions</t>
  </si>
  <si>
    <t>"New MMF" scenario added</t>
  </si>
  <si>
    <t>Attenuation specification at standard wavelength clarified</t>
  </si>
  <si>
    <t>Margin at target reach calculated</t>
  </si>
  <si>
    <t>Modifications over IEEE 802.3ae link model spreadsheet of March 2000,</t>
  </si>
  <si>
    <t>http://grouper.ieee.org/groups/802/3/10G_study/public/email_attach/All_1250v2.xls</t>
  </si>
  <si>
    <t>Bandwidth to risetime conversion factor for receiver corrected,</t>
  </si>
  <si>
    <t>GbE formula for ISI penalty replaced with self-consistent Gaussian approximation</t>
  </si>
  <si>
    <t>GbE formula for receiver eye penalty replaced with self-consistent Gaussian approximation</t>
  </si>
  <si>
    <t xml:space="preserve">62 MMF dispersion S0 at worst lambda0 corrected from 0.11 to 0.093 </t>
  </si>
  <si>
    <t>Receiver bandwidth to risetime conversion factor shown explicitly</t>
  </si>
  <si>
    <t>Column S, "P_C" replaced by single box, as not length dependent</t>
  </si>
  <si>
    <t>Modifications over version 2.3.4:</t>
  </si>
  <si>
    <t>Polarisation Mode Dispersion</t>
  </si>
  <si>
    <t>Extra input box E2, "PolMD DGDmax" to calculate polarisation mode dispersion for single mode fibre</t>
  </si>
  <si>
    <t>To use, enter the maximum DGD (differential group delay) at the target reach</t>
  </si>
  <si>
    <t>In SMF case, Effective fibre bandwidth Eff.BWm is taken from the above, overriding BWm input</t>
  </si>
  <si>
    <t>Fibre bandwidth assumed to be to -6dBe or -3 dBo point</t>
  </si>
  <si>
    <t>RIN(OMA) now distinguished from RIN, correcting an oversight</t>
  </si>
  <si>
    <t>Modifications over version 2.3.6:</t>
  </si>
  <si>
    <t>OMA</t>
  </si>
  <si>
    <t>Worst extinction ratio now calculated from TX OMA min and Pave max</t>
  </si>
  <si>
    <t>Columns P, "Per", Y, "penalty and Z, "penalty" no longer used.  Equivalent values in boxes Z5, Z1, Z4 are used instead</t>
  </si>
  <si>
    <t xml:space="preserve">  "Per", or "Net ExR pen" is used in Stressed receiver sensitivity column but no longer in Ptotal</t>
  </si>
  <si>
    <t>Note the necessary RIN values are now much more demanding</t>
  </si>
  <si>
    <t>MPN k factor now labelled MPN k(OMA) to make clear that it represents term related to signal/noise not carrier/noise in this model</t>
  </si>
  <si>
    <t>For typical high extinction measurements the difference would have been within the range of measured values</t>
  </si>
  <si>
    <t>Dispersion columns B ("D1", ps/(nm.km) ) and C ("D2", ps/(nm.km) ) replaced by D1.L (ps/nm) and D2.L (ps/nm)</t>
  </si>
  <si>
    <t>Quantity D1 is now held in box B3 and D2 in box Z4.  This change is purely presentational, to show channel dispersion</t>
  </si>
  <si>
    <t>FAQ and notes for use</t>
  </si>
  <si>
    <t>To switch Polarisation Mode Dispersion off, change box O1 from "SMF"</t>
  </si>
  <si>
    <t>This spreadsheet believed to work in Excel 97 and Excel 2000, maybe can be downsaved to Excel 4 with slight loss of formatting of charts</t>
  </si>
  <si>
    <t>If you see #NAME? in many cells, check you have the Analysis ToolPak loaded: Tools &gt; Add-Ins…</t>
  </si>
  <si>
    <t>BLW means baseline wander</t>
  </si>
  <si>
    <t>MN, Pmn are both Modal Noise penalty</t>
  </si>
  <si>
    <t>MPN is mode partition noise</t>
  </si>
  <si>
    <t>MPN k(OMA) is the "k factor" for MPN measured "on an OMA basis" i.e. with regard to the modulated light not the average light level</t>
  </si>
  <si>
    <t>Pwr.Bud.-Conn.Loss means Power Budget - Connector Loss</t>
  </si>
  <si>
    <t>"R. Eye" and TP4 eye opening" refer to a decision time window presently 0.25 UI long, rather than a decision instant</t>
  </si>
  <si>
    <t>Uc is the transmitter wavelength and Uo is the fibre dispersion minimum</t>
  </si>
  <si>
    <t>See</t>
  </si>
  <si>
    <t>Reflection noise formula is intended to follow Krister Fröjdh and Petar Pepeljugoski</t>
  </si>
  <si>
    <t>Because the noise is bounded and may be concentrated at extremes, I have treated it as a source of ISI not random noise</t>
  </si>
  <si>
    <t>Reflection noise factor of 0.6 introduced to avoid undue pessimism.  The value needs further consideration</t>
  </si>
  <si>
    <t>which has always been included in the Pisi (now Pisi') column</t>
  </si>
  <si>
    <t>Source spectral width reduced to 0.2 nm in line with draft 3.1</t>
  </si>
  <si>
    <t>Cell G11 predicts eye opening at Tx, allowing for risetime, DCD, DJ, RIN</t>
  </si>
  <si>
    <t>Tx mask</t>
  </si>
  <si>
    <t>X1=</t>
  </si>
  <si>
    <t>X2=</t>
  </si>
  <si>
    <t>Y1=</t>
  </si>
  <si>
    <t>P Eye</t>
  </si>
  <si>
    <t>There are two new jitter penalty columns, calculating DJ penalty at eye centre and at eye corners</t>
  </si>
  <si>
    <t>Somewhat confusingly, these do not include the DCD penalty,</t>
  </si>
  <si>
    <t>Column K, "P eye corners" should be the same as previous column "R.eye".</t>
  </si>
  <si>
    <t>This is because unless RIN is very large it has quite a small effect, being drowned by Rx noise</t>
  </si>
  <si>
    <t>A pictorial "noiseless eye mask" has been added</t>
  </si>
  <si>
    <t>Method of calculation of jitter penalty is just like the TP4 eye opening penalty calculation:</t>
  </si>
  <si>
    <t>work out eye height at an offset from centre of eye</t>
  </si>
  <si>
    <t>Draft standard demands 50% (Y1=0.25).  Assumes all BLW is from Rx.  This may not be true but it is the worst case split.</t>
  </si>
  <si>
    <t>Cell G11, Tx eye opening calculation, doesn't include reflection noise</t>
  </si>
  <si>
    <t>Inputs and outputs at top of model sheet re-arranged in groups: Tx, fiber, Rx and so on</t>
  </si>
  <si>
    <t>0.5 to 1.3 dB of jitter penalty found in fast, high jitter case, depending where Rx decision point is: central or at edge.</t>
  </si>
  <si>
    <t>To make spreadsheet easier to follow, now using some names: Q Pmn Vmn kRIN ER Uc SD_blw C_1 B_1</t>
  </si>
  <si>
    <t>Obviously the slow, low jitter case has more ISI but less jitter penalty</t>
  </si>
  <si>
    <t>"Nominal Rx sensitivity" field added</t>
  </si>
  <si>
    <t>850 nm 500 MHz Km tab added</t>
  </si>
  <si>
    <t>Ts is 35 ps not previous 31.5 ps to align with D3.1</t>
  </si>
  <si>
    <t>Test Rx BW</t>
  </si>
  <si>
    <t>T_test_rx(10-90)</t>
  </si>
  <si>
    <t>Test Tc</t>
  </si>
  <si>
    <t>Test erf arg 1b</t>
  </si>
  <si>
    <t>Test erf arg 2b</t>
  </si>
  <si>
    <t>Test closed eye</t>
  </si>
  <si>
    <t>Vrin(2m test)</t>
  </si>
  <si>
    <t>Uw 0.4 nm, ExR 3 dB, OMA -3.6 dBm to align with D3.1</t>
  </si>
  <si>
    <t>TestERpen.</t>
  </si>
  <si>
    <t>Opening</t>
  </si>
  <si>
    <t>(=Tx eye)</t>
  </si>
  <si>
    <t>TP4 Eye</t>
  </si>
  <si>
    <t>reach</t>
  </si>
  <si>
    <t xml:space="preserve">at target </t>
  </si>
  <si>
    <t>Txvr/link</t>
  </si>
  <si>
    <t>test eye diagram generator</t>
  </si>
  <si>
    <t>3.6 dB ISI</t>
  </si>
  <si>
    <t>Eye is quoted in % of full height (calculating "eye margin" is too complicated)</t>
  </si>
  <si>
    <t>change box L2 from "SMF"</t>
  </si>
  <si>
    <t>Min. Tx power OMA=</t>
  </si>
  <si>
    <t>"standard wavelength" of 1310 nm rather than 1300 nm</t>
  </si>
  <si>
    <t>This change makes the Patt column show 5 dB attenuation at 10 km, 1310 nm, 0.5.dB/km nominal attenuation, as desired.</t>
  </si>
  <si>
    <t>&lt;Ptotal</t>
  </si>
  <si>
    <t>Preflection</t>
  </si>
  <si>
    <t xml:space="preserve">&amp; Refl. </t>
  </si>
  <si>
    <t>Rx sens</t>
  </si>
  <si>
    <t>NomSens OMA</t>
  </si>
  <si>
    <t>test erf arg 1c</t>
  </si>
  <si>
    <t>test erf arg 2c</t>
  </si>
  <si>
    <t>test ISI(DJ)</t>
  </si>
  <si>
    <t>test ISI(DJ,RN2dB)</t>
  </si>
  <si>
    <t>Change of definition for Stressed receiver sensitivity</t>
  </si>
  <si>
    <t>To give the same margin in the stressed and unstressed receiver sensitivity,</t>
  </si>
  <si>
    <t>stressed Rx sens. is now calculated as:</t>
  </si>
  <si>
    <t>Vertical eye closure (ISI) and DJ penalties are not included: they are part of the stressed eye</t>
  </si>
  <si>
    <t>Effective RIN test ISI(DJ)</t>
  </si>
  <si>
    <t>the 3-dB optical bandwidth of a Gaussian filter  (0.1292/0.187)^2.</t>
  </si>
  <si>
    <t>Effect of RIN was probably still in error as integrated over {Tx and fibre} bandwidth Tc not fibre bandwidth Te alone: see below</t>
  </si>
  <si>
    <t>"Max ave. Tx power" renamed as "Worst" Tx power and reduced to give minimum extinction ratio of draft standard</t>
  </si>
  <si>
    <t>Any sinusoidal jitter is included in the DJ</t>
  </si>
  <si>
    <t>By theory, it should be about 0.74 = 1/sqrt(2) * factor of 1.05 for the difference between noise bandwidth and the measure used here</t>
  </si>
  <si>
    <t>In the RIN variance bandwidth calculation, the prefix 0.477 in front of the 1/($T$5)^2 is</t>
  </si>
  <si>
    <t>the squared ratio between the 3-dB electrical bandwidth of a Raised Cosine filter and</t>
  </si>
  <si>
    <t>3.6 dB ISI limit shown on eye</t>
  </si>
  <si>
    <t>Baseline wander is treated as the receiver's problem</t>
  </si>
  <si>
    <t>Tx OMA - Total attenuation - penalties for MPN, RIN, RN, MN - (margin calculated at target reach)</t>
  </si>
  <si>
    <t>Layout improvements to improve ease of use</t>
  </si>
  <si>
    <t>Format and appearance</t>
  </si>
  <si>
    <t>"System level" model, focus on TP3 not TP4</t>
  </si>
  <si>
    <t>Most optical powers on OMA basis</t>
  </si>
  <si>
    <t>Includes reflection noise (interferometric noise)</t>
  </si>
  <si>
    <t xml:space="preserve">Added a deterministic jitter input and reduced "TP4" to 0.2 UI (eye length at 10G: was 0.25 UI at 1 G) </t>
  </si>
  <si>
    <t>TP4 is stll mentioned, and some penalties are calculated at eye corners, but these are not used in the overall margin result</t>
  </si>
  <si>
    <t>Modal noise treated like other signal-borne noises</t>
  </si>
  <si>
    <t>Modal noise is now an input to Pcross to allow for nonlinear addition with other random noise penalties</t>
  </si>
  <si>
    <t>The 14 ps value is my guess: needs confirmation by WWDM team</t>
  </si>
  <si>
    <t>DCD values are now for TP3 (6, 7.7 or 14 ps) rather than TP4 (8, 9.7 or 20.5 ps).</t>
  </si>
  <si>
    <t>Separate test receiver, "product" receiver and RIN test receiver bandwidths</t>
  </si>
  <si>
    <t>Boxes T5, W5, W6.  Test receiver is used for eye mask.</t>
  </si>
  <si>
    <t>Case by case changes to follow changes up to 802.3ae D3.1 and serial track comment resolution thereof</t>
  </si>
  <si>
    <t>DJ, RIN12OMA revised to D3.1 values</t>
  </si>
  <si>
    <t>All</t>
  </si>
  <si>
    <t>"Tx mask top" and "TP4 eye" (formerly "Rec Eye" and "Effective Rec Eye") now 0.2 UI not 0.25 UI</t>
  </si>
  <si>
    <t>SR/SW</t>
  </si>
  <si>
    <t>"Product" receiver bandwidth is not subject to specification</t>
  </si>
  <si>
    <t xml:space="preserve">Stressed Rx sensitivity and all penalties now calculated on a "system spec" basis, i.e at eye centre: </t>
  </si>
  <si>
    <t>Revision to RIN penalty</t>
  </si>
  <si>
    <t>Changed RIN bandwidth calculation to not include effect of laser driver, which is upstream of source of RIN</t>
  </si>
  <si>
    <t>Minor bug fix to attenuation formula</t>
  </si>
  <si>
    <t>C_att formula in SMF pages now uses constant 1.4846 dB/km, representing</t>
  </si>
  <si>
    <t>the penalty goes up as ISI increases</t>
  </si>
  <si>
    <t>Now the RIN variance still goes down with length or reduced bandwidth (ISI) but, like baseline wander,</t>
  </si>
  <si>
    <t>Signal to Noise ratio at TP4 caused by RIN is ISI-reduced eye opening / bandwidth-filtered noise.  The ISI part had been forgotten.</t>
  </si>
  <si>
    <t>Revisions 22 June to 9 Aug 01</t>
  </si>
  <si>
    <t>To avoid over-pessimism, calculation allows for reduction of signal by the</t>
  </si>
  <si>
    <t>RIN measurement bandwidth specified, with mixed pattern.</t>
  </si>
  <si>
    <t>http://www.ieee802.org/3/ae/public/adhoc/serial_pmd/documents/</t>
  </si>
  <si>
    <t>1310 serial</t>
  </si>
  <si>
    <t>1300 WWDM</t>
  </si>
  <si>
    <t>at the eye corners the total penalty (Ptot corners) is flat with DJ/rise trade off.</t>
  </si>
  <si>
    <t>Outside of the 0.2 UI window, the trade-off is reversed.</t>
  </si>
  <si>
    <t>To find the "worst case" that passes the eye mask, adjust Ts, DJ and RIN to get eye height of 50%</t>
  </si>
  <si>
    <t>DJ values included</t>
  </si>
  <si>
    <t>Reflection noise included</t>
  </si>
  <si>
    <t>Minimum wavelength reduced to 1269 nm, reflection noise included</t>
  </si>
  <si>
    <t>Disp.  D1=</t>
  </si>
  <si>
    <t>Disp.  So=</t>
  </si>
  <si>
    <t>ps TP3</t>
  </si>
  <si>
    <t>ERF arg 1</t>
  </si>
  <si>
    <t>ERF arg 2</t>
  </si>
  <si>
    <t>For stressed eye</t>
  </si>
  <si>
    <t>V.E.C.P.</t>
  </si>
  <si>
    <t>Net Ext R pen Per</t>
  </si>
  <si>
    <t>Stressed test "Vertical eye closure penalty" calculated (V.E.C.P.)</t>
  </si>
  <si>
    <t>At 1550 nm, the user also has to ensure that box W11, "Vertical eye closure penalty", is &lt;3 dB.</t>
  </si>
  <si>
    <t>I believe that VECP is precisely the same as Clause 52's transmitter and dispersion penalty (TDP)</t>
  </si>
  <si>
    <t>rel. variance into test Rx</t>
  </si>
  <si>
    <t>Correction to Vrin(2m test), in line with other Vrin but uses bandwidth of test Rx</t>
  </si>
  <si>
    <t>may be without RIN but with more DJ or slower risetime</t>
  </si>
  <si>
    <t>The worst case margin may be with maximum RIN and an eye just 50% high (just meets the mask), BUT</t>
  </si>
  <si>
    <t>Modifications over version 3.1.10</t>
  </si>
  <si>
    <t>Eye height calculation now uses Tx mask top not TP4 eye as input: no difference seen as numbers were the same</t>
  </si>
  <si>
    <t>Stressed sensitivity power now allows for half of Pcross, as both transmitter and receiver contribute to it</t>
  </si>
  <si>
    <t>1310 and 1550 serial pages have rise times chosen to meet spec criteria (eye, VECP)</t>
  </si>
  <si>
    <t>Correction to RIN element of test eye opening calculation</t>
  </si>
  <si>
    <t>The calculated worst case at eye centre is with low DJ and slow risetime, but</t>
  </si>
  <si>
    <t>So "which is worst in real life" will depend on receiver eye centring and tolerance to jitter</t>
  </si>
  <si>
    <t>No change to numbers but makes it easier to do triple trade off calculations</t>
  </si>
  <si>
    <t>Nom. Rx sensitivity is now an input, Power budget P is derived from this.</t>
  </si>
  <si>
    <t>1310 serial's minimum wavelength reduced from 1265 to 1260 nm</t>
  </si>
  <si>
    <t>850 nm RIN values chosen to give 0 eye margin.</t>
  </si>
  <si>
    <t>Updated 1550 nm Rx nom. sensitivity from -16.39 to -15.39 following D3.2</t>
  </si>
  <si>
    <t>850 nm additional insertion losses revised following D3.2</t>
  </si>
  <si>
    <t>Updated 1310 nm Rx nom. sensitivity to -13.23 following D3.3</t>
  </si>
  <si>
    <t>Modifications over version 3.1.14 (in red)</t>
  </si>
  <si>
    <t>Correction to stressed receive sensitivity where modal noise had been double counted</t>
  </si>
  <si>
    <t>MPN k factor reduced to 0.3 (850 nm), 0.5 nm (LX4, 1300 nm WWDM)</t>
  </si>
  <si>
    <t>3.2/3</t>
  </si>
  <si>
    <t>Factor x Vrin used in eye mask calculation changed from 3 to 2.519/Swing representing 1 in 200</t>
  </si>
  <si>
    <t>Effective RIN test ISI factor set to 1 representing choice of (slow) square wave in RIN measurement</t>
  </si>
  <si>
    <t>RINxOMA changed to 130 dB/Hz for all serial cases</t>
  </si>
  <si>
    <t>Date of file</t>
  </si>
  <si>
    <t>Modifications over version 3.1.15 (in plum)</t>
  </si>
  <si>
    <t>LX4 parameter values updated and DJ reinstated</t>
  </si>
  <si>
    <t>10 km attenuation reduced to 0.4 dB/km</t>
  </si>
  <si>
    <t>DJ set equal to DCD in all cases: no additional DJ</t>
  </si>
  <si>
    <t>Sheets for 30 km and 40 km (engineered link) 1550 nm</t>
  </si>
  <si>
    <t>1550 rise times and spectral width chosen for zero Tx eye margin and 3 dB VECP over 40 km</t>
  </si>
  <si>
    <t>62.5um attenuation at 850 um changed (back) from 3.5 to 3.75 dB/km.  Negligible effect</t>
  </si>
  <si>
    <t>62.5um modal noise at 850 um changed (back) from 0.3 to 0.15 dB</t>
  </si>
  <si>
    <t>Disused cells relating to RIN test measurement bandwidth removed</t>
  </si>
  <si>
    <t>Clarification of "RMS width": see below</t>
  </si>
  <si>
    <t>Meaning of Uw (cell B7): Uw is the "rms spectral width"</t>
  </si>
  <si>
    <t>IEEE Draft P802.3ae/D3.3 clause 52 states: "RMS spectral width is the standard deviation of the spectrum."</t>
  </si>
  <si>
    <t>It will be apparent that this measure is a half width, not a full width</t>
  </si>
  <si>
    <t>Uw (see notes)</t>
  </si>
  <si>
    <t>ISI is Inter Symbol Interference.  This is calculated taking DCD into account</t>
  </si>
  <si>
    <t>http://www.ieee802.org/3/ae/public/oct01/dawe_1_1001.pdf</t>
  </si>
  <si>
    <t>Risetimes left as previously: chosen for worst eye or VECP variously high/low RIN</t>
  </si>
  <si>
    <t xml:space="preserve">     (as worst margin) for high DJ - then extra DJ turned off</t>
  </si>
  <si>
    <t>But see below</t>
  </si>
  <si>
    <t>Modifications over version 2.4.1 (in green):</t>
  </si>
  <si>
    <t>P_DJ is generally not used.  It is an estimate of the deterministic eye closure penalty caused by DJ additional to DCD</t>
  </si>
  <si>
    <t>V.E.C.P. is vertical eye closure penalty: synonymous with Pisi or (if used) Pisi + P_DJ)</t>
  </si>
  <si>
    <t>10GEPBud3_1_16a.xls</t>
  </si>
  <si>
    <t xml:space="preserve">  FAQ and user notes are after Change History.</t>
  </si>
  <si>
    <t>http://www.ieee802.org/3/efm/public/sep01/dawe_1_0901.pdf</t>
  </si>
  <si>
    <t>for introduction and references</t>
  </si>
  <si>
    <t>3.1.16a</t>
  </si>
  <si>
    <t>Name change to 3.1.16a to avoid possible confusion</t>
  </si>
  <si>
    <t>for an introduction and reference list</t>
  </si>
  <si>
    <t>Latest spec parameter values from D3.2 comment resolution (may be incomplete)</t>
  </si>
  <si>
    <t>for 10GE, receiver eye opening penalty is now an implementer issue not a standards one</t>
  </si>
  <si>
    <t>Accounts for deterministic jitter (not used in all examples)</t>
  </si>
  <si>
    <t>According to IEEE Std 802.3, 1.4.238, rms Spectral Width is the optical wavelength range as measured</t>
  </si>
  <si>
    <t>by ANSI/EIA/TIA 455-127-1991 (FOTP-127)</t>
  </si>
  <si>
    <t>850 nm triple trade off pivot point changed to 0.29 nm, 7.3 dB budget on 2000 MHz.km fibre per resolution</t>
  </si>
  <si>
    <t xml:space="preserve"> to D3.2 comment 190 </t>
  </si>
  <si>
    <t>Simplification of stressed receive sensitivity in agreement with</t>
  </si>
  <si>
    <t>This spreadsheet aims to represent the optoelectronics in 802.3ae draft 3.2/3.3</t>
  </si>
  <si>
    <t xml:space="preserve"> </t>
  </si>
  <si>
    <t>k(DJ)</t>
  </si>
  <si>
    <t>Q(@Jn)</t>
  </si>
  <si>
    <r>
      <t xml:space="preserve">TP1, TP4 &amp; Jitter Extension: </t>
    </r>
    <r>
      <rPr>
        <u/>
        <sz val="12"/>
        <rFont val="Arial"/>
        <family val="2"/>
      </rPr>
      <t>J Petrilla Avago Technologies</t>
    </r>
  </si>
  <si>
    <t>TP1 RJ, UI =</t>
  </si>
  <si>
    <t>TP3 DJ wo ISI, UI =</t>
  </si>
  <si>
    <t>TP3.5 DJisi, UI =</t>
  </si>
  <si>
    <t>Cum RJ(TP4), UI =</t>
  </si>
  <si>
    <t>RJ(link noise), UI =</t>
  </si>
  <si>
    <t>TP4 Eye Width, UI =</t>
  </si>
  <si>
    <t>TP4 J9, UI =</t>
  </si>
  <si>
    <t>TP4 J2, UI =</t>
  </si>
  <si>
    <t>TP1 DJ, UI =</t>
  </si>
  <si>
    <t>DJ+TP4eye</t>
  </si>
  <si>
    <t>Peye</t>
  </si>
  <si>
    <t>TP3 DJ</t>
  </si>
  <si>
    <t>BER =</t>
  </si>
  <si>
    <t>Reach</t>
  </si>
  <si>
    <t>m</t>
  </si>
  <si>
    <t>TP1 RJrms, UI =</t>
  </si>
  <si>
    <t>TP1 RJ(@BER), UI =</t>
  </si>
  <si>
    <t>TP4 TJ(@BER), UI =</t>
  </si>
  <si>
    <t>ps for BER=E-12</t>
  </si>
  <si>
    <t xml:space="preserve">DJ at TP4, UI = </t>
  </si>
  <si>
    <t>Qjit@BER</t>
  </si>
  <si>
    <t>Qjit@BER=E-12</t>
  </si>
  <si>
    <t>This version adds extensions to 10GEPBud3_1_16a that provide for inclusion of TP1 jitter allocations and estimates of jitter and eye width at TP4.</t>
  </si>
  <si>
    <t>The tab Base includes entries in cells A39:H52 to provide for calculation of TP4 jitter.  These calculations are based on row 28 being aligned with the target reach and for link margin, cell W28, = 0.</t>
  </si>
  <si>
    <t>Base tab cell G7 has been redefined as the combined DJ at TP3, Rx contributed DJ, RJ at TP1 &amp; target TP4 eye width.  The 'DJ at TP3' value is now entered (in units of UI instead of ps) in cell F44.</t>
  </si>
  <si>
    <t xml:space="preserve">Base(c) tab is slaved to the Base tab except it maintains the original definition of  cell G7, DJ at TP3. </t>
  </si>
  <si>
    <t xml:space="preserve"> The difference in the link penalties between the tabs Base and Base(c) yields the power required for the target TP4 eye, Peye.</t>
  </si>
  <si>
    <t>To account for Peye in the calculation of Stressed Rx Sens OMA, the value in tab Base(c) cell W3 is zeroed out.</t>
  </si>
  <si>
    <t>The equations in AQ18:27 and AQ29:38 were corrected.</t>
  </si>
  <si>
    <t>See"10GbE Notes" tab for 10GEPBud3_1_16a notes.</t>
  </si>
  <si>
    <t>Example PSM Link Model Notes</t>
  </si>
  <si>
    <t>To match the definition of VECP in Clause 52, calculations were added to Base(c) tab cells W12 &amp; W13 to account for included noise.</t>
  </si>
  <si>
    <t>Tab 1310S is included unchanged from 10GEPBud3_1_16a for reference.</t>
  </si>
  <si>
    <t xml:space="preserve">ExamplePSM LinkModel 121105 prep'd for 802.3bm use as an example of an PSM link model based on 10GEPBud3_1_16a </t>
  </si>
</sst>
</file>

<file path=xl/styles.xml><?xml version="1.0" encoding="utf-8"?>
<styleSheet xmlns="http://schemas.openxmlformats.org/spreadsheetml/2006/main">
  <numFmts count="15">
    <numFmt numFmtId="43" formatCode="_(* #,##0.00_);_(* \(#,##0.00\);_(* &quot;-&quot;??_);_(@_)"/>
    <numFmt numFmtId="164" formatCode="0.0"/>
    <numFmt numFmtId="165" formatCode="0.000"/>
    <numFmt numFmtId="166" formatCode="0.0E+00"/>
    <numFmt numFmtId="167" formatCode="###0.0##"/>
    <numFmt numFmtId="168" formatCode="0.##"/>
    <numFmt numFmtId="169" formatCode="0.00#"/>
    <numFmt numFmtId="170" formatCode="0.0%"/>
    <numFmt numFmtId="171" formatCode="0.0000"/>
    <numFmt numFmtId="172" formatCode="0.00000"/>
    <numFmt numFmtId="173" formatCode="###0.0#"/>
    <numFmt numFmtId="174" formatCode="0E+00"/>
    <numFmt numFmtId="175" formatCode="0.##E+0"/>
    <numFmt numFmtId="176" formatCode="###0.0###"/>
    <numFmt numFmtId="177" formatCode="[$-409]dd\-mmm\-yy;@"/>
  </numFmts>
  <fonts count="87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14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11"/>
      <color indexed="23"/>
      <name val="Arial"/>
      <family val="2"/>
    </font>
    <font>
      <sz val="12"/>
      <color indexed="23"/>
      <name val="Arial"/>
      <family val="2"/>
    </font>
    <font>
      <sz val="12"/>
      <color indexed="14"/>
      <name val="Arial"/>
      <family val="2"/>
    </font>
    <font>
      <b/>
      <sz val="12"/>
      <color indexed="23"/>
      <name val="Arial"/>
      <family val="2"/>
    </font>
    <font>
      <b/>
      <sz val="12"/>
      <name val="Arial"/>
      <family val="2"/>
    </font>
    <font>
      <sz val="11"/>
      <color indexed="55"/>
      <name val="Arial"/>
      <family val="2"/>
    </font>
    <font>
      <vertAlign val="subscript"/>
      <sz val="12"/>
      <color indexed="23"/>
      <name val="Arial"/>
      <family val="2"/>
    </font>
    <font>
      <sz val="12"/>
      <color indexed="10"/>
      <name val="Arial"/>
      <family val="2"/>
    </font>
    <font>
      <sz val="12"/>
      <color indexed="57"/>
      <name val="Arial"/>
      <family val="2"/>
    </font>
    <font>
      <sz val="12"/>
      <color indexed="12"/>
      <name val="Arial"/>
      <family val="2"/>
    </font>
    <font>
      <sz val="12"/>
      <color indexed="55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indexed="55"/>
      <name val="Arial"/>
      <family val="2"/>
    </font>
    <font>
      <u/>
      <sz val="12"/>
      <color indexed="12"/>
      <name val="Arial"/>
      <family val="2"/>
    </font>
    <font>
      <b/>
      <sz val="11"/>
      <color indexed="10"/>
      <name val="Arial"/>
      <family val="2"/>
    </font>
    <font>
      <i/>
      <sz val="12"/>
      <name val="Arial"/>
      <family val="2"/>
    </font>
    <font>
      <i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4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7"/>
      <name val="Arial"/>
      <family val="2"/>
    </font>
    <font>
      <b/>
      <sz val="10"/>
      <color indexed="17"/>
      <name val="Arial"/>
      <family val="2"/>
    </font>
    <font>
      <sz val="11"/>
      <color indexed="17"/>
      <name val="Arial"/>
      <family val="2"/>
    </font>
    <font>
      <sz val="12"/>
      <color indexed="17"/>
      <name val="Arial"/>
      <family val="2"/>
    </font>
    <font>
      <b/>
      <sz val="12"/>
      <color indexed="17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sz val="12"/>
      <color indexed="17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2"/>
      <color indexed="61"/>
      <name val="Arial"/>
      <family val="2"/>
    </font>
    <font>
      <b/>
      <sz val="10"/>
      <color indexed="61"/>
      <name val="Arial"/>
      <family val="2"/>
    </font>
    <font>
      <sz val="10"/>
      <color indexed="61"/>
      <name val="Arial"/>
      <family val="2"/>
    </font>
    <font>
      <sz val="12"/>
      <color indexed="61"/>
      <name val="Arial"/>
      <family val="2"/>
    </font>
    <font>
      <sz val="11"/>
      <color indexed="61"/>
      <name val="Arial"/>
      <family val="2"/>
    </font>
    <font>
      <u/>
      <sz val="12"/>
      <color indexed="17"/>
      <name val="Arial"/>
      <family val="2"/>
    </font>
    <font>
      <b/>
      <u/>
      <sz val="10"/>
      <color indexed="12"/>
      <name val="Arial"/>
      <family val="2"/>
    </font>
    <font>
      <sz val="10"/>
      <name val="Arial Narrow"/>
      <family val="2"/>
    </font>
    <font>
      <sz val="9"/>
      <name val="Arial Narrow"/>
      <family val="2"/>
    </font>
    <font>
      <b/>
      <sz val="12"/>
      <color rgb="FFCC00CC"/>
      <name val="Arial"/>
      <family val="2"/>
    </font>
    <font>
      <sz val="12"/>
      <color rgb="FFCC00CC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color indexed="16"/>
      <name val="Arial"/>
      <family val="2"/>
    </font>
    <font>
      <sz val="12"/>
      <name val="Arial Narrow"/>
      <family val="2"/>
    </font>
    <font>
      <b/>
      <sz val="12"/>
      <color rgb="FFC00000"/>
      <name val="Arial"/>
      <family val="2"/>
    </font>
    <font>
      <b/>
      <sz val="12"/>
      <color rgb="FF0000FF"/>
      <name val="Arial"/>
      <family val="2"/>
    </font>
    <font>
      <sz val="11"/>
      <name val="Arial Narrow"/>
      <family val="2"/>
    </font>
    <font>
      <sz val="11"/>
      <color indexed="17"/>
      <name val="Arial Narrow"/>
      <family val="2"/>
    </font>
    <font>
      <b/>
      <sz val="11"/>
      <name val="Arial Narrow"/>
      <family val="2"/>
    </font>
    <font>
      <sz val="11"/>
      <color indexed="8"/>
      <name val="Arial Narrow"/>
      <family val="2"/>
    </font>
    <font>
      <b/>
      <sz val="11"/>
      <color indexed="10"/>
      <name val="Arial Narrow"/>
      <family val="2"/>
    </font>
    <font>
      <sz val="10"/>
      <name val="MS Sans Serif"/>
      <family val="2"/>
    </font>
    <font>
      <u/>
      <sz val="11"/>
      <color indexed="12"/>
      <name val="Arial Narrow"/>
      <family val="2"/>
    </font>
    <font>
      <b/>
      <sz val="11"/>
      <color indexed="8"/>
      <name val="Arial Narrow"/>
      <family val="2"/>
    </font>
    <font>
      <b/>
      <sz val="12"/>
      <name val="Arial Narrow"/>
      <family val="2"/>
    </font>
    <font>
      <sz val="11"/>
      <color theme="0" tint="-0.14999847407452621"/>
      <name val="Arial"/>
      <family val="2"/>
    </font>
    <font>
      <sz val="12"/>
      <color theme="0" tint="-0.14999847407452621"/>
      <name val="Arial"/>
      <family val="2"/>
    </font>
    <font>
      <b/>
      <sz val="12"/>
      <color theme="0" tint="-0.14999847407452621"/>
      <name val="Arial"/>
      <family val="2"/>
    </font>
    <font>
      <b/>
      <sz val="12"/>
      <color indexed="17"/>
      <name val="Arial Narrow"/>
      <family val="2"/>
    </font>
    <font>
      <sz val="12"/>
      <color indexed="17"/>
      <name val="Arial Narrow"/>
      <family val="2"/>
    </font>
    <font>
      <b/>
      <sz val="11"/>
      <color rgb="FF0000FF"/>
      <name val="Arial Narrow"/>
      <family val="2"/>
    </font>
    <font>
      <b/>
      <sz val="11"/>
      <color rgb="FF7030A0"/>
      <name val="Arial Narrow"/>
      <family val="2"/>
    </font>
    <font>
      <b/>
      <sz val="12"/>
      <color rgb="FF7030A0"/>
      <name val="Arial Narrow"/>
      <family val="2"/>
    </font>
    <font>
      <b/>
      <sz val="12"/>
      <color rgb="FF7030A0"/>
      <name val="Arial"/>
      <family val="2"/>
    </font>
    <font>
      <sz val="11"/>
      <color theme="0" tint="-0.249977111117893"/>
      <name val="Arial"/>
      <family val="2"/>
    </font>
    <font>
      <sz val="12"/>
      <color theme="0" tint="-0.249977111117893"/>
      <name val="Arial"/>
      <family val="2"/>
    </font>
    <font>
      <b/>
      <sz val="12"/>
      <color theme="0" tint="-0.249977111117893"/>
      <name val="Arial"/>
      <family val="2"/>
    </font>
    <font>
      <sz val="9"/>
      <color indexed="8"/>
      <name val="Arial Narrow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9" fillId="0" borderId="0"/>
  </cellStyleXfs>
  <cellXfs count="846">
    <xf numFmtId="0" fontId="0" fillId="0" borderId="0" xfId="0"/>
    <xf numFmtId="0" fontId="5" fillId="0" borderId="1" xfId="2" applyFont="1" applyBorder="1" applyAlignment="1">
      <alignment horizontal="left"/>
    </xf>
    <xf numFmtId="0" fontId="5" fillId="0" borderId="2" xfId="2" applyFont="1" applyBorder="1" applyAlignment="1"/>
    <xf numFmtId="0" fontId="6" fillId="0" borderId="2" xfId="2" applyNumberFormat="1" applyFont="1" applyBorder="1" applyAlignment="1" applyProtection="1">
      <protection locked="0"/>
    </xf>
    <xf numFmtId="15" fontId="5" fillId="0" borderId="1" xfId="2" applyNumberFormat="1" applyFont="1" applyBorder="1" applyAlignment="1">
      <alignment horizontal="right"/>
    </xf>
    <xf numFmtId="0" fontId="6" fillId="0" borderId="3" xfId="2" applyNumberFormat="1" applyFont="1" applyBorder="1" applyAlignment="1" applyProtection="1">
      <protection locked="0"/>
    </xf>
    <xf numFmtId="2" fontId="5" fillId="0" borderId="3" xfId="2" applyNumberFormat="1" applyFont="1" applyBorder="1" applyAlignment="1">
      <alignment horizontal="right"/>
    </xf>
    <xf numFmtId="0" fontId="6" fillId="0" borderId="0" xfId="2" applyNumberFormat="1" applyFont="1" applyBorder="1" applyAlignment="1" applyProtection="1">
      <protection locked="0"/>
    </xf>
    <xf numFmtId="0" fontId="5" fillId="0" borderId="0" xfId="2" applyFont="1" applyBorder="1" applyAlignment="1"/>
    <xf numFmtId="0" fontId="3" fillId="0" borderId="0" xfId="2" applyNumberFormat="1" applyFont="1" applyBorder="1" applyAlignment="1" applyProtection="1">
      <protection locked="0"/>
    </xf>
    <xf numFmtId="1" fontId="5" fillId="0" borderId="0" xfId="2" applyNumberFormat="1" applyFont="1" applyBorder="1" applyAlignment="1"/>
    <xf numFmtId="0" fontId="6" fillId="0" borderId="4" xfId="2" applyNumberFormat="1" applyFont="1" applyBorder="1" applyAlignment="1" applyProtection="1">
      <protection locked="0"/>
    </xf>
    <xf numFmtId="2" fontId="7" fillId="0" borderId="5" xfId="2" applyNumberFormat="1" applyFont="1" applyBorder="1" applyAlignment="1">
      <alignment horizontal="center"/>
    </xf>
    <xf numFmtId="0" fontId="3" fillId="0" borderId="0" xfId="2" applyNumberFormat="1" applyFont="1" applyAlignment="1" applyProtection="1">
      <protection locked="0"/>
    </xf>
    <xf numFmtId="0" fontId="9" fillId="0" borderId="0" xfId="2" applyFont="1" applyAlignment="1"/>
    <xf numFmtId="2" fontId="5" fillId="0" borderId="0" xfId="2" applyNumberFormat="1" applyFont="1" applyBorder="1" applyAlignment="1"/>
    <xf numFmtId="2" fontId="11" fillId="0" borderId="0" xfId="2" applyNumberFormat="1" applyFont="1" applyBorder="1" applyAlignment="1"/>
    <xf numFmtId="0" fontId="12" fillId="0" borderId="0" xfId="2" applyNumberFormat="1" applyFont="1" applyAlignment="1" applyProtection="1">
      <protection locked="0"/>
    </xf>
    <xf numFmtId="2" fontId="5" fillId="2" borderId="0" xfId="2" applyNumberFormat="1" applyFont="1" applyFill="1" applyBorder="1" applyAlignment="1"/>
    <xf numFmtId="0" fontId="3" fillId="0" borderId="0" xfId="2" applyNumberFormat="1" applyFont="1" applyAlignment="1" applyProtection="1">
      <alignment horizontal="center"/>
      <protection locked="0"/>
    </xf>
    <xf numFmtId="0" fontId="13" fillId="0" borderId="0" xfId="2" applyNumberFormat="1" applyFont="1" applyBorder="1" applyAlignment="1"/>
    <xf numFmtId="0" fontId="15" fillId="0" borderId="0" xfId="2" applyNumberFormat="1" applyFont="1" applyBorder="1" applyAlignment="1"/>
    <xf numFmtId="2" fontId="13" fillId="0" borderId="0" xfId="2" applyNumberFormat="1" applyFont="1" applyBorder="1" applyAlignment="1" applyProtection="1">
      <protection locked="0"/>
    </xf>
    <xf numFmtId="0" fontId="12" fillId="0" borderId="0" xfId="2" applyNumberFormat="1" applyFont="1" applyBorder="1" applyAlignment="1" applyProtection="1">
      <protection locked="0"/>
    </xf>
    <xf numFmtId="0" fontId="7" fillId="0" borderId="0" xfId="2" applyFont="1" applyBorder="1" applyAlignment="1">
      <alignment horizontal="right"/>
    </xf>
    <xf numFmtId="0" fontId="10" fillId="0" borderId="0" xfId="2" applyNumberFormat="1" applyFont="1" applyBorder="1" applyAlignment="1" applyProtection="1">
      <alignment horizontal="right"/>
      <protection locked="0"/>
    </xf>
    <xf numFmtId="0" fontId="16" fillId="0" borderId="0" xfId="2" applyNumberFormat="1" applyFont="1" applyBorder="1" applyAlignment="1" applyProtection="1">
      <protection locked="0"/>
    </xf>
    <xf numFmtId="0" fontId="12" fillId="0" borderId="0" xfId="2" applyFont="1" applyAlignment="1">
      <alignment horizontal="center"/>
    </xf>
    <xf numFmtId="0" fontId="3" fillId="0" borderId="5" xfId="2" applyNumberFormat="1" applyFont="1" applyBorder="1" applyAlignment="1" applyProtection="1">
      <protection locked="0"/>
    </xf>
    <xf numFmtId="2" fontId="5" fillId="2" borderId="5" xfId="2" applyNumberFormat="1" applyFont="1" applyFill="1" applyBorder="1" applyAlignment="1"/>
    <xf numFmtId="2" fontId="5" fillId="0" borderId="5" xfId="2" applyNumberFormat="1" applyFont="1" applyBorder="1" applyAlignment="1"/>
    <xf numFmtId="2" fontId="7" fillId="0" borderId="0" xfId="2" applyNumberFormat="1" applyFont="1" applyBorder="1" applyAlignment="1">
      <alignment horizontal="center"/>
    </xf>
    <xf numFmtId="0" fontId="12" fillId="0" borderId="0" xfId="2" applyFont="1" applyBorder="1" applyAlignment="1">
      <alignment horizontal="right"/>
    </xf>
    <xf numFmtId="0" fontId="13" fillId="0" borderId="0" xfId="2" applyNumberFormat="1" applyFont="1" applyBorder="1" applyAlignment="1">
      <alignment horizontal="right"/>
    </xf>
    <xf numFmtId="0" fontId="12" fillId="0" borderId="5" xfId="2" applyFont="1" applyBorder="1" applyAlignment="1">
      <alignment horizontal="center"/>
    </xf>
    <xf numFmtId="0" fontId="17" fillId="0" borderId="5" xfId="2" applyNumberFormat="1" applyFont="1" applyBorder="1" applyAlignment="1" applyProtection="1">
      <protection locked="0"/>
    </xf>
    <xf numFmtId="0" fontId="17" fillId="0" borderId="5" xfId="2" applyFont="1" applyBorder="1" applyAlignment="1"/>
    <xf numFmtId="0" fontId="12" fillId="0" borderId="5" xfId="2" applyFont="1" applyBorder="1" applyAlignment="1">
      <alignment horizontal="right"/>
    </xf>
    <xf numFmtId="0" fontId="12" fillId="0" borderId="5" xfId="2" applyNumberFormat="1" applyFont="1" applyBorder="1" applyAlignment="1">
      <alignment horizontal="right"/>
    </xf>
    <xf numFmtId="165" fontId="5" fillId="0" borderId="6" xfId="2" applyNumberFormat="1" applyFont="1" applyBorder="1" applyAlignment="1">
      <alignment horizontal="center"/>
    </xf>
    <xf numFmtId="2" fontId="5" fillId="0" borderId="2" xfId="2" applyNumberFormat="1" applyFont="1" applyBorder="1" applyAlignment="1"/>
    <xf numFmtId="2" fontId="5" fillId="0" borderId="2" xfId="2" applyNumberFormat="1" applyFont="1" applyBorder="1" applyAlignment="1">
      <alignment horizontal="center"/>
    </xf>
    <xf numFmtId="166" fontId="5" fillId="0" borderId="2" xfId="2" applyNumberFormat="1" applyFont="1" applyBorder="1" applyAlignment="1">
      <alignment horizontal="center"/>
    </xf>
    <xf numFmtId="1" fontId="5" fillId="0" borderId="2" xfId="2" applyNumberFormat="1" applyFont="1" applyBorder="1" applyAlignment="1">
      <alignment horizontal="center"/>
    </xf>
    <xf numFmtId="2" fontId="13" fillId="0" borderId="2" xfId="2" applyNumberFormat="1" applyFont="1" applyBorder="1" applyAlignment="1"/>
    <xf numFmtId="0" fontId="5" fillId="0" borderId="2" xfId="2" applyFont="1" applyBorder="1" applyAlignment="1">
      <alignment horizontal="center"/>
    </xf>
    <xf numFmtId="2" fontId="13" fillId="0" borderId="2" xfId="2" applyNumberFormat="1" applyFont="1" applyBorder="1" applyAlignment="1">
      <alignment horizontal="right"/>
    </xf>
    <xf numFmtId="2" fontId="13" fillId="0" borderId="2" xfId="2" applyNumberFormat="1" applyFont="1" applyBorder="1" applyAlignment="1" applyProtection="1">
      <protection locked="0"/>
    </xf>
    <xf numFmtId="169" fontId="11" fillId="0" borderId="7" xfId="2" applyNumberFormat="1" applyFont="1" applyBorder="1" applyAlignment="1">
      <alignment horizontal="center"/>
    </xf>
    <xf numFmtId="2" fontId="11" fillId="0" borderId="0" xfId="2" applyNumberFormat="1" applyFont="1" applyBorder="1" applyAlignment="1">
      <alignment horizontal="center"/>
    </xf>
    <xf numFmtId="3" fontId="11" fillId="0" borderId="0" xfId="2" applyNumberFormat="1" applyFont="1" applyBorder="1" applyAlignment="1">
      <alignment horizontal="center"/>
    </xf>
    <xf numFmtId="1" fontId="11" fillId="0" borderId="0" xfId="2" applyNumberFormat="1" applyFont="1" applyBorder="1" applyAlignment="1">
      <alignment horizontal="center"/>
    </xf>
    <xf numFmtId="2" fontId="15" fillId="0" borderId="0" xfId="2" applyNumberFormat="1" applyFont="1" applyBorder="1" applyAlignment="1"/>
    <xf numFmtId="2" fontId="11" fillId="0" borderId="0" xfId="2" applyNumberFormat="1" applyFont="1" applyAlignment="1"/>
    <xf numFmtId="0" fontId="11" fillId="0" borderId="0" xfId="2" applyFont="1" applyBorder="1" applyAlignment="1">
      <alignment horizontal="center"/>
    </xf>
    <xf numFmtId="168" fontId="25" fillId="0" borderId="0" xfId="2" applyNumberFormat="1" applyFont="1" applyAlignment="1"/>
    <xf numFmtId="2" fontId="15" fillId="0" borderId="0" xfId="2" applyNumberFormat="1" applyFont="1" applyAlignment="1"/>
    <xf numFmtId="2" fontId="15" fillId="0" borderId="0" xfId="2" applyNumberFormat="1" applyFont="1" applyAlignment="1">
      <alignment horizontal="right"/>
    </xf>
    <xf numFmtId="2" fontId="15" fillId="0" borderId="0" xfId="2" applyNumberFormat="1" applyFont="1" applyBorder="1" applyAlignment="1" applyProtection="1">
      <protection locked="0"/>
    </xf>
    <xf numFmtId="0" fontId="16" fillId="0" borderId="0" xfId="2" applyNumberFormat="1" applyFont="1" applyAlignment="1" applyProtection="1">
      <protection locked="0"/>
    </xf>
    <xf numFmtId="169" fontId="5" fillId="0" borderId="7" xfId="2" applyNumberFormat="1" applyFont="1" applyBorder="1" applyAlignment="1">
      <alignment horizontal="center"/>
    </xf>
    <xf numFmtId="2" fontId="5" fillId="0" borderId="0" xfId="2" applyNumberFormat="1" applyFont="1" applyBorder="1" applyAlignment="1">
      <alignment horizontal="center"/>
    </xf>
    <xf numFmtId="3" fontId="5" fillId="0" borderId="0" xfId="2" applyNumberFormat="1" applyFont="1" applyBorder="1" applyAlignment="1">
      <alignment horizontal="center"/>
    </xf>
    <xf numFmtId="1" fontId="5" fillId="0" borderId="0" xfId="2" applyNumberFormat="1" applyFont="1" applyBorder="1" applyAlignment="1">
      <alignment horizontal="center"/>
    </xf>
    <xf numFmtId="0" fontId="14" fillId="0" borderId="0" xfId="2" applyNumberFormat="1" applyFont="1" applyAlignment="1" applyProtection="1">
      <protection locked="0"/>
    </xf>
    <xf numFmtId="2" fontId="13" fillId="0" borderId="0" xfId="2" applyNumberFormat="1" applyFont="1" applyBorder="1" applyAlignment="1"/>
    <xf numFmtId="2" fontId="5" fillId="0" borderId="0" xfId="2" applyNumberFormat="1" applyFont="1" applyAlignment="1"/>
    <xf numFmtId="0" fontId="5" fillId="0" borderId="0" xfId="2" applyFont="1" applyBorder="1" applyAlignment="1">
      <alignment horizontal="center"/>
    </xf>
    <xf numFmtId="168" fontId="22" fillId="0" borderId="0" xfId="2" applyNumberFormat="1" applyFont="1" applyAlignment="1"/>
    <xf numFmtId="2" fontId="13" fillId="0" borderId="0" xfId="2" applyNumberFormat="1" applyFont="1" applyAlignment="1"/>
    <xf numFmtId="2" fontId="13" fillId="0" borderId="0" xfId="2" applyNumberFormat="1" applyFont="1" applyAlignment="1">
      <alignment horizontal="right"/>
    </xf>
    <xf numFmtId="0" fontId="6" fillId="0" borderId="0" xfId="2" applyNumberFormat="1" applyFont="1" applyAlignment="1" applyProtection="1">
      <protection locked="0"/>
    </xf>
    <xf numFmtId="169" fontId="11" fillId="0" borderId="8" xfId="2" applyNumberFormat="1" applyFont="1" applyBorder="1" applyAlignment="1">
      <alignment horizontal="center"/>
    </xf>
    <xf numFmtId="2" fontId="11" fillId="0" borderId="5" xfId="2" applyNumberFormat="1" applyFont="1" applyBorder="1" applyAlignment="1">
      <alignment horizontal="center"/>
    </xf>
    <xf numFmtId="3" fontId="11" fillId="0" borderId="5" xfId="2" applyNumberFormat="1" applyFont="1" applyBorder="1" applyAlignment="1">
      <alignment horizontal="center"/>
    </xf>
    <xf numFmtId="1" fontId="11" fillId="0" borderId="5" xfId="2" applyNumberFormat="1" applyFont="1" applyBorder="1" applyAlignment="1">
      <alignment horizontal="center"/>
    </xf>
    <xf numFmtId="2" fontId="11" fillId="0" borderId="5" xfId="2" applyNumberFormat="1" applyFont="1" applyBorder="1" applyAlignment="1"/>
    <xf numFmtId="2" fontId="15" fillId="0" borderId="5" xfId="2" applyNumberFormat="1" applyFont="1" applyBorder="1" applyAlignment="1"/>
    <xf numFmtId="0" fontId="11" fillId="0" borderId="5" xfId="2" applyFont="1" applyBorder="1" applyAlignment="1">
      <alignment horizontal="center"/>
    </xf>
    <xf numFmtId="168" fontId="25" fillId="0" borderId="5" xfId="2" applyNumberFormat="1" applyFont="1" applyBorder="1" applyAlignment="1"/>
    <xf numFmtId="2" fontId="15" fillId="0" borderId="5" xfId="2" applyNumberFormat="1" applyFont="1" applyBorder="1" applyAlignment="1">
      <alignment horizontal="right"/>
    </xf>
    <xf numFmtId="2" fontId="15" fillId="0" borderId="5" xfId="2" applyNumberFormat="1" applyFont="1" applyBorder="1" applyAlignment="1" applyProtection="1">
      <protection locked="0"/>
    </xf>
    <xf numFmtId="0" fontId="16" fillId="0" borderId="5" xfId="2" applyNumberFormat="1" applyFont="1" applyBorder="1" applyAlignment="1" applyProtection="1">
      <protection locked="0"/>
    </xf>
    <xf numFmtId="0" fontId="5" fillId="0" borderId="0" xfId="2" applyFont="1" applyAlignment="1"/>
    <xf numFmtId="2" fontId="5" fillId="0" borderId="0" xfId="2" applyNumberFormat="1" applyFont="1" applyFill="1" applyAlignment="1"/>
    <xf numFmtId="0" fontId="6" fillId="0" borderId="0" xfId="2" applyNumberFormat="1" applyFont="1" applyAlignment="1"/>
    <xf numFmtId="0" fontId="23" fillId="0" borderId="0" xfId="2" applyNumberFormat="1" applyFont="1" applyAlignment="1" applyProtection="1">
      <protection locked="0"/>
    </xf>
    <xf numFmtId="168" fontId="22" fillId="0" borderId="0" xfId="2" applyNumberFormat="1" applyFont="1" applyBorder="1" applyAlignment="1"/>
    <xf numFmtId="0" fontId="11" fillId="0" borderId="0" xfId="2" applyFont="1" applyAlignment="1"/>
    <xf numFmtId="2" fontId="26" fillId="0" borderId="0" xfId="1" applyNumberFormat="1" applyFont="1" applyAlignment="1" applyProtection="1"/>
    <xf numFmtId="0" fontId="6" fillId="0" borderId="0" xfId="0" applyFont="1" applyAlignment="1"/>
    <xf numFmtId="0" fontId="5" fillId="0" borderId="0" xfId="2" applyFont="1" applyAlignment="1">
      <alignment horizontal="right"/>
    </xf>
    <xf numFmtId="2" fontId="5" fillId="0" borderId="0" xfId="2" applyNumberFormat="1" applyFont="1" applyAlignment="1">
      <alignment horizontal="right"/>
    </xf>
    <xf numFmtId="0" fontId="6" fillId="0" borderId="0" xfId="2" applyNumberFormat="1" applyFont="1" applyAlignment="1" applyProtection="1">
      <alignment horizontal="center"/>
      <protection locked="0"/>
    </xf>
    <xf numFmtId="0" fontId="5" fillId="0" borderId="0" xfId="2" applyFont="1" applyAlignment="1">
      <alignment horizontal="center"/>
    </xf>
    <xf numFmtId="0" fontId="27" fillId="0" borderId="0" xfId="2" applyNumberFormat="1" applyFont="1" applyAlignment="1" applyProtection="1">
      <protection locked="0"/>
    </xf>
    <xf numFmtId="0" fontId="9" fillId="0" borderId="0" xfId="2" applyNumberFormat="1" applyFont="1" applyAlignment="1"/>
    <xf numFmtId="0" fontId="5" fillId="0" borderId="0" xfId="2" applyNumberFormat="1" applyFont="1" applyAlignment="1"/>
    <xf numFmtId="0" fontId="3" fillId="0" borderId="0" xfId="2" applyNumberFormat="1" applyFont="1" applyFill="1" applyAlignment="1" applyProtection="1">
      <protection locked="0"/>
    </xf>
    <xf numFmtId="0" fontId="6" fillId="0" borderId="2" xfId="0" quotePrefix="1" applyFont="1" applyBorder="1" applyAlignment="1">
      <alignment horizontal="center"/>
    </xf>
    <xf numFmtId="0" fontId="3" fillId="0" borderId="9" xfId="2" applyNumberFormat="1" applyFont="1" applyBorder="1" applyAlignment="1" applyProtection="1">
      <protection locked="0"/>
    </xf>
    <xf numFmtId="0" fontId="12" fillId="0" borderId="9" xfId="2" applyNumberFormat="1" applyFont="1" applyBorder="1" applyAlignment="1" applyProtection="1">
      <protection locked="0"/>
    </xf>
    <xf numFmtId="0" fontId="12" fillId="0" borderId="4" xfId="2" applyNumberFormat="1" applyFont="1" applyBorder="1" applyAlignment="1">
      <alignment horizontal="right"/>
    </xf>
    <xf numFmtId="0" fontId="6" fillId="0" borderId="0" xfId="2" quotePrefix="1" applyNumberFormat="1" applyFont="1" applyAlignment="1" applyProtection="1">
      <protection locked="0"/>
    </xf>
    <xf numFmtId="2" fontId="5" fillId="0" borderId="0" xfId="2" quotePrefix="1" applyNumberFormat="1" applyFont="1" applyAlignment="1"/>
    <xf numFmtId="0" fontId="3" fillId="0" borderId="10" xfId="2" applyNumberFormat="1" applyFont="1" applyBorder="1" applyAlignment="1" applyProtection="1">
      <protection locked="0"/>
    </xf>
    <xf numFmtId="2" fontId="8" fillId="0" borderId="10" xfId="2" applyNumberFormat="1" applyFont="1" applyBorder="1" applyAlignment="1"/>
    <xf numFmtId="0" fontId="6" fillId="0" borderId="5" xfId="2" applyNumberFormat="1" applyFont="1" applyBorder="1" applyAlignment="1" applyProtection="1">
      <protection locked="0"/>
    </xf>
    <xf numFmtId="164" fontId="5" fillId="0" borderId="0" xfId="2" applyNumberFormat="1" applyFont="1" applyBorder="1" applyAlignment="1"/>
    <xf numFmtId="0" fontId="11" fillId="0" borderId="3" xfId="2" applyFont="1" applyBorder="1" applyAlignment="1">
      <alignment horizontal="right"/>
    </xf>
    <xf numFmtId="173" fontId="11" fillId="0" borderId="0" xfId="2" applyNumberFormat="1" applyFont="1" applyFill="1" applyBorder="1" applyAlignment="1"/>
    <xf numFmtId="0" fontId="11" fillId="0" borderId="0" xfId="2" applyFont="1" applyBorder="1" applyAlignment="1"/>
    <xf numFmtId="0" fontId="11" fillId="0" borderId="0" xfId="2" applyFont="1" applyBorder="1" applyAlignment="1">
      <alignment horizontal="right"/>
    </xf>
    <xf numFmtId="2" fontId="5" fillId="0" borderId="0" xfId="2" applyNumberFormat="1" applyFont="1" applyBorder="1" applyAlignment="1">
      <alignment horizontal="right"/>
    </xf>
    <xf numFmtId="0" fontId="28" fillId="0" borderId="11" xfId="2" applyNumberFormat="1" applyFont="1" applyBorder="1" applyAlignment="1" applyProtection="1">
      <protection locked="0"/>
    </xf>
    <xf numFmtId="0" fontId="5" fillId="0" borderId="3" xfId="2" applyFont="1" applyBorder="1" applyAlignment="1">
      <alignment horizontal="right"/>
    </xf>
    <xf numFmtId="0" fontId="5" fillId="0" borderId="12" xfId="2" applyFont="1" applyBorder="1" applyAlignment="1"/>
    <xf numFmtId="0" fontId="6" fillId="0" borderId="9" xfId="2" applyNumberFormat="1" applyFont="1" applyBorder="1" applyAlignment="1" applyProtection="1">
      <protection locked="0"/>
    </xf>
    <xf numFmtId="0" fontId="5" fillId="0" borderId="0" xfId="2" applyFont="1" applyBorder="1" applyAlignment="1">
      <alignment horizontal="right"/>
    </xf>
    <xf numFmtId="0" fontId="6" fillId="0" borderId="10" xfId="2" applyNumberFormat="1" applyFont="1" applyBorder="1" applyAlignment="1" applyProtection="1">
      <protection locked="0"/>
    </xf>
    <xf numFmtId="0" fontId="5" fillId="0" borderId="5" xfId="2" applyFont="1" applyBorder="1" applyAlignment="1">
      <alignment horizontal="right"/>
    </xf>
    <xf numFmtId="0" fontId="5" fillId="0" borderId="13" xfId="2" applyFont="1" applyBorder="1" applyAlignment="1"/>
    <xf numFmtId="0" fontId="5" fillId="0" borderId="10" xfId="2" applyFont="1" applyBorder="1" applyAlignment="1"/>
    <xf numFmtId="0" fontId="6" fillId="0" borderId="0" xfId="2" applyNumberFormat="1" applyFont="1" applyAlignment="1" applyProtection="1">
      <alignment horizontal="right"/>
      <protection locked="0"/>
    </xf>
    <xf numFmtId="0" fontId="5" fillId="0" borderId="10" xfId="2" applyFont="1" applyBorder="1" applyAlignment="1">
      <alignment horizontal="left"/>
    </xf>
    <xf numFmtId="2" fontId="7" fillId="0" borderId="0" xfId="2" applyNumberFormat="1" applyFont="1" applyBorder="1" applyAlignment="1">
      <alignment horizontal="right"/>
    </xf>
    <xf numFmtId="174" fontId="5" fillId="0" borderId="2" xfId="2" applyNumberFormat="1" applyFont="1" applyBorder="1" applyAlignment="1">
      <alignment horizontal="center"/>
    </xf>
    <xf numFmtId="0" fontId="6" fillId="0" borderId="12" xfId="2" applyNumberFormat="1" applyFont="1" applyBorder="1" applyAlignment="1" applyProtection="1">
      <protection locked="0"/>
    </xf>
    <xf numFmtId="167" fontId="11" fillId="0" borderId="0" xfId="2" applyNumberFormat="1" applyFont="1" applyBorder="1" applyAlignment="1"/>
    <xf numFmtId="1" fontId="11" fillId="0" borderId="0" xfId="2" applyNumberFormat="1" applyFont="1" applyBorder="1" applyAlignment="1"/>
    <xf numFmtId="2" fontId="11" fillId="0" borderId="3" xfId="2" applyNumberFormat="1" applyFont="1" applyBorder="1" applyAlignment="1"/>
    <xf numFmtId="167" fontId="11" fillId="0" borderId="5" xfId="2" applyNumberFormat="1" applyFont="1" applyBorder="1" applyAlignment="1"/>
    <xf numFmtId="0" fontId="6" fillId="0" borderId="13" xfId="2" applyNumberFormat="1" applyFont="1" applyBorder="1" applyAlignment="1" applyProtection="1">
      <protection locked="0"/>
    </xf>
    <xf numFmtId="0" fontId="6" fillId="0" borderId="0" xfId="2" applyNumberFormat="1" applyFont="1" applyBorder="1" applyAlignment="1" applyProtection="1">
      <alignment horizontal="right"/>
      <protection locked="0"/>
    </xf>
    <xf numFmtId="174" fontId="11" fillId="0" borderId="0" xfId="2" applyNumberFormat="1" applyFont="1" applyBorder="1" applyAlignment="1"/>
    <xf numFmtId="3" fontId="11" fillId="0" borderId="0" xfId="2" applyNumberFormat="1" applyFont="1" applyBorder="1" applyAlignment="1"/>
    <xf numFmtId="0" fontId="6" fillId="0" borderId="0" xfId="2" applyNumberFormat="1" applyFont="1" applyBorder="1" applyAlignment="1"/>
    <xf numFmtId="0" fontId="5" fillId="0" borderId="0" xfId="2" applyFont="1" applyBorder="1" applyAlignment="1">
      <alignment horizontal="left"/>
    </xf>
    <xf numFmtId="2" fontId="5" fillId="0" borderId="5" xfId="2" applyNumberFormat="1" applyFont="1" applyBorder="1" applyAlignment="1">
      <alignment horizontal="right"/>
    </xf>
    <xf numFmtId="166" fontId="5" fillId="0" borderId="5" xfId="2" applyNumberFormat="1" applyFont="1" applyBorder="1" applyAlignment="1"/>
    <xf numFmtId="0" fontId="6" fillId="0" borderId="11" xfId="2" applyNumberFormat="1" applyFont="1" applyBorder="1" applyAlignment="1" applyProtection="1">
      <protection locked="0"/>
    </xf>
    <xf numFmtId="0" fontId="16" fillId="0" borderId="0" xfId="2" applyNumberFormat="1" applyFont="1" applyBorder="1" applyAlignment="1" applyProtection="1">
      <alignment horizontal="center"/>
      <protection locked="0"/>
    </xf>
    <xf numFmtId="0" fontId="5" fillId="0" borderId="13" xfId="2" applyFont="1" applyBorder="1" applyAlignment="1">
      <alignment horizontal="center"/>
    </xf>
    <xf numFmtId="1" fontId="5" fillId="0" borderId="5" xfId="2" applyNumberFormat="1" applyFont="1" applyBorder="1" applyAlignment="1">
      <alignment horizontal="right"/>
    </xf>
    <xf numFmtId="1" fontId="5" fillId="0" borderId="13" xfId="2" applyNumberFormat="1" applyFont="1" applyBorder="1" applyAlignment="1"/>
    <xf numFmtId="0" fontId="6" fillId="0" borderId="5" xfId="2" applyNumberFormat="1" applyFont="1" applyBorder="1" applyAlignment="1" applyProtection="1">
      <alignment horizontal="right"/>
      <protection locked="0"/>
    </xf>
    <xf numFmtId="0" fontId="6" fillId="0" borderId="5" xfId="2" quotePrefix="1" applyNumberFormat="1" applyFont="1" applyBorder="1" applyAlignment="1" applyProtection="1">
      <alignment horizontal="center"/>
      <protection locked="0"/>
    </xf>
    <xf numFmtId="0" fontId="5" fillId="0" borderId="5" xfId="2" applyFont="1" applyBorder="1" applyAlignment="1">
      <alignment horizontal="center"/>
    </xf>
    <xf numFmtId="0" fontId="16" fillId="0" borderId="3" xfId="2" applyFont="1" applyBorder="1" applyAlignment="1"/>
    <xf numFmtId="0" fontId="28" fillId="0" borderId="9" xfId="2" applyNumberFormat="1" applyFont="1" applyBorder="1" applyAlignment="1" applyProtection="1">
      <protection locked="0"/>
    </xf>
    <xf numFmtId="1" fontId="7" fillId="0" borderId="0" xfId="2" applyNumberFormat="1" applyFont="1" applyBorder="1" applyAlignment="1">
      <alignment horizontal="right"/>
    </xf>
    <xf numFmtId="0" fontId="5" fillId="0" borderId="9" xfId="2" applyFont="1" applyFill="1" applyBorder="1" applyAlignment="1">
      <alignment horizontal="left"/>
    </xf>
    <xf numFmtId="2" fontId="5" fillId="0" borderId="9" xfId="2" applyNumberFormat="1" applyFont="1" applyFill="1" applyBorder="1" applyAlignment="1"/>
    <xf numFmtId="1" fontId="6" fillId="0" borderId="0" xfId="2" applyNumberFormat="1" applyFont="1" applyBorder="1" applyAlignment="1" applyProtection="1">
      <protection locked="0"/>
    </xf>
    <xf numFmtId="1" fontId="5" fillId="0" borderId="10" xfId="2" applyNumberFormat="1" applyFont="1" applyBorder="1" applyAlignment="1">
      <alignment horizontal="left"/>
    </xf>
    <xf numFmtId="0" fontId="23" fillId="0" borderId="10" xfId="2" applyNumberFormat="1" applyFont="1" applyBorder="1" applyAlignment="1" applyProtection="1">
      <protection locked="0"/>
    </xf>
    <xf numFmtId="1" fontId="5" fillId="0" borderId="4" xfId="2" applyNumberFormat="1" applyFont="1" applyFill="1" applyBorder="1" applyAlignment="1">
      <alignment horizontal="center"/>
    </xf>
    <xf numFmtId="2" fontId="5" fillId="0" borderId="5" xfId="2" applyNumberFormat="1" applyFont="1" applyBorder="1" applyAlignment="1">
      <alignment horizontal="center"/>
    </xf>
    <xf numFmtId="0" fontId="7" fillId="0" borderId="10" xfId="2" applyNumberFormat="1" applyFont="1" applyBorder="1" applyAlignment="1" applyProtection="1">
      <protection locked="0"/>
    </xf>
    <xf numFmtId="1" fontId="7" fillId="0" borderId="10" xfId="2" applyNumberFormat="1" applyFont="1" applyBorder="1" applyAlignment="1">
      <alignment horizontal="left"/>
    </xf>
    <xf numFmtId="0" fontId="6" fillId="0" borderId="10" xfId="2" applyNumberFormat="1" applyFont="1" applyBorder="1" applyAlignment="1" applyProtection="1">
      <alignment horizontal="center"/>
      <protection locked="0"/>
    </xf>
    <xf numFmtId="0" fontId="5" fillId="0" borderId="7" xfId="2" applyFont="1" applyBorder="1" applyAlignment="1">
      <alignment horizontal="center"/>
    </xf>
    <xf numFmtId="0" fontId="6" fillId="0" borderId="8" xfId="2" applyNumberFormat="1" applyFont="1" applyBorder="1" applyAlignment="1" applyProtection="1">
      <alignment horizontal="center"/>
      <protection locked="0"/>
    </xf>
    <xf numFmtId="164" fontId="5" fillId="0" borderId="0" xfId="2" applyNumberFormat="1" applyFont="1" applyBorder="1" applyAlignment="1">
      <alignment horizontal="center"/>
    </xf>
    <xf numFmtId="164" fontId="5" fillId="0" borderId="5" xfId="2" applyNumberFormat="1" applyFont="1" applyBorder="1" applyAlignment="1">
      <alignment horizontal="center"/>
    </xf>
    <xf numFmtId="0" fontId="7" fillId="0" borderId="10" xfId="2" applyFont="1" applyBorder="1" applyAlignment="1">
      <alignment horizontal="left"/>
    </xf>
    <xf numFmtId="0" fontId="6" fillId="0" borderId="3" xfId="2" applyNumberFormat="1" applyFont="1" applyBorder="1" applyAlignment="1" applyProtection="1">
      <alignment horizontal="center"/>
      <protection locked="0"/>
    </xf>
    <xf numFmtId="0" fontId="6" fillId="0" borderId="11" xfId="2" applyNumberFormat="1" applyFont="1" applyBorder="1" applyAlignment="1" applyProtection="1">
      <alignment horizontal="right"/>
      <protection locked="0"/>
    </xf>
    <xf numFmtId="2" fontId="6" fillId="0" borderId="3" xfId="2" applyNumberFormat="1" applyFont="1" applyBorder="1" applyAlignment="1" applyProtection="1">
      <protection locked="0"/>
    </xf>
    <xf numFmtId="0" fontId="28" fillId="0" borderId="4" xfId="2" applyNumberFormat="1" applyFont="1" applyBorder="1" applyAlignment="1" applyProtection="1">
      <protection locked="0"/>
    </xf>
    <xf numFmtId="0" fontId="7" fillId="0" borderId="10" xfId="2" applyFont="1" applyBorder="1" applyAlignment="1"/>
    <xf numFmtId="0" fontId="6" fillId="0" borderId="5" xfId="2" applyFont="1" applyBorder="1" applyAlignment="1">
      <alignment horizontal="center"/>
    </xf>
    <xf numFmtId="2" fontId="5" fillId="0" borderId="1" xfId="2" applyNumberFormat="1" applyFont="1" applyBorder="1" applyAlignment="1">
      <alignment horizontal="center"/>
    </xf>
    <xf numFmtId="164" fontId="5" fillId="0" borderId="2" xfId="2" applyNumberFormat="1" applyFont="1" applyBorder="1" applyAlignment="1">
      <alignment horizontal="center"/>
    </xf>
    <xf numFmtId="164" fontId="21" fillId="0" borderId="2" xfId="2" applyNumberFormat="1" applyFont="1" applyBorder="1" applyAlignment="1">
      <alignment horizontal="center"/>
    </xf>
    <xf numFmtId="164" fontId="11" fillId="0" borderId="9" xfId="2" applyNumberFormat="1" applyFont="1" applyBorder="1" applyAlignment="1">
      <alignment horizontal="center"/>
    </xf>
    <xf numFmtId="164" fontId="11" fillId="0" borderId="0" xfId="2" applyNumberFormat="1" applyFont="1" applyBorder="1" applyAlignment="1">
      <alignment horizontal="center"/>
    </xf>
    <xf numFmtId="164" fontId="24" fillId="0" borderId="0" xfId="2" applyNumberFormat="1" applyFont="1" applyBorder="1" applyAlignment="1">
      <alignment horizontal="center"/>
    </xf>
    <xf numFmtId="164" fontId="5" fillId="0" borderId="9" xfId="2" applyNumberFormat="1" applyFont="1" applyBorder="1" applyAlignment="1">
      <alignment horizontal="center"/>
    </xf>
    <xf numFmtId="164" fontId="21" fillId="0" borderId="0" xfId="2" applyNumberFormat="1" applyFont="1" applyBorder="1" applyAlignment="1">
      <alignment horizontal="center"/>
    </xf>
    <xf numFmtId="164" fontId="11" fillId="0" borderId="4" xfId="2" applyNumberFormat="1" applyFont="1" applyBorder="1" applyAlignment="1">
      <alignment horizontal="center"/>
    </xf>
    <xf numFmtId="164" fontId="11" fillId="0" borderId="5" xfId="2" applyNumberFormat="1" applyFont="1" applyBorder="1" applyAlignment="1">
      <alignment horizontal="center"/>
    </xf>
    <xf numFmtId="164" fontId="24" fillId="0" borderId="5" xfId="2" applyNumberFormat="1" applyFont="1" applyBorder="1" applyAlignment="1">
      <alignment horizontal="center"/>
    </xf>
    <xf numFmtId="0" fontId="12" fillId="0" borderId="0" xfId="2" applyNumberFormat="1" applyFont="1" applyAlignment="1"/>
    <xf numFmtId="0" fontId="22" fillId="0" borderId="2" xfId="2" applyNumberFormat="1" applyFont="1" applyBorder="1" applyAlignment="1"/>
    <xf numFmtId="0" fontId="25" fillId="0" borderId="0" xfId="2" applyNumberFormat="1" applyFont="1" applyAlignment="1"/>
    <xf numFmtId="0" fontId="22" fillId="0" borderId="0" xfId="2" applyNumberFormat="1" applyFont="1" applyAlignment="1"/>
    <xf numFmtId="0" fontId="22" fillId="0" borderId="0" xfId="2" applyNumberFormat="1" applyFont="1" applyAlignment="1" applyProtection="1">
      <protection locked="0"/>
    </xf>
    <xf numFmtId="0" fontId="25" fillId="0" borderId="0" xfId="2" applyNumberFormat="1" applyFont="1" applyAlignment="1" applyProtection="1">
      <protection locked="0"/>
    </xf>
    <xf numFmtId="0" fontId="25" fillId="0" borderId="5" xfId="2" applyNumberFormat="1" applyFont="1" applyBorder="1" applyAlignment="1"/>
    <xf numFmtId="0" fontId="25" fillId="0" borderId="5" xfId="2" applyNumberFormat="1" applyFont="1" applyBorder="1" applyAlignment="1" applyProtection="1">
      <protection locked="0"/>
    </xf>
    <xf numFmtId="0" fontId="6" fillId="0" borderId="0" xfId="2" applyFont="1" applyAlignment="1"/>
    <xf numFmtId="164" fontId="5" fillId="0" borderId="0" xfId="2" applyNumberFormat="1" applyFont="1" applyAlignment="1"/>
    <xf numFmtId="0" fontId="13" fillId="0" borderId="0" xfId="2" applyNumberFormat="1" applyFont="1" applyBorder="1" applyAlignment="1" applyProtection="1">
      <protection locked="0"/>
    </xf>
    <xf numFmtId="0" fontId="13" fillId="0" borderId="0" xfId="2" applyNumberFormat="1" applyFont="1" applyBorder="1" applyAlignment="1" applyProtection="1">
      <alignment horizontal="right"/>
      <protection locked="0"/>
    </xf>
    <xf numFmtId="0" fontId="6" fillId="0" borderId="0" xfId="2" applyFont="1" applyBorder="1" applyAlignment="1">
      <alignment horizontal="right"/>
    </xf>
    <xf numFmtId="2" fontId="6" fillId="0" borderId="0" xfId="2" applyNumberFormat="1" applyFont="1" applyBorder="1" applyAlignment="1"/>
    <xf numFmtId="0" fontId="6" fillId="0" borderId="0" xfId="2" applyFont="1" applyBorder="1" applyAlignment="1"/>
    <xf numFmtId="2" fontId="13" fillId="0" borderId="0" xfId="2" applyNumberFormat="1" applyFont="1" applyFill="1" applyBorder="1" applyAlignment="1"/>
    <xf numFmtId="171" fontId="6" fillId="0" borderId="0" xfId="2" applyNumberFormat="1" applyFont="1" applyAlignment="1" applyProtection="1">
      <protection locked="0"/>
    </xf>
    <xf numFmtId="2" fontId="5" fillId="0" borderId="10" xfId="2" applyNumberFormat="1" applyFont="1" applyBorder="1" applyAlignment="1">
      <alignment horizontal="center"/>
    </xf>
    <xf numFmtId="2" fontId="5" fillId="0" borderId="13" xfId="2" applyNumberFormat="1" applyFont="1" applyBorder="1" applyAlignment="1">
      <alignment horizontal="center"/>
    </xf>
    <xf numFmtId="2" fontId="7" fillId="0" borderId="11" xfId="2" applyNumberFormat="1" applyFont="1" applyBorder="1" applyAlignment="1">
      <alignment horizontal="center"/>
    </xf>
    <xf numFmtId="2" fontId="5" fillId="0" borderId="4" xfId="2" applyNumberFormat="1" applyFont="1" applyBorder="1" applyAlignment="1">
      <alignment horizontal="center"/>
    </xf>
    <xf numFmtId="2" fontId="20" fillId="0" borderId="1" xfId="2" applyNumberFormat="1" applyFont="1" applyBorder="1" applyAlignment="1">
      <alignment horizontal="center"/>
    </xf>
    <xf numFmtId="0" fontId="6" fillId="0" borderId="0" xfId="2" applyNumberFormat="1" applyFont="1" applyFill="1" applyAlignment="1" applyProtection="1">
      <protection locked="0"/>
    </xf>
    <xf numFmtId="0" fontId="16" fillId="0" borderId="0" xfId="0" applyFont="1"/>
    <xf numFmtId="0" fontId="5" fillId="0" borderId="0" xfId="2" applyFont="1" applyFill="1" applyAlignment="1"/>
    <xf numFmtId="0" fontId="6" fillId="0" borderId="13" xfId="2" applyNumberFormat="1" applyFont="1" applyBorder="1" applyAlignment="1" applyProtection="1">
      <alignment horizontal="center"/>
      <protection locked="0"/>
    </xf>
    <xf numFmtId="0" fontId="31" fillId="0" borderId="0" xfId="0" applyFont="1"/>
    <xf numFmtId="0" fontId="31" fillId="0" borderId="0" xfId="0" applyFont="1" applyBorder="1" applyAlignment="1">
      <alignment horizontal="center"/>
    </xf>
    <xf numFmtId="0" fontId="33" fillId="0" borderId="0" xfId="1" applyFont="1" applyAlignment="1" applyProtection="1"/>
    <xf numFmtId="0" fontId="31" fillId="0" borderId="0" xfId="0" applyFont="1" applyBorder="1"/>
    <xf numFmtId="15" fontId="31" fillId="0" borderId="0" xfId="0" applyNumberFormat="1" applyFont="1" applyBorder="1"/>
    <xf numFmtId="0" fontId="30" fillId="0" borderId="3" xfId="2" applyFont="1" applyBorder="1" applyAlignment="1">
      <alignment horizontal="left"/>
    </xf>
    <xf numFmtId="0" fontId="34" fillId="0" borderId="3" xfId="2" applyFont="1" applyBorder="1" applyAlignment="1"/>
    <xf numFmtId="0" fontId="31" fillId="0" borderId="3" xfId="0" applyFont="1" applyBorder="1"/>
    <xf numFmtId="2" fontId="34" fillId="0" borderId="3" xfId="2" applyNumberFormat="1" applyFont="1" applyBorder="1" applyAlignment="1">
      <alignment horizontal="center"/>
    </xf>
    <xf numFmtId="0" fontId="31" fillId="0" borderId="3" xfId="2" applyNumberFormat="1" applyFont="1" applyBorder="1" applyAlignment="1" applyProtection="1">
      <protection locked="0"/>
    </xf>
    <xf numFmtId="0" fontId="34" fillId="0" borderId="0" xfId="2" applyFont="1" applyBorder="1" applyAlignment="1">
      <alignment horizontal="left"/>
    </xf>
    <xf numFmtId="0" fontId="34" fillId="0" borderId="0" xfId="2" applyFont="1" applyBorder="1" applyAlignment="1"/>
    <xf numFmtId="2" fontId="34" fillId="0" borderId="0" xfId="2" applyNumberFormat="1" applyFont="1" applyBorder="1" applyAlignment="1">
      <alignment horizontal="right"/>
    </xf>
    <xf numFmtId="0" fontId="34" fillId="0" borderId="0" xfId="2" applyFont="1" applyBorder="1" applyAlignment="1">
      <alignment horizontal="right"/>
    </xf>
    <xf numFmtId="0" fontId="31" fillId="0" borderId="0" xfId="2" applyNumberFormat="1" applyFont="1" applyBorder="1" applyAlignment="1" applyProtection="1">
      <protection locked="0"/>
    </xf>
    <xf numFmtId="2" fontId="34" fillId="0" borderId="0" xfId="2" applyNumberFormat="1" applyFont="1" applyBorder="1" applyAlignment="1"/>
    <xf numFmtId="2" fontId="34" fillId="0" borderId="0" xfId="2" applyNumberFormat="1" applyFont="1" applyAlignment="1"/>
    <xf numFmtId="2" fontId="33" fillId="0" borderId="0" xfId="1" applyNumberFormat="1" applyFont="1" applyAlignment="1" applyProtection="1"/>
    <xf numFmtId="0" fontId="31" fillId="0" borderId="0" xfId="0" applyFont="1" applyAlignment="1"/>
    <xf numFmtId="0" fontId="34" fillId="0" borderId="0" xfId="2" applyFont="1" applyAlignment="1">
      <alignment horizontal="center"/>
    </xf>
    <xf numFmtId="0" fontId="34" fillId="0" borderId="0" xfId="2" applyFont="1" applyAlignment="1"/>
    <xf numFmtId="2" fontId="34" fillId="0" borderId="0" xfId="2" applyNumberFormat="1" applyFont="1" applyAlignment="1">
      <alignment horizontal="right"/>
    </xf>
    <xf numFmtId="0" fontId="34" fillId="0" borderId="0" xfId="2" applyFont="1" applyAlignment="1">
      <alignment horizontal="right"/>
    </xf>
    <xf numFmtId="0" fontId="31" fillId="0" borderId="0" xfId="2" applyNumberFormat="1" applyFont="1" applyAlignment="1" applyProtection="1">
      <protection locked="0"/>
    </xf>
    <xf numFmtId="0" fontId="34" fillId="0" borderId="0" xfId="2" applyNumberFormat="1" applyFont="1" applyAlignment="1"/>
    <xf numFmtId="0" fontId="34" fillId="0" borderId="0" xfId="2" applyFont="1" applyAlignment="1">
      <alignment horizontal="left"/>
    </xf>
    <xf numFmtId="0" fontId="35" fillId="0" borderId="0" xfId="0" applyFont="1"/>
    <xf numFmtId="0" fontId="34" fillId="0" borderId="0" xfId="2" applyFont="1" applyBorder="1" applyAlignment="1">
      <alignment horizontal="center"/>
    </xf>
    <xf numFmtId="0" fontId="32" fillId="0" borderId="0" xfId="0" applyFont="1"/>
    <xf numFmtId="0" fontId="36" fillId="0" borderId="0" xfId="0" applyFont="1"/>
    <xf numFmtId="0" fontId="5" fillId="0" borderId="5" xfId="2" applyFont="1" applyBorder="1" applyAlignment="1"/>
    <xf numFmtId="0" fontId="28" fillId="0" borderId="3" xfId="2" applyNumberFormat="1" applyFont="1" applyBorder="1" applyAlignment="1" applyProtection="1">
      <protection locked="0"/>
    </xf>
    <xf numFmtId="0" fontId="29" fillId="0" borderId="0" xfId="2" applyFont="1" applyBorder="1" applyAlignment="1"/>
    <xf numFmtId="0" fontId="29" fillId="0" borderId="5" xfId="2" applyFont="1" applyBorder="1" applyAlignment="1"/>
    <xf numFmtId="0" fontId="11" fillId="0" borderId="3" xfId="2" applyFont="1" applyBorder="1" applyAlignment="1"/>
    <xf numFmtId="0" fontId="10" fillId="0" borderId="0" xfId="2" applyFont="1" applyAlignment="1">
      <alignment horizontal="center"/>
    </xf>
    <xf numFmtId="2" fontId="6" fillId="0" borderId="5" xfId="2" applyNumberFormat="1" applyFont="1" applyBorder="1" applyAlignment="1">
      <alignment horizontal="center"/>
    </xf>
    <xf numFmtId="2" fontId="6" fillId="0" borderId="2" xfId="2" applyNumberFormat="1" applyFont="1" applyBorder="1" applyAlignment="1">
      <alignment horizontal="center"/>
    </xf>
    <xf numFmtId="2" fontId="16" fillId="0" borderId="0" xfId="2" applyNumberFormat="1" applyFont="1" applyBorder="1" applyAlignment="1">
      <alignment horizontal="center"/>
    </xf>
    <xf numFmtId="2" fontId="6" fillId="0" borderId="0" xfId="2" applyNumberFormat="1" applyFont="1" applyBorder="1" applyAlignment="1">
      <alignment horizontal="center"/>
    </xf>
    <xf numFmtId="2" fontId="16" fillId="0" borderId="5" xfId="2" applyNumberFormat="1" applyFont="1" applyBorder="1" applyAlignment="1">
      <alignment horizontal="center"/>
    </xf>
    <xf numFmtId="0" fontId="37" fillId="0" borderId="0" xfId="0" applyFont="1"/>
    <xf numFmtId="2" fontId="41" fillId="0" borderId="5" xfId="2" applyNumberFormat="1" applyFont="1" applyBorder="1" applyAlignment="1">
      <alignment horizontal="center"/>
    </xf>
    <xf numFmtId="0" fontId="38" fillId="0" borderId="0" xfId="2" applyFont="1" applyAlignment="1">
      <alignment horizontal="left"/>
    </xf>
    <xf numFmtId="2" fontId="39" fillId="0" borderId="0" xfId="2" applyNumberFormat="1" applyFont="1" applyFill="1" applyBorder="1" applyAlignment="1">
      <alignment horizontal="center"/>
    </xf>
    <xf numFmtId="2" fontId="39" fillId="0" borderId="12" xfId="2" applyNumberFormat="1" applyFont="1" applyFill="1" applyBorder="1" applyAlignment="1">
      <alignment horizontal="center"/>
    </xf>
    <xf numFmtId="0" fontId="39" fillId="0" borderId="0" xfId="2" applyNumberFormat="1" applyFont="1" applyAlignment="1" applyProtection="1">
      <alignment horizontal="center"/>
      <protection locked="0"/>
    </xf>
    <xf numFmtId="0" fontId="39" fillId="0" borderId="10" xfId="2" applyFont="1" applyBorder="1" applyAlignment="1">
      <alignment horizontal="center"/>
    </xf>
    <xf numFmtId="2" fontId="40" fillId="0" borderId="5" xfId="2" applyNumberFormat="1" applyFont="1" applyBorder="1" applyAlignment="1">
      <alignment horizontal="center"/>
    </xf>
    <xf numFmtId="2" fontId="40" fillId="0" borderId="13" xfId="2" applyNumberFormat="1" applyFont="1" applyFill="1" applyBorder="1" applyAlignment="1">
      <alignment horizontal="center"/>
    </xf>
    <xf numFmtId="2" fontId="40" fillId="0" borderId="2" xfId="2" applyNumberFormat="1" applyFont="1" applyBorder="1" applyAlignment="1">
      <alignment horizontal="center"/>
    </xf>
    <xf numFmtId="2" fontId="40" fillId="0" borderId="14" xfId="2" applyNumberFormat="1" applyFont="1" applyFill="1" applyBorder="1" applyAlignment="1">
      <alignment horizontal="center"/>
    </xf>
    <xf numFmtId="0" fontId="40" fillId="0" borderId="2" xfId="2" applyNumberFormat="1" applyFont="1" applyBorder="1" applyAlignment="1" applyProtection="1">
      <alignment horizontal="center"/>
      <protection locked="0"/>
    </xf>
    <xf numFmtId="2" fontId="41" fillId="0" borderId="0" xfId="2" applyNumberFormat="1" applyFont="1" applyBorder="1" applyAlignment="1">
      <alignment horizontal="center"/>
    </xf>
    <xf numFmtId="2" fontId="41" fillId="0" borderId="10" xfId="2" applyNumberFormat="1" applyFont="1" applyFill="1" applyBorder="1" applyAlignment="1">
      <alignment horizontal="center"/>
    </xf>
    <xf numFmtId="2" fontId="40" fillId="0" borderId="0" xfId="2" applyNumberFormat="1" applyFont="1" applyBorder="1" applyAlignment="1">
      <alignment horizontal="center"/>
    </xf>
    <xf numFmtId="2" fontId="40" fillId="0" borderId="10" xfId="2" applyNumberFormat="1" applyFont="1" applyFill="1" applyBorder="1" applyAlignment="1">
      <alignment horizontal="center"/>
    </xf>
    <xf numFmtId="2" fontId="41" fillId="0" borderId="13" xfId="2" applyNumberFormat="1" applyFont="1" applyFill="1" applyBorder="1" applyAlignment="1">
      <alignment horizontal="center"/>
    </xf>
    <xf numFmtId="2" fontId="39" fillId="0" borderId="12" xfId="2" applyNumberFormat="1" applyFont="1" applyBorder="1" applyAlignment="1">
      <alignment horizontal="center"/>
    </xf>
    <xf numFmtId="2" fontId="39" fillId="0" borderId="10" xfId="2" applyNumberFormat="1" applyFont="1" applyBorder="1" applyAlignment="1">
      <alignment horizontal="center"/>
    </xf>
    <xf numFmtId="2" fontId="40" fillId="0" borderId="13" xfId="2" applyNumberFormat="1" applyFont="1" applyBorder="1" applyAlignment="1">
      <alignment horizontal="center"/>
    </xf>
    <xf numFmtId="2" fontId="40" fillId="0" borderId="14" xfId="2" applyNumberFormat="1" applyFont="1" applyBorder="1" applyAlignment="1">
      <alignment horizontal="center"/>
    </xf>
    <xf numFmtId="164" fontId="41" fillId="0" borderId="10" xfId="2" applyNumberFormat="1" applyFont="1" applyBorder="1" applyAlignment="1">
      <alignment horizontal="center"/>
    </xf>
    <xf numFmtId="164" fontId="40" fillId="0" borderId="10" xfId="2" applyNumberFormat="1" applyFont="1" applyBorder="1" applyAlignment="1">
      <alignment horizontal="center"/>
    </xf>
    <xf numFmtId="164" fontId="41" fillId="0" borderId="13" xfId="2" applyNumberFormat="1" applyFont="1" applyBorder="1" applyAlignment="1">
      <alignment horizontal="center"/>
    </xf>
    <xf numFmtId="0" fontId="39" fillId="0" borderId="9" xfId="2" applyNumberFormat="1" applyFont="1" applyBorder="1" applyAlignment="1" applyProtection="1">
      <alignment horizontal="center"/>
      <protection locked="0"/>
    </xf>
    <xf numFmtId="164" fontId="16" fillId="0" borderId="9" xfId="2" applyNumberFormat="1" applyFont="1" applyBorder="1" applyAlignment="1">
      <alignment horizontal="center"/>
    </xf>
    <xf numFmtId="164" fontId="16" fillId="0" borderId="4" xfId="2" applyNumberFormat="1" applyFont="1" applyBorder="1" applyAlignment="1">
      <alignment horizontal="center"/>
    </xf>
    <xf numFmtId="2" fontId="41" fillId="0" borderId="0" xfId="2" applyNumberFormat="1" applyFont="1" applyBorder="1" applyAlignment="1"/>
    <xf numFmtId="0" fontId="41" fillId="0" borderId="0" xfId="2" applyFont="1" applyBorder="1" applyAlignment="1"/>
    <xf numFmtId="0" fontId="40" fillId="0" borderId="0" xfId="2" applyNumberFormat="1" applyFont="1" applyBorder="1" applyAlignment="1" applyProtection="1">
      <alignment horizontal="right"/>
      <protection locked="0"/>
    </xf>
    <xf numFmtId="0" fontId="39" fillId="0" borderId="10" xfId="2" applyNumberFormat="1" applyFont="1" applyBorder="1" applyAlignment="1" applyProtection="1">
      <protection locked="0"/>
    </xf>
    <xf numFmtId="0" fontId="40" fillId="0" borderId="0" xfId="2" applyFont="1" applyBorder="1" applyAlignment="1">
      <alignment horizontal="right"/>
    </xf>
    <xf numFmtId="2" fontId="40" fillId="2" borderId="0" xfId="2" applyNumberFormat="1" applyFont="1" applyFill="1" applyBorder="1" applyAlignment="1"/>
    <xf numFmtId="0" fontId="40" fillId="0" borderId="10" xfId="2" applyFont="1" applyBorder="1" applyAlignment="1">
      <alignment horizontal="left"/>
    </xf>
    <xf numFmtId="171" fontId="40" fillId="0" borderId="0" xfId="2" applyNumberFormat="1" applyFont="1" applyBorder="1" applyAlignment="1">
      <alignment horizontal="center"/>
    </xf>
    <xf numFmtId="0" fontId="40" fillId="0" borderId="0" xfId="2" applyFont="1" applyAlignment="1"/>
    <xf numFmtId="172" fontId="40" fillId="0" borderId="0" xfId="2" applyNumberFormat="1" applyFont="1" applyBorder="1" applyAlignment="1" applyProtection="1">
      <protection locked="0"/>
    </xf>
    <xf numFmtId="0" fontId="40" fillId="0" borderId="0" xfId="2" applyNumberFormat="1" applyFont="1" applyBorder="1" applyAlignment="1" applyProtection="1">
      <protection locked="0"/>
    </xf>
    <xf numFmtId="166" fontId="40" fillId="0" borderId="0" xfId="2" applyNumberFormat="1" applyFont="1" applyBorder="1" applyAlignment="1"/>
    <xf numFmtId="0" fontId="40" fillId="0" borderId="0" xfId="2" applyFont="1" applyBorder="1" applyAlignment="1"/>
    <xf numFmtId="0" fontId="39" fillId="0" borderId="0" xfId="2" applyFont="1" applyAlignment="1">
      <alignment horizontal="center"/>
    </xf>
    <xf numFmtId="0" fontId="39" fillId="0" borderId="5" xfId="2" applyFont="1" applyBorder="1" applyAlignment="1">
      <alignment horizontal="center"/>
    </xf>
    <xf numFmtId="0" fontId="40" fillId="0" borderId="2" xfId="2" applyNumberFormat="1" applyFont="1" applyBorder="1" applyAlignment="1" applyProtection="1">
      <protection locked="0"/>
    </xf>
    <xf numFmtId="2" fontId="41" fillId="0" borderId="0" xfId="2" applyNumberFormat="1" applyFont="1" applyAlignment="1" applyProtection="1">
      <protection locked="0"/>
    </xf>
    <xf numFmtId="2" fontId="40" fillId="0" borderId="0" xfId="2" applyNumberFormat="1" applyFont="1" applyAlignment="1" applyProtection="1">
      <protection locked="0"/>
    </xf>
    <xf numFmtId="2" fontId="41" fillId="0" borderId="5" xfId="2" applyNumberFormat="1" applyFont="1" applyBorder="1" applyAlignment="1" applyProtection="1">
      <protection locked="0"/>
    </xf>
    <xf numFmtId="2" fontId="39" fillId="0" borderId="0" xfId="2" applyNumberFormat="1" applyFont="1" applyBorder="1" applyAlignment="1">
      <alignment horizontal="center"/>
    </xf>
    <xf numFmtId="2" fontId="39" fillId="0" borderId="5" xfId="2" applyNumberFormat="1" applyFont="1" applyBorder="1" applyAlignment="1">
      <alignment horizontal="right"/>
    </xf>
    <xf numFmtId="2" fontId="40" fillId="0" borderId="2" xfId="2" applyNumberFormat="1" applyFont="1" applyBorder="1" applyAlignment="1"/>
    <xf numFmtId="166" fontId="41" fillId="0" borderId="0" xfId="2" applyNumberFormat="1" applyFont="1" applyBorder="1" applyAlignment="1"/>
    <xf numFmtId="0" fontId="40" fillId="0" borderId="3" xfId="2" applyNumberFormat="1" applyFont="1" applyBorder="1" applyAlignment="1" applyProtection="1">
      <protection locked="0"/>
    </xf>
    <xf numFmtId="0" fontId="40" fillId="0" borderId="9" xfId="2" quotePrefix="1" applyNumberFormat="1" applyFont="1" applyBorder="1" applyAlignment="1" applyProtection="1">
      <protection locked="0"/>
    </xf>
    <xf numFmtId="0" fontId="40" fillId="0" borderId="10" xfId="2" applyNumberFormat="1" applyFont="1" applyBorder="1" applyAlignment="1" applyProtection="1">
      <protection locked="0"/>
    </xf>
    <xf numFmtId="0" fontId="40" fillId="0" borderId="9" xfId="2" applyNumberFormat="1" applyFont="1" applyBorder="1" applyAlignment="1" applyProtection="1">
      <protection locked="0"/>
    </xf>
    <xf numFmtId="9" fontId="40" fillId="0" borderId="0" xfId="4" applyFont="1" applyBorder="1" applyAlignment="1" applyProtection="1">
      <protection locked="0"/>
    </xf>
    <xf numFmtId="9" fontId="40" fillId="0" borderId="0" xfId="2" applyNumberFormat="1" applyFont="1" applyBorder="1" applyAlignment="1" applyProtection="1">
      <protection locked="0"/>
    </xf>
    <xf numFmtId="0" fontId="40" fillId="0" borderId="9" xfId="2" applyNumberFormat="1" applyFont="1" applyBorder="1" applyAlignment="1" applyProtection="1">
      <alignment horizontal="center"/>
      <protection locked="0"/>
    </xf>
    <xf numFmtId="0" fontId="40" fillId="0" borderId="4" xfId="2" applyNumberFormat="1" applyFont="1" applyBorder="1" applyAlignment="1" applyProtection="1">
      <alignment horizontal="center"/>
      <protection locked="0"/>
    </xf>
    <xf numFmtId="0" fontId="40" fillId="0" borderId="5" xfId="2" applyNumberFormat="1" applyFont="1" applyBorder="1" applyAlignment="1" applyProtection="1">
      <protection locked="0"/>
    </xf>
    <xf numFmtId="9" fontId="40" fillId="0" borderId="5" xfId="4" applyFont="1" applyBorder="1" applyAlignment="1" applyProtection="1">
      <protection locked="0"/>
    </xf>
    <xf numFmtId="9" fontId="40" fillId="0" borderId="5" xfId="2" applyNumberFormat="1" applyFont="1" applyBorder="1" applyAlignment="1" applyProtection="1">
      <protection locked="0"/>
    </xf>
    <xf numFmtId="0" fontId="40" fillId="0" borderId="13" xfId="2" applyNumberFormat="1" applyFont="1" applyBorder="1" applyAlignment="1" applyProtection="1">
      <protection locked="0"/>
    </xf>
    <xf numFmtId="0" fontId="10" fillId="0" borderId="10" xfId="2" applyNumberFormat="1" applyFont="1" applyBorder="1" applyAlignment="1" applyProtection="1">
      <protection locked="0"/>
    </xf>
    <xf numFmtId="165" fontId="16" fillId="0" borderId="0" xfId="2" applyNumberFormat="1" applyFont="1" applyBorder="1" applyAlignment="1" applyProtection="1">
      <protection locked="0"/>
    </xf>
    <xf numFmtId="2" fontId="6" fillId="0" borderId="0" xfId="2" applyNumberFormat="1" applyFont="1" applyAlignment="1" applyProtection="1">
      <protection locked="0"/>
    </xf>
    <xf numFmtId="0" fontId="10" fillId="0" borderId="11" xfId="2" applyNumberFormat="1" applyFont="1" applyBorder="1" applyAlignment="1" applyProtection="1">
      <protection locked="0"/>
    </xf>
    <xf numFmtId="0" fontId="7" fillId="0" borderId="9" xfId="2" applyFont="1" applyBorder="1" applyAlignment="1"/>
    <xf numFmtId="2" fontId="7" fillId="0" borderId="0" xfId="2" applyNumberFormat="1" applyFont="1" applyBorder="1" applyAlignment="1"/>
    <xf numFmtId="0" fontId="17" fillId="0" borderId="0" xfId="2" applyFont="1" applyBorder="1" applyAlignment="1">
      <alignment horizontal="right"/>
    </xf>
    <xf numFmtId="0" fontId="40" fillId="0" borderId="5" xfId="2" applyFont="1" applyBorder="1" applyAlignment="1"/>
    <xf numFmtId="9" fontId="40" fillId="0" borderId="10" xfId="2" applyNumberFormat="1" applyFont="1" applyBorder="1" applyAlignment="1" applyProtection="1">
      <protection locked="0"/>
    </xf>
    <xf numFmtId="0" fontId="40" fillId="0" borderId="4" xfId="2" applyNumberFormat="1" applyFont="1" applyBorder="1" applyAlignment="1" applyProtection="1">
      <protection locked="0"/>
    </xf>
    <xf numFmtId="9" fontId="40" fillId="0" borderId="13" xfId="2" applyNumberFormat="1" applyFont="1" applyBorder="1" applyAlignment="1" applyProtection="1">
      <protection locked="0"/>
    </xf>
    <xf numFmtId="0" fontId="3" fillId="0" borderId="3" xfId="2" applyNumberFormat="1" applyFont="1" applyBorder="1" applyAlignment="1" applyProtection="1">
      <protection locked="0"/>
    </xf>
    <xf numFmtId="2" fontId="3" fillId="0" borderId="12" xfId="2" applyNumberFormat="1" applyFont="1" applyBorder="1" applyAlignment="1" applyProtection="1">
      <protection locked="0"/>
    </xf>
    <xf numFmtId="2" fontId="3" fillId="0" borderId="13" xfId="2" applyNumberFormat="1" applyFont="1" applyBorder="1" applyAlignment="1" applyProtection="1">
      <protection locked="0"/>
    </xf>
    <xf numFmtId="164" fontId="6" fillId="0" borderId="9" xfId="2" applyNumberFormat="1" applyFont="1" applyBorder="1" applyAlignment="1">
      <alignment horizontal="center"/>
    </xf>
    <xf numFmtId="0" fontId="40" fillId="0" borderId="0" xfId="2" applyFont="1" applyBorder="1" applyAlignment="1">
      <alignment horizontal="center"/>
    </xf>
    <xf numFmtId="0" fontId="39" fillId="0" borderId="0" xfId="2" applyFont="1" applyBorder="1" applyAlignment="1">
      <alignment horizontal="right"/>
    </xf>
    <xf numFmtId="0" fontId="39" fillId="0" borderId="0" xfId="2" applyNumberFormat="1" applyFont="1" applyAlignment="1" applyProtection="1">
      <protection locked="0"/>
    </xf>
    <xf numFmtId="0" fontId="40" fillId="0" borderId="5" xfId="2" applyFont="1" applyBorder="1" applyAlignment="1">
      <alignment horizontal="center"/>
    </xf>
    <xf numFmtId="0" fontId="39" fillId="0" borderId="5" xfId="2" applyFont="1" applyBorder="1" applyAlignment="1">
      <alignment horizontal="right"/>
    </xf>
    <xf numFmtId="168" fontId="41" fillId="0" borderId="0" xfId="2" applyNumberFormat="1" applyFont="1" applyAlignment="1"/>
    <xf numFmtId="2" fontId="41" fillId="0" borderId="0" xfId="2" applyNumberFormat="1" applyFont="1" applyAlignment="1"/>
    <xf numFmtId="168" fontId="40" fillId="0" borderId="0" xfId="2" applyNumberFormat="1" applyFont="1" applyAlignment="1"/>
    <xf numFmtId="2" fontId="40" fillId="0" borderId="0" xfId="2" applyNumberFormat="1" applyFont="1" applyAlignment="1"/>
    <xf numFmtId="168" fontId="41" fillId="0" borderId="5" xfId="2" applyNumberFormat="1" applyFont="1" applyBorder="1" applyAlignment="1"/>
    <xf numFmtId="0" fontId="9" fillId="0" borderId="11" xfId="2" applyFont="1" applyBorder="1" applyAlignment="1">
      <alignment horizontal="center"/>
    </xf>
    <xf numFmtId="0" fontId="39" fillId="0" borderId="3" xfId="2" applyFont="1" applyBorder="1" applyAlignment="1">
      <alignment horizontal="center"/>
    </xf>
    <xf numFmtId="0" fontId="12" fillId="0" borderId="3" xfId="2" applyFont="1" applyBorder="1" applyAlignment="1">
      <alignment horizontal="center"/>
    </xf>
    <xf numFmtId="0" fontId="17" fillId="0" borderId="0" xfId="2" applyNumberFormat="1" applyFont="1" applyBorder="1" applyAlignment="1"/>
    <xf numFmtId="0" fontId="6" fillId="0" borderId="1" xfId="2" applyNumberFormat="1" applyFont="1" applyBorder="1" applyAlignment="1" applyProtection="1">
      <alignment horizontal="center"/>
      <protection locked="0"/>
    </xf>
    <xf numFmtId="0" fontId="41" fillId="0" borderId="0" xfId="2" applyNumberFormat="1" applyFont="1" applyBorder="1" applyAlignment="1"/>
    <xf numFmtId="0" fontId="16" fillId="0" borderId="0" xfId="2" applyFont="1" applyBorder="1" applyAlignment="1"/>
    <xf numFmtId="0" fontId="11" fillId="0" borderId="5" xfId="2" applyNumberFormat="1" applyFont="1" applyBorder="1" applyAlignment="1">
      <alignment horizontal="right"/>
    </xf>
    <xf numFmtId="2" fontId="40" fillId="0" borderId="0" xfId="2" applyNumberFormat="1" applyFont="1" applyBorder="1" applyAlignment="1"/>
    <xf numFmtId="1" fontId="39" fillId="0" borderId="0" xfId="2" applyNumberFormat="1" applyFont="1" applyBorder="1" applyAlignment="1">
      <alignment horizontal="left"/>
    </xf>
    <xf numFmtId="164" fontId="7" fillId="0" borderId="0" xfId="2" applyNumberFormat="1" applyFont="1" applyBorder="1" applyAlignment="1">
      <alignment horizontal="center"/>
    </xf>
    <xf numFmtId="0" fontId="10" fillId="0" borderId="0" xfId="2" applyNumberFormat="1" applyFont="1" applyAlignment="1" applyProtection="1">
      <alignment horizontal="center"/>
      <protection locked="0"/>
    </xf>
    <xf numFmtId="0" fontId="10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0" xfId="2" applyNumberFormat="1" applyFont="1" applyBorder="1" applyAlignment="1"/>
    <xf numFmtId="0" fontId="10" fillId="0" borderId="0" xfId="2" applyNumberFormat="1" applyFont="1" applyAlignment="1" applyProtection="1">
      <protection locked="0"/>
    </xf>
    <xf numFmtId="0" fontId="7" fillId="0" borderId="5" xfId="2" applyFont="1" applyBorder="1" applyAlignment="1">
      <alignment horizontal="center"/>
    </xf>
    <xf numFmtId="0" fontId="10" fillId="0" borderId="5" xfId="2" applyNumberFormat="1" applyFont="1" applyBorder="1" applyAlignment="1" applyProtection="1">
      <protection locked="0"/>
    </xf>
    <xf numFmtId="2" fontId="40" fillId="0" borderId="0" xfId="2" applyNumberFormat="1" applyFont="1" applyAlignment="1" applyProtection="1">
      <alignment horizontal="center"/>
      <protection locked="0"/>
    </xf>
    <xf numFmtId="1" fontId="7" fillId="0" borderId="0" xfId="2" applyNumberFormat="1" applyFont="1" applyBorder="1" applyAlignment="1">
      <alignment horizontal="center"/>
    </xf>
    <xf numFmtId="0" fontId="10" fillId="0" borderId="0" xfId="2" applyNumberFormat="1" applyFont="1" applyFill="1" applyAlignment="1" applyProtection="1">
      <alignment horizontal="center"/>
      <protection locked="0"/>
    </xf>
    <xf numFmtId="0" fontId="7" fillId="0" borderId="0" xfId="2" applyFont="1" applyAlignment="1">
      <alignment horizontal="center"/>
    </xf>
    <xf numFmtId="0" fontId="40" fillId="0" borderId="0" xfId="2" quotePrefix="1" applyNumberFormat="1" applyFont="1" applyBorder="1" applyAlignment="1" applyProtection="1">
      <protection locked="0"/>
    </xf>
    <xf numFmtId="168" fontId="40" fillId="0" borderId="9" xfId="2" applyNumberFormat="1" applyFont="1" applyBorder="1" applyAlignment="1"/>
    <xf numFmtId="166" fontId="41" fillId="0" borderId="5" xfId="2" applyNumberFormat="1" applyFont="1" applyBorder="1" applyAlignment="1"/>
    <xf numFmtId="2" fontId="41" fillId="0" borderId="0" xfId="2" applyNumberFormat="1" applyFont="1" applyAlignment="1" applyProtection="1">
      <alignment horizontal="center"/>
      <protection locked="0"/>
    </xf>
    <xf numFmtId="2" fontId="41" fillId="0" borderId="5" xfId="2" applyNumberFormat="1" applyFont="1" applyBorder="1" applyAlignment="1" applyProtection="1">
      <alignment horizontal="center"/>
      <protection locked="0"/>
    </xf>
    <xf numFmtId="0" fontId="4" fillId="0" borderId="0" xfId="3" applyFont="1"/>
    <xf numFmtId="0" fontId="10" fillId="0" borderId="3" xfId="2" applyNumberFormat="1" applyFont="1" applyBorder="1" applyAlignment="1" applyProtection="1">
      <alignment horizontal="right"/>
      <protection locked="0"/>
    </xf>
    <xf numFmtId="0" fontId="43" fillId="0" borderId="9" xfId="2" applyNumberFormat="1" applyFont="1" applyFill="1" applyBorder="1" applyAlignment="1" applyProtection="1">
      <protection locked="0"/>
    </xf>
    <xf numFmtId="165" fontId="6" fillId="0" borderId="0" xfId="2" applyNumberFormat="1" applyFont="1" applyBorder="1" applyAlignment="1" applyProtection="1">
      <protection locked="0"/>
    </xf>
    <xf numFmtId="165" fontId="6" fillId="0" borderId="0" xfId="2" applyNumberFormat="1" applyFont="1" applyAlignment="1" applyProtection="1">
      <protection locked="0"/>
    </xf>
    <xf numFmtId="2" fontId="44" fillId="0" borderId="2" xfId="2" applyNumberFormat="1" applyFont="1" applyBorder="1" applyAlignment="1" applyProtection="1">
      <protection locked="0"/>
    </xf>
    <xf numFmtId="0" fontId="38" fillId="0" borderId="0" xfId="0" applyFont="1"/>
    <xf numFmtId="0" fontId="5" fillId="0" borderId="11" xfId="2" applyFont="1" applyBorder="1" applyAlignment="1"/>
    <xf numFmtId="164" fontId="28" fillId="0" borderId="0" xfId="2" applyNumberFormat="1" applyFont="1" applyAlignment="1" applyProtection="1">
      <protection locked="0"/>
    </xf>
    <xf numFmtId="0" fontId="37" fillId="0" borderId="0" xfId="0" applyFont="1" applyAlignment="1"/>
    <xf numFmtId="0" fontId="2" fillId="0" borderId="0" xfId="1" applyAlignment="1" applyProtection="1"/>
    <xf numFmtId="2" fontId="16" fillId="0" borderId="0" xfId="2" applyNumberFormat="1" applyFont="1" applyBorder="1" applyAlignment="1"/>
    <xf numFmtId="0" fontId="37" fillId="0" borderId="0" xfId="0" applyFont="1" applyBorder="1"/>
    <xf numFmtId="1" fontId="6" fillId="0" borderId="0" xfId="2" applyNumberFormat="1" applyFont="1" applyAlignment="1" applyProtection="1">
      <protection locked="0"/>
    </xf>
    <xf numFmtId="0" fontId="5" fillId="0" borderId="9" xfId="2" applyNumberFormat="1" applyFont="1" applyBorder="1" applyAlignment="1" applyProtection="1">
      <alignment horizontal="right"/>
      <protection locked="0"/>
    </xf>
    <xf numFmtId="0" fontId="9" fillId="0" borderId="5" xfId="2" applyFont="1" applyBorder="1" applyAlignment="1"/>
    <xf numFmtId="15" fontId="37" fillId="0" borderId="0" xfId="0" applyNumberFormat="1" applyFont="1" applyBorder="1" applyAlignment="1">
      <alignment horizontal="center"/>
    </xf>
    <xf numFmtId="0" fontId="23" fillId="0" borderId="0" xfId="2" applyFont="1" applyBorder="1" applyAlignment="1"/>
    <xf numFmtId="164" fontId="23" fillId="0" borderId="0" xfId="2" applyNumberFormat="1" applyFont="1" applyBorder="1" applyAlignment="1" applyProtection="1">
      <protection locked="0"/>
    </xf>
    <xf numFmtId="0" fontId="45" fillId="0" borderId="0" xfId="0" applyFont="1"/>
    <xf numFmtId="0" fontId="46" fillId="0" borderId="0" xfId="0" applyFont="1" applyBorder="1"/>
    <xf numFmtId="0" fontId="46" fillId="0" borderId="0" xfId="2" applyFont="1" applyBorder="1" applyAlignment="1">
      <alignment horizontal="center"/>
    </xf>
    <xf numFmtId="170" fontId="19" fillId="0" borderId="0" xfId="2" applyNumberFormat="1" applyFont="1" applyBorder="1" applyAlignment="1"/>
    <xf numFmtId="0" fontId="46" fillId="0" borderId="0" xfId="0" applyFont="1" applyAlignment="1">
      <alignment horizontal="center"/>
    </xf>
    <xf numFmtId="0" fontId="19" fillId="0" borderId="0" xfId="2" applyNumberFormat="1" applyFont="1" applyAlignment="1" applyProtection="1">
      <protection locked="0"/>
    </xf>
    <xf numFmtId="15" fontId="49" fillId="0" borderId="0" xfId="0" applyNumberFormat="1" applyFont="1"/>
    <xf numFmtId="0" fontId="48" fillId="0" borderId="0" xfId="0" applyFont="1"/>
    <xf numFmtId="0" fontId="49" fillId="0" borderId="0" xfId="0" applyFont="1" applyBorder="1"/>
    <xf numFmtId="2" fontId="21" fillId="0" borderId="2" xfId="2" applyNumberFormat="1" applyFont="1" applyBorder="1" applyAlignment="1">
      <alignment horizontal="center"/>
    </xf>
    <xf numFmtId="2" fontId="24" fillId="0" borderId="0" xfId="2" applyNumberFormat="1" applyFont="1" applyAlignment="1">
      <alignment horizontal="center"/>
    </xf>
    <xf numFmtId="2" fontId="21" fillId="0" borderId="0" xfId="2" applyNumberFormat="1" applyFont="1" applyAlignment="1">
      <alignment horizontal="center"/>
    </xf>
    <xf numFmtId="2" fontId="24" fillId="0" borderId="5" xfId="2" applyNumberFormat="1" applyFont="1" applyBorder="1" applyAlignment="1">
      <alignment horizontal="center"/>
    </xf>
    <xf numFmtId="0" fontId="47" fillId="0" borderId="3" xfId="2" applyFont="1" applyBorder="1" applyAlignment="1"/>
    <xf numFmtId="0" fontId="48" fillId="0" borderId="0" xfId="2" applyFont="1" applyAlignment="1">
      <alignment horizontal="left"/>
    </xf>
    <xf numFmtId="0" fontId="49" fillId="0" borderId="0" xfId="2" applyFont="1" applyBorder="1" applyAlignment="1">
      <alignment horizontal="center"/>
    </xf>
    <xf numFmtId="15" fontId="49" fillId="0" borderId="0" xfId="0" applyNumberFormat="1" applyFont="1" applyBorder="1" applyAlignment="1">
      <alignment horizontal="center"/>
    </xf>
    <xf numFmtId="2" fontId="47" fillId="0" borderId="0" xfId="3" applyNumberFormat="1" applyFont="1"/>
    <xf numFmtId="2" fontId="47" fillId="0" borderId="0" xfId="2" applyNumberFormat="1" applyFont="1" applyAlignment="1" applyProtection="1">
      <protection locked="0"/>
    </xf>
    <xf numFmtId="0" fontId="3" fillId="0" borderId="4" xfId="2" applyNumberFormat="1" applyFont="1" applyBorder="1" applyAlignment="1" applyProtection="1">
      <protection locked="0"/>
    </xf>
    <xf numFmtId="175" fontId="16" fillId="0" borderId="5" xfId="2" applyNumberFormat="1" applyFont="1" applyBorder="1" applyAlignment="1" applyProtection="1">
      <protection locked="0"/>
    </xf>
    <xf numFmtId="0" fontId="3" fillId="0" borderId="13" xfId="2" applyNumberFormat="1" applyFont="1" applyBorder="1" applyAlignment="1" applyProtection="1">
      <protection locked="0"/>
    </xf>
    <xf numFmtId="0" fontId="3" fillId="0" borderId="11" xfId="2" applyNumberFormat="1" applyFont="1" applyBorder="1" applyAlignment="1" applyProtection="1">
      <alignment horizontal="right"/>
      <protection locked="0"/>
    </xf>
    <xf numFmtId="0" fontId="42" fillId="0" borderId="3" xfId="2" applyNumberFormat="1" applyFont="1" applyBorder="1" applyAlignment="1" applyProtection="1">
      <protection locked="0"/>
    </xf>
    <xf numFmtId="0" fontId="3" fillId="0" borderId="12" xfId="2" applyNumberFormat="1" applyFont="1" applyBorder="1" applyAlignment="1" applyProtection="1">
      <protection locked="0"/>
    </xf>
    <xf numFmtId="0" fontId="49" fillId="0" borderId="0" xfId="0" applyFont="1" applyAlignment="1"/>
    <xf numFmtId="0" fontId="49" fillId="0" borderId="0" xfId="0" applyFont="1"/>
    <xf numFmtId="0" fontId="26" fillId="0" borderId="0" xfId="1" applyFont="1" applyBorder="1" applyAlignment="1" applyProtection="1">
      <alignment horizontal="right"/>
    </xf>
    <xf numFmtId="0" fontId="2" fillId="0" borderId="0" xfId="1" applyBorder="1" applyAlignment="1" applyProtection="1"/>
    <xf numFmtId="168" fontId="40" fillId="0" borderId="0" xfId="2" applyNumberFormat="1" applyFont="1" applyBorder="1" applyAlignment="1"/>
    <xf numFmtId="2" fontId="41" fillId="0" borderId="5" xfId="2" applyNumberFormat="1" applyFont="1" applyBorder="1" applyAlignment="1"/>
    <xf numFmtId="164" fontId="50" fillId="0" borderId="14" xfId="2" applyNumberFormat="1" applyFont="1" applyBorder="1" applyAlignment="1">
      <alignment horizontal="center"/>
    </xf>
    <xf numFmtId="164" fontId="47" fillId="0" borderId="10" xfId="2" applyNumberFormat="1" applyFont="1" applyBorder="1" applyAlignment="1">
      <alignment horizontal="center"/>
    </xf>
    <xf numFmtId="164" fontId="50" fillId="0" borderId="10" xfId="2" applyNumberFormat="1" applyFont="1" applyBorder="1" applyAlignment="1">
      <alignment horizontal="center"/>
    </xf>
    <xf numFmtId="164" fontId="47" fillId="0" borderId="13" xfId="2" applyNumberFormat="1" applyFont="1" applyBorder="1" applyAlignment="1">
      <alignment horizontal="center"/>
    </xf>
    <xf numFmtId="0" fontId="51" fillId="0" borderId="15" xfId="2" applyFont="1" applyBorder="1" applyAlignment="1">
      <alignment horizontal="right"/>
    </xf>
    <xf numFmtId="0" fontId="51" fillId="0" borderId="7" xfId="2" applyFont="1" applyBorder="1" applyAlignment="1">
      <alignment horizontal="center"/>
    </xf>
    <xf numFmtId="0" fontId="51" fillId="0" borderId="10" xfId="2" applyFont="1" applyBorder="1" applyAlignment="1">
      <alignment horizontal="center"/>
    </xf>
    <xf numFmtId="0" fontId="51" fillId="0" borderId="10" xfId="2" applyNumberFormat="1" applyFont="1" applyBorder="1" applyAlignment="1" applyProtection="1">
      <alignment horizontal="center"/>
      <protection locked="0"/>
    </xf>
    <xf numFmtId="0" fontId="49" fillId="0" borderId="0" xfId="1" applyFont="1" applyBorder="1" applyAlignment="1" applyProtection="1"/>
    <xf numFmtId="0" fontId="52" fillId="0" borderId="0" xfId="1" applyNumberFormat="1" applyFont="1" applyBorder="1" applyAlignment="1">
      <alignment horizontal="right"/>
      <protection locked="0"/>
    </xf>
    <xf numFmtId="0" fontId="48" fillId="0" borderId="0" xfId="0" applyFont="1" applyAlignment="1">
      <alignment horizontal="right"/>
    </xf>
    <xf numFmtId="0" fontId="53" fillId="0" borderId="0" xfId="1" applyFont="1" applyAlignment="1" applyProtection="1"/>
    <xf numFmtId="0" fontId="49" fillId="0" borderId="3" xfId="2" applyNumberFormat="1" applyFont="1" applyBorder="1" applyAlignment="1" applyProtection="1">
      <alignment horizontal="center"/>
      <protection locked="0"/>
    </xf>
    <xf numFmtId="15" fontId="49" fillId="0" borderId="3" xfId="2" applyNumberFormat="1" applyFont="1" applyBorder="1" applyAlignment="1">
      <alignment horizontal="center"/>
    </xf>
    <xf numFmtId="0" fontId="54" fillId="0" borderId="0" xfId="0" applyFont="1"/>
    <xf numFmtId="15" fontId="55" fillId="0" borderId="0" xfId="0" applyNumberFormat="1" applyFont="1" applyFill="1" applyBorder="1" applyAlignment="1">
      <alignment vertical="center"/>
    </xf>
    <xf numFmtId="2" fontId="56" fillId="0" borderId="0" xfId="2" applyNumberFormat="1" applyFont="1" applyAlignment="1"/>
    <xf numFmtId="2" fontId="57" fillId="0" borderId="0" xfId="2" applyNumberFormat="1" applyFont="1" applyAlignment="1"/>
    <xf numFmtId="2" fontId="16" fillId="3" borderId="0" xfId="2" applyNumberFormat="1" applyFont="1" applyFill="1" applyBorder="1" applyAlignment="1">
      <alignment horizontal="center"/>
    </xf>
    <xf numFmtId="164" fontId="16" fillId="3" borderId="9" xfId="2" applyNumberFormat="1" applyFont="1" applyFill="1" applyBorder="1" applyAlignment="1">
      <alignment horizontal="center"/>
    </xf>
    <xf numFmtId="2" fontId="15" fillId="3" borderId="0" xfId="2" applyNumberFormat="1" applyFont="1" applyFill="1" applyAlignment="1"/>
    <xf numFmtId="2" fontId="15" fillId="3" borderId="0" xfId="2" applyNumberFormat="1" applyFont="1" applyFill="1" applyAlignment="1">
      <alignment horizontal="right"/>
    </xf>
    <xf numFmtId="2" fontId="41" fillId="3" borderId="0" xfId="2" applyNumberFormat="1" applyFont="1" applyFill="1" applyAlignment="1" applyProtection="1">
      <protection locked="0"/>
    </xf>
    <xf numFmtId="2" fontId="11" fillId="3" borderId="0" xfId="2" applyNumberFormat="1" applyFont="1" applyFill="1" applyAlignment="1"/>
    <xf numFmtId="2" fontId="15" fillId="3" borderId="0" xfId="2" applyNumberFormat="1" applyFont="1" applyFill="1" applyBorder="1" applyAlignment="1"/>
    <xf numFmtId="2" fontId="15" fillId="3" borderId="0" xfId="2" applyNumberFormat="1" applyFont="1" applyFill="1" applyBorder="1" applyAlignment="1" applyProtection="1">
      <protection locked="0"/>
    </xf>
    <xf numFmtId="166" fontId="41" fillId="3" borderId="0" xfId="2" applyNumberFormat="1" applyFont="1" applyFill="1" applyBorder="1" applyAlignment="1"/>
    <xf numFmtId="0" fontId="11" fillId="3" borderId="0" xfId="2" applyFont="1" applyFill="1" applyBorder="1" applyAlignment="1">
      <alignment horizontal="center"/>
    </xf>
    <xf numFmtId="0" fontId="25" fillId="3" borderId="0" xfId="2" applyNumberFormat="1" applyFont="1" applyFill="1" applyAlignment="1"/>
    <xf numFmtId="0" fontId="25" fillId="3" borderId="0" xfId="2" applyNumberFormat="1" applyFont="1" applyFill="1" applyAlignment="1" applyProtection="1">
      <protection locked="0"/>
    </xf>
    <xf numFmtId="168" fontId="25" fillId="3" borderId="0" xfId="2" applyNumberFormat="1" applyFont="1" applyFill="1" applyAlignment="1"/>
    <xf numFmtId="168" fontId="41" fillId="3" borderId="0" xfId="2" applyNumberFormat="1" applyFont="1" applyFill="1" applyAlignment="1"/>
    <xf numFmtId="2" fontId="56" fillId="3" borderId="0" xfId="2" applyNumberFormat="1" applyFont="1" applyFill="1" applyAlignment="1"/>
    <xf numFmtId="2" fontId="41" fillId="3" borderId="0" xfId="2" applyNumberFormat="1" applyFont="1" applyFill="1" applyAlignment="1"/>
    <xf numFmtId="0" fontId="58" fillId="0" borderId="11" xfId="2" applyNumberFormat="1" applyFont="1" applyBorder="1" applyAlignment="1"/>
    <xf numFmtId="0" fontId="6" fillId="0" borderId="3" xfId="2" applyNumberFormat="1" applyFont="1" applyBorder="1" applyAlignment="1"/>
    <xf numFmtId="0" fontId="6" fillId="0" borderId="0" xfId="2" applyNumberFormat="1" applyFont="1" applyFill="1" applyBorder="1" applyAlignment="1"/>
    <xf numFmtId="0" fontId="59" fillId="0" borderId="0" xfId="2" applyNumberFormat="1" applyFont="1" applyBorder="1" applyAlignment="1"/>
    <xf numFmtId="0" fontId="61" fillId="0" borderId="0" xfId="2" applyNumberFormat="1" applyFont="1" applyBorder="1" applyAlignment="1"/>
    <xf numFmtId="1" fontId="60" fillId="0" borderId="0" xfId="2" applyNumberFormat="1" applyFont="1" applyBorder="1" applyAlignment="1"/>
    <xf numFmtId="165" fontId="16" fillId="0" borderId="0" xfId="2" applyNumberFormat="1" applyFont="1" applyBorder="1" applyAlignment="1">
      <alignment horizontal="center"/>
    </xf>
    <xf numFmtId="0" fontId="16" fillId="0" borderId="0" xfId="2" applyNumberFormat="1" applyFont="1" applyFill="1" applyAlignment="1" applyProtection="1">
      <alignment horizontal="center"/>
      <protection locked="0"/>
    </xf>
    <xf numFmtId="164" fontId="16" fillId="0" borderId="0" xfId="2" applyNumberFormat="1" applyFont="1" applyFill="1" applyAlignment="1" applyProtection="1">
      <alignment horizontal="center"/>
      <protection locked="0"/>
    </xf>
    <xf numFmtId="0" fontId="16" fillId="0" borderId="0" xfId="2" applyNumberFormat="1" applyFont="1" applyFill="1" applyBorder="1" applyAlignment="1">
      <alignment horizontal="center"/>
    </xf>
    <xf numFmtId="164" fontId="16" fillId="0" borderId="0" xfId="2" applyNumberFormat="1" applyFont="1" applyFill="1" applyBorder="1" applyAlignment="1">
      <alignment horizontal="center"/>
    </xf>
    <xf numFmtId="0" fontId="16" fillId="0" borderId="0" xfId="2" applyNumberFormat="1" applyFont="1" applyBorder="1" applyAlignment="1">
      <alignment horizontal="center"/>
    </xf>
    <xf numFmtId="0" fontId="6" fillId="0" borderId="1" xfId="2" applyFont="1" applyBorder="1" applyAlignment="1">
      <alignment horizontal="left"/>
    </xf>
    <xf numFmtId="0" fontId="6" fillId="0" borderId="2" xfId="2" applyFont="1" applyBorder="1" applyAlignment="1"/>
    <xf numFmtId="15" fontId="6" fillId="0" borderId="1" xfId="2" applyNumberFormat="1" applyFont="1" applyBorder="1" applyAlignment="1">
      <alignment horizontal="right"/>
    </xf>
    <xf numFmtId="2" fontId="6" fillId="0" borderId="3" xfId="2" applyNumberFormat="1" applyFont="1" applyBorder="1" applyAlignment="1">
      <alignment horizontal="right"/>
    </xf>
    <xf numFmtId="0" fontId="6" fillId="0" borderId="3" xfId="2" applyFont="1" applyBorder="1" applyAlignment="1">
      <alignment horizontal="right"/>
    </xf>
    <xf numFmtId="0" fontId="16" fillId="0" borderId="3" xfId="2" applyFont="1" applyBorder="1" applyAlignment="1">
      <alignment horizontal="right"/>
    </xf>
    <xf numFmtId="0" fontId="6" fillId="0" borderId="12" xfId="2" applyFont="1" applyBorder="1" applyAlignment="1"/>
    <xf numFmtId="1" fontId="6" fillId="0" borderId="0" xfId="2" applyNumberFormat="1" applyFont="1" applyBorder="1" applyAlignment="1"/>
    <xf numFmtId="0" fontId="6" fillId="0" borderId="10" xfId="2" applyFont="1" applyBorder="1" applyAlignment="1"/>
    <xf numFmtId="0" fontId="10" fillId="0" borderId="0" xfId="2" applyNumberFormat="1" applyFont="1" applyFill="1" applyAlignment="1" applyProtection="1">
      <protection locked="0"/>
    </xf>
    <xf numFmtId="0" fontId="6" fillId="0" borderId="0" xfId="3" applyFont="1"/>
    <xf numFmtId="0" fontId="6" fillId="0" borderId="5" xfId="2" applyFont="1" applyBorder="1" applyAlignment="1">
      <alignment horizontal="right"/>
    </xf>
    <xf numFmtId="0" fontId="6" fillId="0" borderId="13" xfId="2" applyFont="1" applyBorder="1" applyAlignment="1"/>
    <xf numFmtId="0" fontId="10" fillId="0" borderId="10" xfId="2" applyFont="1" applyBorder="1" applyAlignment="1">
      <alignment horizontal="left"/>
    </xf>
    <xf numFmtId="0" fontId="28" fillId="0" borderId="0" xfId="2" applyFont="1" applyBorder="1" applyAlignment="1"/>
    <xf numFmtId="0" fontId="6" fillId="0" borderId="0" xfId="2" applyFont="1" applyBorder="1" applyAlignment="1">
      <alignment horizontal="left"/>
    </xf>
    <xf numFmtId="0" fontId="6" fillId="0" borderId="10" xfId="2" applyFont="1" applyBorder="1" applyAlignment="1">
      <alignment horizontal="left"/>
    </xf>
    <xf numFmtId="0" fontId="28" fillId="0" borderId="5" xfId="2" applyFont="1" applyBorder="1" applyAlignment="1"/>
    <xf numFmtId="2" fontId="6" fillId="0" borderId="0" xfId="2" applyNumberFormat="1" applyFont="1" applyBorder="1" applyAlignment="1">
      <alignment horizontal="right"/>
    </xf>
    <xf numFmtId="0" fontId="6" fillId="0" borderId="9" xfId="2" applyFont="1" applyFill="1" applyBorder="1" applyAlignment="1">
      <alignment horizontal="left"/>
    </xf>
    <xf numFmtId="0" fontId="10" fillId="0" borderId="11" xfId="2" applyNumberFormat="1" applyFont="1" applyBorder="1" applyAlignment="1" applyProtection="1">
      <alignment horizontal="right"/>
      <protection locked="0"/>
    </xf>
    <xf numFmtId="0" fontId="10" fillId="0" borderId="12" xfId="2" applyNumberFormat="1" applyFont="1" applyBorder="1" applyAlignment="1" applyProtection="1">
      <protection locked="0"/>
    </xf>
    <xf numFmtId="2" fontId="6" fillId="0" borderId="9" xfId="2" applyNumberFormat="1" applyFont="1" applyFill="1" applyBorder="1" applyAlignment="1"/>
    <xf numFmtId="0" fontId="10" fillId="0" borderId="4" xfId="2" applyNumberFormat="1" applyFont="1" applyBorder="1" applyAlignment="1" applyProtection="1">
      <protection locked="0"/>
    </xf>
    <xf numFmtId="0" fontId="10" fillId="0" borderId="13" xfId="2" applyNumberFormat="1" applyFont="1" applyBorder="1" applyAlignment="1" applyProtection="1">
      <protection locked="0"/>
    </xf>
    <xf numFmtId="0" fontId="59" fillId="0" borderId="0" xfId="1" applyFont="1" applyBorder="1" applyAlignment="1" applyProtection="1">
      <alignment horizontal="right"/>
    </xf>
    <xf numFmtId="2" fontId="10" fillId="0" borderId="0" xfId="2" applyNumberFormat="1" applyFont="1" applyBorder="1" applyAlignment="1">
      <alignment horizontal="right"/>
    </xf>
    <xf numFmtId="0" fontId="6" fillId="0" borderId="11" xfId="2" applyFont="1" applyBorder="1" applyAlignment="1"/>
    <xf numFmtId="0" fontId="10" fillId="0" borderId="0" xfId="2" applyFont="1" applyBorder="1" applyAlignment="1">
      <alignment horizontal="right"/>
    </xf>
    <xf numFmtId="0" fontId="10" fillId="0" borderId="9" xfId="2" applyNumberFormat="1" applyFont="1" applyBorder="1" applyAlignment="1" applyProtection="1">
      <protection locked="0"/>
    </xf>
    <xf numFmtId="2" fontId="10" fillId="0" borderId="0" xfId="2" applyNumberFormat="1" applyFont="1" applyBorder="1" applyAlignment="1"/>
    <xf numFmtId="0" fontId="16" fillId="0" borderId="0" xfId="2" applyFont="1" applyBorder="1" applyAlignment="1">
      <alignment horizontal="right"/>
    </xf>
    <xf numFmtId="2" fontId="6" fillId="2" borderId="0" xfId="2" applyNumberFormat="1" applyFont="1" applyFill="1" applyBorder="1" applyAlignment="1"/>
    <xf numFmtId="1" fontId="16" fillId="0" borderId="0" xfId="2" applyNumberFormat="1" applyFont="1" applyBorder="1" applyAlignment="1"/>
    <xf numFmtId="0" fontId="42" fillId="0" borderId="0" xfId="2" applyNumberFormat="1" applyFont="1" applyAlignment="1" applyProtection="1">
      <protection locked="0"/>
    </xf>
    <xf numFmtId="0" fontId="10" fillId="0" borderId="9" xfId="2" applyFont="1" applyBorder="1" applyAlignment="1"/>
    <xf numFmtId="0" fontId="10" fillId="0" borderId="0" xfId="2" applyNumberFormat="1" applyFont="1" applyBorder="1" applyAlignment="1" applyProtection="1">
      <protection locked="0"/>
    </xf>
    <xf numFmtId="1" fontId="10" fillId="0" borderId="10" xfId="2" applyNumberFormat="1" applyFont="1" applyBorder="1" applyAlignment="1">
      <alignment horizontal="left"/>
    </xf>
    <xf numFmtId="170" fontId="6" fillId="0" borderId="0" xfId="2" applyNumberFormat="1" applyFont="1" applyBorder="1" applyAlignment="1"/>
    <xf numFmtId="2" fontId="10" fillId="0" borderId="10" xfId="2" applyNumberFormat="1" applyFont="1" applyBorder="1" applyAlignment="1"/>
    <xf numFmtId="0" fontId="10" fillId="0" borderId="10" xfId="2" applyFont="1" applyBorder="1" applyAlignment="1"/>
    <xf numFmtId="0" fontId="16" fillId="0" borderId="10" xfId="2" applyNumberFormat="1" applyFont="1" applyBorder="1" applyAlignment="1" applyProtection="1">
      <protection locked="0"/>
    </xf>
    <xf numFmtId="0" fontId="59" fillId="0" borderId="0" xfId="1" applyNumberFormat="1" applyFont="1" applyBorder="1" applyAlignment="1">
      <alignment horizontal="right"/>
      <protection locked="0"/>
    </xf>
    <xf numFmtId="174" fontId="16" fillId="0" borderId="0" xfId="2" applyNumberFormat="1" applyFont="1" applyBorder="1" applyAlignment="1"/>
    <xf numFmtId="1" fontId="10" fillId="0" borderId="0" xfId="2" applyNumberFormat="1" applyFont="1" applyBorder="1" applyAlignment="1">
      <alignment horizontal="right"/>
    </xf>
    <xf numFmtId="1" fontId="6" fillId="0" borderId="10" xfId="2" applyNumberFormat="1" applyFont="1" applyBorder="1" applyAlignment="1">
      <alignment horizontal="left"/>
    </xf>
    <xf numFmtId="0" fontId="10" fillId="0" borderId="15" xfId="2" applyFont="1" applyBorder="1" applyAlignment="1">
      <alignment horizontal="right"/>
    </xf>
    <xf numFmtId="2" fontId="6" fillId="2" borderId="5" xfId="2" applyNumberFormat="1" applyFont="1" applyFill="1" applyBorder="1" applyAlignment="1"/>
    <xf numFmtId="0" fontId="6" fillId="0" borderId="5" xfId="2" applyFont="1" applyBorder="1" applyAlignment="1"/>
    <xf numFmtId="2" fontId="6" fillId="0" borderId="5" xfId="2" applyNumberFormat="1" applyFont="1" applyBorder="1" applyAlignment="1">
      <alignment horizontal="right"/>
    </xf>
    <xf numFmtId="1" fontId="6" fillId="0" borderId="4" xfId="2" applyNumberFormat="1" applyFont="1" applyFill="1" applyBorder="1" applyAlignment="1">
      <alignment horizontal="center"/>
    </xf>
    <xf numFmtId="1" fontId="6" fillId="0" borderId="5" xfId="2" applyNumberFormat="1" applyFont="1" applyBorder="1" applyAlignment="1">
      <alignment horizontal="right"/>
    </xf>
    <xf numFmtId="2" fontId="6" fillId="0" borderId="5" xfId="2" applyNumberFormat="1" applyFont="1" applyBorder="1" applyAlignment="1"/>
    <xf numFmtId="1" fontId="6" fillId="0" borderId="13" xfId="2" applyNumberFormat="1" applyFont="1" applyBorder="1" applyAlignment="1"/>
    <xf numFmtId="0" fontId="10" fillId="0" borderId="7" xfId="2" applyFont="1" applyBorder="1" applyAlignment="1">
      <alignment horizontal="center"/>
    </xf>
    <xf numFmtId="2" fontId="62" fillId="0" borderId="0" xfId="3" applyNumberFormat="1" applyFont="1" applyFill="1"/>
    <xf numFmtId="0" fontId="64" fillId="0" borderId="0" xfId="2" applyNumberFormat="1" applyFont="1" applyAlignment="1" applyProtection="1">
      <alignment horizontal="center" vertical="center"/>
      <protection locked="0"/>
    </xf>
    <xf numFmtId="165" fontId="64" fillId="0" borderId="0" xfId="2" applyNumberFormat="1" applyFont="1" applyAlignment="1" applyProtection="1">
      <alignment horizontal="center" vertical="center"/>
      <protection locked="0"/>
    </xf>
    <xf numFmtId="2" fontId="64" fillId="0" borderId="0" xfId="2" applyNumberFormat="1" applyFont="1" applyAlignment="1" applyProtection="1">
      <alignment horizontal="center" vertical="center"/>
      <protection locked="0"/>
    </xf>
    <xf numFmtId="164" fontId="64" fillId="0" borderId="0" xfId="2" applyNumberFormat="1" applyFont="1" applyAlignment="1" applyProtection="1">
      <alignment horizontal="center" vertical="center"/>
      <protection locked="0"/>
    </xf>
    <xf numFmtId="165" fontId="64" fillId="0" borderId="0" xfId="2" applyNumberFormat="1" applyFont="1" applyBorder="1" applyAlignment="1">
      <alignment horizontal="center" vertical="center"/>
    </xf>
    <xf numFmtId="1" fontId="64" fillId="0" borderId="0" xfId="2" applyNumberFormat="1" applyFont="1" applyAlignment="1" applyProtection="1">
      <alignment horizontal="center" vertical="center"/>
      <protection locked="0"/>
    </xf>
    <xf numFmtId="2" fontId="64" fillId="0" borderId="0" xfId="2" applyNumberFormat="1" applyFont="1" applyFill="1" applyAlignment="1" applyProtection="1">
      <alignment horizontal="center" vertical="center"/>
      <protection locked="0"/>
    </xf>
    <xf numFmtId="165" fontId="64" fillId="0" borderId="0" xfId="2" applyNumberFormat="1" applyFont="1" applyFill="1" applyAlignment="1" applyProtection="1">
      <alignment horizontal="center" vertical="center"/>
      <protection locked="0"/>
    </xf>
    <xf numFmtId="1" fontId="64" fillId="0" borderId="0" xfId="5" applyNumberFormat="1" applyFont="1" applyAlignment="1" applyProtection="1">
      <alignment horizontal="center" vertical="center"/>
      <protection locked="0"/>
    </xf>
    <xf numFmtId="0" fontId="65" fillId="0" borderId="9" xfId="2" applyNumberFormat="1" applyFont="1" applyBorder="1" applyAlignment="1" applyProtection="1">
      <alignment horizontal="center"/>
      <protection locked="0"/>
    </xf>
    <xf numFmtId="0" fontId="14" fillId="4" borderId="0" xfId="2" applyNumberFormat="1" applyFont="1" applyFill="1" applyBorder="1" applyAlignment="1"/>
    <xf numFmtId="0" fontId="14" fillId="4" borderId="0" xfId="2" applyNumberFormat="1" applyFont="1" applyFill="1" applyBorder="1" applyAlignment="1">
      <alignment horizontal="right"/>
    </xf>
    <xf numFmtId="0" fontId="6" fillId="0" borderId="7" xfId="2" applyFont="1" applyBorder="1" applyAlignment="1">
      <alignment horizontal="center"/>
    </xf>
    <xf numFmtId="2" fontId="6" fillId="0" borderId="10" xfId="2" applyNumberFormat="1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164" fontId="6" fillId="0" borderId="0" xfId="2" applyNumberFormat="1" applyFont="1" applyBorder="1" applyAlignment="1">
      <alignment horizontal="center"/>
    </xf>
    <xf numFmtId="164" fontId="10" fillId="0" borderId="0" xfId="2" applyNumberFormat="1" applyFont="1" applyBorder="1" applyAlignment="1">
      <alignment horizontal="center"/>
    </xf>
    <xf numFmtId="0" fontId="10" fillId="0" borderId="10" xfId="2" applyFont="1" applyBorder="1" applyAlignment="1">
      <alignment horizontal="center"/>
    </xf>
    <xf numFmtId="0" fontId="10" fillId="0" borderId="9" xfId="2" applyNumberFormat="1" applyFont="1" applyBorder="1" applyAlignment="1" applyProtection="1">
      <alignment horizontal="center"/>
      <protection locked="0"/>
    </xf>
    <xf numFmtId="0" fontId="10" fillId="0" borderId="10" xfId="2" applyNumberFormat="1" applyFont="1" applyBorder="1" applyAlignment="1" applyProtection="1">
      <alignment horizontal="center"/>
      <protection locked="0"/>
    </xf>
    <xf numFmtId="2" fontId="6" fillId="0" borderId="13" xfId="2" applyNumberFormat="1" applyFont="1" applyBorder="1" applyAlignment="1">
      <alignment horizontal="center"/>
    </xf>
    <xf numFmtId="164" fontId="6" fillId="0" borderId="5" xfId="2" applyNumberFormat="1" applyFont="1" applyBorder="1" applyAlignment="1">
      <alignment horizontal="center"/>
    </xf>
    <xf numFmtId="2" fontId="10" fillId="0" borderId="5" xfId="2" applyNumberFormat="1" applyFont="1" applyBorder="1" applyAlignment="1">
      <alignment horizontal="center"/>
    </xf>
    <xf numFmtId="2" fontId="6" fillId="0" borderId="4" xfId="2" applyNumberFormat="1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165" fontId="6" fillId="0" borderId="6" xfId="2" applyNumberFormat="1" applyFont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174" fontId="6" fillId="0" borderId="2" xfId="2" applyNumberFormat="1" applyFont="1" applyBorder="1" applyAlignment="1">
      <alignment horizontal="center"/>
    </xf>
    <xf numFmtId="166" fontId="6" fillId="0" borderId="2" xfId="2" applyNumberFormat="1" applyFont="1" applyBorder="1" applyAlignment="1">
      <alignment horizontal="center"/>
    </xf>
    <xf numFmtId="1" fontId="6" fillId="0" borderId="2" xfId="2" applyNumberFormat="1" applyFont="1" applyBorder="1" applyAlignment="1">
      <alignment horizontal="center"/>
    </xf>
    <xf numFmtId="0" fontId="6" fillId="0" borderId="2" xfId="2" applyNumberFormat="1" applyFont="1" applyBorder="1" applyAlignment="1" applyProtection="1">
      <alignment horizontal="center"/>
      <protection locked="0"/>
    </xf>
    <xf numFmtId="164" fontId="6" fillId="0" borderId="2" xfId="2" applyNumberFormat="1" applyFont="1" applyBorder="1" applyAlignment="1">
      <alignment horizontal="center"/>
    </xf>
    <xf numFmtId="164" fontId="6" fillId="0" borderId="14" xfId="2" applyNumberFormat="1" applyFont="1" applyBorder="1" applyAlignment="1">
      <alignment horizontal="center"/>
    </xf>
    <xf numFmtId="169" fontId="16" fillId="0" borderId="7" xfId="2" applyNumberFormat="1" applyFont="1" applyBorder="1" applyAlignment="1">
      <alignment horizontal="center"/>
    </xf>
    <xf numFmtId="3" fontId="16" fillId="0" borderId="0" xfId="2" applyNumberFormat="1" applyFont="1" applyBorder="1" applyAlignment="1">
      <alignment horizontal="center"/>
    </xf>
    <xf numFmtId="1" fontId="16" fillId="0" borderId="0" xfId="2" applyNumberFormat="1" applyFont="1" applyBorder="1" applyAlignment="1">
      <alignment horizontal="center"/>
    </xf>
    <xf numFmtId="2" fontId="16" fillId="0" borderId="0" xfId="2" applyNumberFormat="1" applyFont="1" applyAlignment="1">
      <alignment horizontal="center"/>
    </xf>
    <xf numFmtId="2" fontId="16" fillId="0" borderId="0" xfId="2" applyNumberFormat="1" applyFont="1" applyAlignment="1" applyProtection="1">
      <alignment horizontal="center"/>
      <protection locked="0"/>
    </xf>
    <xf numFmtId="164" fontId="16" fillId="0" borderId="10" xfId="2" applyNumberFormat="1" applyFont="1" applyBorder="1" applyAlignment="1">
      <alignment horizontal="center"/>
    </xf>
    <xf numFmtId="164" fontId="16" fillId="0" borderId="0" xfId="2" applyNumberFormat="1" applyFont="1" applyBorder="1" applyAlignment="1">
      <alignment horizontal="center"/>
    </xf>
    <xf numFmtId="169" fontId="6" fillId="0" borderId="7" xfId="2" applyNumberFormat="1" applyFont="1" applyBorder="1" applyAlignment="1">
      <alignment horizontal="center"/>
    </xf>
    <xf numFmtId="3" fontId="6" fillId="0" borderId="0" xfId="2" applyNumberFormat="1" applyFont="1" applyBorder="1" applyAlignment="1">
      <alignment horizontal="center"/>
    </xf>
    <xf numFmtId="1" fontId="6" fillId="0" borderId="0" xfId="2" applyNumberFormat="1" applyFont="1" applyBorder="1" applyAlignment="1">
      <alignment horizontal="center"/>
    </xf>
    <xf numFmtId="2" fontId="6" fillId="0" borderId="0" xfId="2" applyNumberFormat="1" applyFont="1" applyAlignment="1">
      <alignment horizontal="center"/>
    </xf>
    <xf numFmtId="2" fontId="6" fillId="0" borderId="0" xfId="2" applyNumberFormat="1" applyFont="1" applyAlignment="1" applyProtection="1">
      <alignment horizontal="center"/>
      <protection locked="0"/>
    </xf>
    <xf numFmtId="164" fontId="6" fillId="0" borderId="10" xfId="2" applyNumberFormat="1" applyFont="1" applyBorder="1" applyAlignment="1">
      <alignment horizontal="center"/>
    </xf>
    <xf numFmtId="169" fontId="16" fillId="3" borderId="7" xfId="2" applyNumberFormat="1" applyFont="1" applyFill="1" applyBorder="1" applyAlignment="1">
      <alignment horizontal="center"/>
    </xf>
    <xf numFmtId="3" fontId="16" fillId="3" borderId="0" xfId="2" applyNumberFormat="1" applyFont="1" applyFill="1" applyBorder="1" applyAlignment="1">
      <alignment horizontal="center"/>
    </xf>
    <xf numFmtId="1" fontId="16" fillId="3" borderId="0" xfId="2" applyNumberFormat="1" applyFont="1" applyFill="1" applyBorder="1" applyAlignment="1">
      <alignment horizontal="center"/>
    </xf>
    <xf numFmtId="2" fontId="16" fillId="3" borderId="0" xfId="2" applyNumberFormat="1" applyFont="1" applyFill="1" applyAlignment="1">
      <alignment horizontal="center"/>
    </xf>
    <xf numFmtId="2" fontId="16" fillId="3" borderId="0" xfId="2" applyNumberFormat="1" applyFont="1" applyFill="1" applyAlignment="1" applyProtection="1">
      <alignment horizontal="center"/>
      <protection locked="0"/>
    </xf>
    <xf numFmtId="164" fontId="16" fillId="3" borderId="10" xfId="2" applyNumberFormat="1" applyFont="1" applyFill="1" applyBorder="1" applyAlignment="1">
      <alignment horizontal="center"/>
    </xf>
    <xf numFmtId="169" fontId="16" fillId="0" borderId="8" xfId="2" applyNumberFormat="1" applyFont="1" applyBorder="1" applyAlignment="1">
      <alignment horizontal="center"/>
    </xf>
    <xf numFmtId="3" fontId="16" fillId="0" borderId="5" xfId="2" applyNumberFormat="1" applyFont="1" applyBorder="1" applyAlignment="1">
      <alignment horizontal="center"/>
    </xf>
    <xf numFmtId="1" fontId="16" fillId="0" borderId="5" xfId="2" applyNumberFormat="1" applyFont="1" applyBorder="1" applyAlignment="1">
      <alignment horizontal="center"/>
    </xf>
    <xf numFmtId="2" fontId="16" fillId="0" borderId="5" xfId="2" applyNumberFormat="1" applyFont="1" applyBorder="1" applyAlignment="1" applyProtection="1">
      <alignment horizontal="center"/>
      <protection locked="0"/>
    </xf>
    <xf numFmtId="164" fontId="16" fillId="0" borderId="13" xfId="2" applyNumberFormat="1" applyFont="1" applyBorder="1" applyAlignment="1">
      <alignment horizontal="center"/>
    </xf>
    <xf numFmtId="164" fontId="16" fillId="0" borderId="5" xfId="2" applyNumberFormat="1" applyFont="1" applyBorder="1" applyAlignment="1">
      <alignment horizontal="center"/>
    </xf>
    <xf numFmtId="2" fontId="10" fillId="0" borderId="0" xfId="2" applyNumberFormat="1" applyFont="1" applyBorder="1" applyAlignment="1">
      <alignment horizontal="center"/>
    </xf>
    <xf numFmtId="2" fontId="10" fillId="0" borderId="0" xfId="2" applyNumberFormat="1" applyFont="1" applyFill="1" applyBorder="1" applyAlignment="1">
      <alignment horizontal="center"/>
    </xf>
    <xf numFmtId="1" fontId="10" fillId="0" borderId="0" xfId="2" applyNumberFormat="1" applyFont="1" applyBorder="1" applyAlignment="1">
      <alignment horizontal="left"/>
    </xf>
    <xf numFmtId="1" fontId="10" fillId="0" borderId="0" xfId="2" applyNumberFormat="1" applyFont="1" applyBorder="1" applyAlignment="1">
      <alignment horizontal="center"/>
    </xf>
    <xf numFmtId="2" fontId="10" fillId="0" borderId="11" xfId="2" applyNumberFormat="1" applyFont="1" applyBorder="1" applyAlignment="1">
      <alignment horizontal="center"/>
    </xf>
    <xf numFmtId="164" fontId="64" fillId="0" borderId="0" xfId="2" applyNumberFormat="1" applyFont="1" applyAlignment="1" applyProtection="1">
      <alignment horizontal="center"/>
      <protection locked="0"/>
    </xf>
    <xf numFmtId="2" fontId="66" fillId="0" borderId="0" xfId="2" applyNumberFormat="1" applyFont="1" applyAlignment="1" applyProtection="1">
      <alignment horizontal="center" vertical="center"/>
      <protection locked="0"/>
    </xf>
    <xf numFmtId="164" fontId="66" fillId="0" borderId="0" xfId="2" applyNumberFormat="1" applyFont="1" applyAlignment="1" applyProtection="1">
      <alignment horizontal="center"/>
      <protection locked="0"/>
    </xf>
    <xf numFmtId="2" fontId="64" fillId="0" borderId="0" xfId="2" applyNumberFormat="1" applyFont="1" applyBorder="1" applyAlignment="1">
      <alignment horizontal="center" vertical="center"/>
    </xf>
    <xf numFmtId="164" fontId="66" fillId="0" borderId="0" xfId="2" applyNumberFormat="1" applyFont="1" applyAlignment="1" applyProtection="1">
      <alignment horizontal="center" vertical="center"/>
      <protection locked="0"/>
    </xf>
    <xf numFmtId="0" fontId="16" fillId="0" borderId="0" xfId="2" applyNumberFormat="1" applyFont="1" applyFill="1" applyBorder="1" applyAlignment="1" applyProtection="1">
      <alignment horizontal="center"/>
      <protection locked="0"/>
    </xf>
    <xf numFmtId="1" fontId="64" fillId="0" borderId="0" xfId="2" applyNumberFormat="1" applyFont="1" applyFill="1" applyAlignment="1" applyProtection="1">
      <alignment horizontal="center" vertical="center"/>
      <protection locked="0"/>
    </xf>
    <xf numFmtId="0" fontId="42" fillId="0" borderId="0" xfId="2" applyNumberFormat="1" applyFont="1" applyAlignment="1" applyProtection="1">
      <alignment horizontal="center"/>
      <protection locked="0"/>
    </xf>
    <xf numFmtId="0" fontId="16" fillId="0" borderId="0" xfId="2" applyFont="1" applyFill="1" applyBorder="1" applyAlignment="1"/>
    <xf numFmtId="0" fontId="5" fillId="0" borderId="2" xfId="2" applyFont="1" applyBorder="1" applyAlignment="1">
      <alignment horizontal="center"/>
    </xf>
    <xf numFmtId="2" fontId="67" fillId="0" borderId="0" xfId="2" applyNumberFormat="1" applyFont="1" applyAlignment="1">
      <alignment horizontal="center" vertical="center"/>
    </xf>
    <xf numFmtId="0" fontId="67" fillId="0" borderId="0" xfId="2" applyNumberFormat="1" applyFont="1" applyAlignment="1">
      <alignment horizontal="center" vertical="center"/>
    </xf>
    <xf numFmtId="0" fontId="64" fillId="0" borderId="0" xfId="2" applyNumberFormat="1" applyFont="1" applyFill="1" applyAlignment="1" applyProtection="1">
      <alignment horizontal="center" vertical="center"/>
      <protection locked="0"/>
    </xf>
    <xf numFmtId="0" fontId="68" fillId="0" borderId="0" xfId="2" applyNumberFormat="1" applyFont="1" applyAlignment="1" applyProtection="1">
      <alignment horizontal="center" vertical="center"/>
      <protection locked="0"/>
    </xf>
    <xf numFmtId="0" fontId="5" fillId="0" borderId="2" xfId="2" applyFont="1" applyBorder="1" applyAlignment="1">
      <alignment horizontal="center"/>
    </xf>
    <xf numFmtId="11" fontId="64" fillId="0" borderId="0" xfId="6" applyNumberFormat="1" applyFont="1" applyFill="1" applyBorder="1" applyAlignment="1">
      <alignment horizontal="center" vertical="center"/>
    </xf>
    <xf numFmtId="0" fontId="64" fillId="0" borderId="0" xfId="2" applyNumberFormat="1" applyFont="1" applyAlignment="1" applyProtection="1">
      <protection locked="0"/>
    </xf>
    <xf numFmtId="0" fontId="64" fillId="0" borderId="0" xfId="2" applyNumberFormat="1" applyFont="1" applyFill="1" applyAlignment="1" applyProtection="1">
      <protection locked="0"/>
    </xf>
    <xf numFmtId="0" fontId="4" fillId="0" borderId="3" xfId="2" applyFont="1" applyBorder="1" applyAlignment="1">
      <alignment horizontal="right"/>
    </xf>
    <xf numFmtId="0" fontId="4" fillId="0" borderId="12" xfId="2" applyFont="1" applyBorder="1" applyAlignment="1"/>
    <xf numFmtId="0" fontId="4" fillId="0" borderId="3" xfId="2" applyNumberFormat="1" applyFont="1" applyBorder="1" applyAlignment="1" applyProtection="1">
      <protection locked="0"/>
    </xf>
    <xf numFmtId="2" fontId="16" fillId="0" borderId="3" xfId="2" applyNumberFormat="1" applyFont="1" applyBorder="1" applyAlignment="1"/>
    <xf numFmtId="0" fontId="4" fillId="0" borderId="1" xfId="2" applyNumberFormat="1" applyFont="1" applyBorder="1" applyAlignment="1" applyProtection="1">
      <alignment horizontal="center"/>
      <protection locked="0"/>
    </xf>
    <xf numFmtId="0" fontId="4" fillId="0" borderId="11" xfId="2" applyNumberFormat="1" applyFont="1" applyBorder="1" applyAlignment="1" applyProtection="1">
      <protection locked="0"/>
    </xf>
    <xf numFmtId="2" fontId="4" fillId="0" borderId="3" xfId="2" applyNumberFormat="1" applyFont="1" applyBorder="1" applyAlignment="1">
      <alignment horizontal="right"/>
    </xf>
    <xf numFmtId="0" fontId="4" fillId="0" borderId="12" xfId="2" applyNumberFormat="1" applyFont="1" applyBorder="1" applyAlignment="1" applyProtection="1">
      <protection locked="0"/>
    </xf>
    <xf numFmtId="0" fontId="4" fillId="0" borderId="5" xfId="2" applyNumberFormat="1" applyFont="1" applyBorder="1" applyAlignment="1" applyProtection="1">
      <protection locked="0"/>
    </xf>
    <xf numFmtId="0" fontId="4" fillId="0" borderId="5" xfId="2" applyNumberFormat="1" applyFont="1" applyBorder="1" applyAlignment="1" applyProtection="1">
      <alignment horizontal="right"/>
      <protection locked="0"/>
    </xf>
    <xf numFmtId="0" fontId="4" fillId="0" borderId="5" xfId="2" quotePrefix="1" applyNumberFormat="1" applyFont="1" applyBorder="1" applyAlignment="1" applyProtection="1">
      <alignment horizontal="center"/>
      <protection locked="0"/>
    </xf>
    <xf numFmtId="2" fontId="4" fillId="0" borderId="0" xfId="2" applyNumberFormat="1" applyFont="1" applyBorder="1" applyAlignment="1">
      <alignment horizontal="center"/>
    </xf>
    <xf numFmtId="0" fontId="4" fillId="0" borderId="9" xfId="2" applyNumberFormat="1" applyFont="1" applyBorder="1" applyAlignment="1" applyProtection="1">
      <protection locked="0"/>
    </xf>
    <xf numFmtId="0" fontId="4" fillId="0" borderId="0" xfId="2" applyFont="1" applyBorder="1" applyAlignment="1">
      <alignment horizontal="right"/>
    </xf>
    <xf numFmtId="0" fontId="4" fillId="0" borderId="10" xfId="2" applyNumberFormat="1" applyFont="1" applyBorder="1" applyAlignment="1" applyProtection="1">
      <protection locked="0"/>
    </xf>
    <xf numFmtId="0" fontId="4" fillId="0" borderId="0" xfId="2" applyNumberFormat="1" applyFont="1" applyBorder="1" applyAlignment="1" applyProtection="1">
      <protection locked="0"/>
    </xf>
    <xf numFmtId="1" fontId="4" fillId="0" borderId="0" xfId="2" applyNumberFormat="1" applyFont="1" applyBorder="1" applyAlignment="1"/>
    <xf numFmtId="0" fontId="4" fillId="0" borderId="10" xfId="2" applyFont="1" applyBorder="1" applyAlignment="1"/>
    <xf numFmtId="0" fontId="4" fillId="0" borderId="0" xfId="2" applyNumberFormat="1" applyFont="1" applyBorder="1" applyAlignment="1" applyProtection="1">
      <alignment horizontal="right"/>
      <protection locked="0"/>
    </xf>
    <xf numFmtId="0" fontId="3" fillId="0" borderId="3" xfId="2" applyNumberFormat="1" applyFont="1" applyBorder="1" applyAlignment="1" applyProtection="1">
      <alignment horizontal="right"/>
      <protection locked="0"/>
    </xf>
    <xf numFmtId="0" fontId="4" fillId="0" borderId="11" xfId="2" applyNumberFormat="1" applyFont="1" applyBorder="1" applyAlignment="1" applyProtection="1">
      <alignment horizontal="right"/>
      <protection locked="0"/>
    </xf>
    <xf numFmtId="0" fontId="4" fillId="0" borderId="4" xfId="2" applyNumberFormat="1" applyFont="1" applyBorder="1" applyAlignment="1" applyProtection="1">
      <protection locked="0"/>
    </xf>
    <xf numFmtId="0" fontId="4" fillId="0" borderId="5" xfId="2" applyFont="1" applyBorder="1" applyAlignment="1">
      <alignment horizontal="right"/>
    </xf>
    <xf numFmtId="0" fontId="4" fillId="0" borderId="13" xfId="2" applyFont="1" applyBorder="1" applyAlignment="1"/>
    <xf numFmtId="0" fontId="3" fillId="0" borderId="10" xfId="2" applyFont="1" applyBorder="1" applyAlignment="1">
      <alignment horizontal="left"/>
    </xf>
    <xf numFmtId="2" fontId="4" fillId="0" borderId="0" xfId="2" applyNumberFormat="1" applyFont="1" applyBorder="1" applyAlignment="1"/>
    <xf numFmtId="0" fontId="4" fillId="0" borderId="0" xfId="2" applyFont="1" applyBorder="1" applyAlignment="1"/>
    <xf numFmtId="0" fontId="4" fillId="0" borderId="0" xfId="2" applyFont="1" applyBorder="1" applyAlignment="1">
      <alignment horizontal="left"/>
    </xf>
    <xf numFmtId="0" fontId="4" fillId="0" borderId="13" xfId="2" applyNumberFormat="1" applyFont="1" applyBorder="1" applyAlignment="1" applyProtection="1">
      <alignment horizontal="center"/>
      <protection locked="0"/>
    </xf>
    <xf numFmtId="164" fontId="4" fillId="0" borderId="0" xfId="2" applyNumberFormat="1" applyFont="1" applyBorder="1" applyAlignment="1"/>
    <xf numFmtId="0" fontId="4" fillId="0" borderId="10" xfId="2" applyFont="1" applyBorder="1" applyAlignment="1">
      <alignment horizontal="left"/>
    </xf>
    <xf numFmtId="0" fontId="4" fillId="0" borderId="13" xfId="2" applyNumberFormat="1" applyFont="1" applyBorder="1" applyAlignment="1" applyProtection="1">
      <protection locked="0"/>
    </xf>
    <xf numFmtId="2" fontId="4" fillId="0" borderId="0" xfId="2" applyNumberFormat="1" applyFont="1" applyBorder="1" applyAlignment="1">
      <alignment horizontal="right"/>
    </xf>
    <xf numFmtId="0" fontId="4" fillId="0" borderId="9" xfId="2" applyFont="1" applyFill="1" applyBorder="1" applyAlignment="1">
      <alignment horizontal="left"/>
    </xf>
    <xf numFmtId="0" fontId="4" fillId="0" borderId="0" xfId="2" applyNumberFormat="1" applyFont="1" applyBorder="1" applyAlignment="1"/>
    <xf numFmtId="2" fontId="4" fillId="0" borderId="9" xfId="2" applyNumberFormat="1" applyFont="1" applyFill="1" applyBorder="1" applyAlignment="1"/>
    <xf numFmtId="0" fontId="4" fillId="4" borderId="0" xfId="2" applyNumberFormat="1" applyFont="1" applyFill="1" applyBorder="1" applyAlignment="1"/>
    <xf numFmtId="2" fontId="3" fillId="0" borderId="0" xfId="2" applyNumberFormat="1" applyFont="1" applyBorder="1" applyAlignment="1">
      <alignment horizontal="right"/>
    </xf>
    <xf numFmtId="0" fontId="4" fillId="0" borderId="11" xfId="2" applyFont="1" applyBorder="1" applyAlignment="1"/>
    <xf numFmtId="0" fontId="4" fillId="0" borderId="10" xfId="2" applyNumberFormat="1" applyFont="1" applyBorder="1" applyAlignment="1" applyProtection="1">
      <alignment horizontal="center"/>
      <protection locked="0"/>
    </xf>
    <xf numFmtId="0" fontId="3" fillId="0" borderId="0" xfId="2" applyFont="1" applyBorder="1" applyAlignment="1">
      <alignment horizontal="right"/>
    </xf>
    <xf numFmtId="2" fontId="3" fillId="0" borderId="0" xfId="2" applyNumberFormat="1" applyFont="1" applyBorder="1" applyAlignment="1"/>
    <xf numFmtId="1" fontId="4" fillId="0" borderId="0" xfId="2" applyNumberFormat="1" applyFont="1" applyBorder="1" applyAlignment="1" applyProtection="1">
      <protection locked="0"/>
    </xf>
    <xf numFmtId="2" fontId="4" fillId="2" borderId="0" xfId="2" applyNumberFormat="1" applyFont="1" applyFill="1" applyBorder="1" applyAlignment="1"/>
    <xf numFmtId="0" fontId="3" fillId="0" borderId="9" xfId="2" applyFont="1" applyBorder="1" applyAlignment="1"/>
    <xf numFmtId="0" fontId="3" fillId="0" borderId="0" xfId="2" applyNumberFormat="1" applyFont="1" applyBorder="1" applyAlignment="1" applyProtection="1">
      <alignment horizontal="right"/>
      <protection locked="0"/>
    </xf>
    <xf numFmtId="1" fontId="3" fillId="0" borderId="10" xfId="2" applyNumberFormat="1" applyFont="1" applyBorder="1" applyAlignment="1">
      <alignment horizontal="left"/>
    </xf>
    <xf numFmtId="170" fontId="4" fillId="0" borderId="0" xfId="2" applyNumberFormat="1" applyFont="1" applyBorder="1" applyAlignment="1"/>
    <xf numFmtId="2" fontId="3" fillId="0" borderId="10" xfId="2" applyNumberFormat="1" applyFont="1" applyBorder="1" applyAlignment="1"/>
    <xf numFmtId="0" fontId="3" fillId="0" borderId="10" xfId="2" applyFont="1" applyBorder="1" applyAlignment="1"/>
    <xf numFmtId="1" fontId="3" fillId="0" borderId="0" xfId="2" applyNumberFormat="1" applyFont="1" applyBorder="1" applyAlignment="1">
      <alignment horizontal="right"/>
    </xf>
    <xf numFmtId="1" fontId="4" fillId="0" borderId="10" xfId="2" applyNumberFormat="1" applyFont="1" applyBorder="1" applyAlignment="1">
      <alignment horizontal="left"/>
    </xf>
    <xf numFmtId="2" fontId="4" fillId="0" borderId="0" xfId="2" applyNumberFormat="1" applyFont="1" applyAlignment="1">
      <alignment horizontal="center"/>
    </xf>
    <xf numFmtId="0" fontId="3" fillId="0" borderId="15" xfId="2" applyFont="1" applyBorder="1" applyAlignment="1">
      <alignment horizontal="right"/>
    </xf>
    <xf numFmtId="2" fontId="4" fillId="2" borderId="5" xfId="2" applyNumberFormat="1" applyFont="1" applyFill="1" applyBorder="1" applyAlignment="1"/>
    <xf numFmtId="0" fontId="4" fillId="0" borderId="5" xfId="2" applyFont="1" applyBorder="1" applyAlignment="1"/>
    <xf numFmtId="2" fontId="4" fillId="0" borderId="5" xfId="2" applyNumberFormat="1" applyFont="1" applyBorder="1" applyAlignment="1">
      <alignment horizontal="right"/>
    </xf>
    <xf numFmtId="1" fontId="4" fillId="0" borderId="4" xfId="2" applyNumberFormat="1" applyFont="1" applyFill="1" applyBorder="1" applyAlignment="1">
      <alignment horizontal="center"/>
    </xf>
    <xf numFmtId="1" fontId="4" fillId="0" borderId="5" xfId="2" applyNumberFormat="1" applyFont="1" applyBorder="1" applyAlignment="1">
      <alignment horizontal="right"/>
    </xf>
    <xf numFmtId="2" fontId="4" fillId="0" borderId="5" xfId="2" applyNumberFormat="1" applyFont="1" applyBorder="1" applyAlignment="1"/>
    <xf numFmtId="1" fontId="4" fillId="0" borderId="13" xfId="2" applyNumberFormat="1" applyFont="1" applyBorder="1" applyAlignment="1"/>
    <xf numFmtId="2" fontId="4" fillId="0" borderId="5" xfId="2" applyNumberFormat="1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166" fontId="61" fillId="0" borderId="5" xfId="2" applyNumberFormat="1" applyFont="1" applyBorder="1" applyAlignment="1"/>
    <xf numFmtId="2" fontId="16" fillId="5" borderId="0" xfId="2" applyNumberFormat="1" applyFont="1" applyFill="1" applyBorder="1" applyAlignment="1"/>
    <xf numFmtId="0" fontId="16" fillId="5" borderId="5" xfId="2" applyNumberFormat="1" applyFont="1" applyFill="1" applyBorder="1" applyAlignment="1">
      <alignment horizontal="right"/>
    </xf>
    <xf numFmtId="0" fontId="16" fillId="5" borderId="0" xfId="2" applyNumberFormat="1" applyFont="1" applyFill="1" applyBorder="1" applyAlignment="1"/>
    <xf numFmtId="1" fontId="16" fillId="5" borderId="0" xfId="2" applyNumberFormat="1" applyFont="1" applyFill="1" applyBorder="1" applyAlignment="1"/>
    <xf numFmtId="174" fontId="16" fillId="5" borderId="0" xfId="2" applyNumberFormat="1" applyFont="1" applyFill="1" applyBorder="1" applyAlignment="1"/>
    <xf numFmtId="165" fontId="16" fillId="5" borderId="0" xfId="2" applyNumberFormat="1" applyFont="1" applyFill="1" applyBorder="1" applyAlignment="1" applyProtection="1">
      <protection locked="0"/>
    </xf>
    <xf numFmtId="0" fontId="16" fillId="5" borderId="0" xfId="2" applyFont="1" applyFill="1" applyBorder="1" applyAlignment="1"/>
    <xf numFmtId="0" fontId="4" fillId="0" borderId="0" xfId="2" applyNumberFormat="1" applyFont="1" applyFill="1" applyBorder="1" applyAlignment="1">
      <alignment horizontal="right"/>
    </xf>
    <xf numFmtId="2" fontId="4" fillId="0" borderId="0" xfId="2" applyNumberFormat="1" applyFont="1" applyBorder="1" applyAlignment="1" applyProtection="1">
      <protection locked="0"/>
    </xf>
    <xf numFmtId="0" fontId="64" fillId="0" borderId="0" xfId="2" applyFont="1" applyFill="1" applyBorder="1" applyAlignment="1">
      <alignment horizontal="center" vertical="center"/>
    </xf>
    <xf numFmtId="2" fontId="67" fillId="0" borderId="0" xfId="2" applyNumberFormat="1" applyFont="1" applyFill="1" applyAlignment="1">
      <alignment horizontal="center" vertical="center"/>
    </xf>
    <xf numFmtId="164" fontId="64" fillId="0" borderId="0" xfId="2" applyNumberFormat="1" applyFont="1" applyFill="1" applyAlignment="1" applyProtection="1">
      <alignment horizontal="center" vertical="center"/>
      <protection locked="0"/>
    </xf>
    <xf numFmtId="165" fontId="64" fillId="0" borderId="0" xfId="2" applyNumberFormat="1" applyFont="1" applyFill="1" applyBorder="1" applyAlignment="1">
      <alignment horizontal="center" vertical="center"/>
    </xf>
    <xf numFmtId="165" fontId="64" fillId="0" borderId="0" xfId="2" applyNumberFormat="1" applyFont="1" applyFill="1" applyAlignment="1" applyProtection="1">
      <protection locked="0"/>
    </xf>
    <xf numFmtId="2" fontId="64" fillId="0" borderId="0" xfId="2" applyNumberFormat="1" applyFont="1" applyFill="1" applyBorder="1" applyAlignment="1">
      <alignment horizontal="center" vertical="center"/>
    </xf>
    <xf numFmtId="1" fontId="64" fillId="0" borderId="0" xfId="5" applyNumberFormat="1" applyFont="1" applyFill="1" applyAlignment="1" applyProtection="1">
      <alignment horizontal="center" vertical="center"/>
      <protection locked="0"/>
    </xf>
    <xf numFmtId="0" fontId="67" fillId="0" borderId="0" xfId="2" applyNumberFormat="1" applyFont="1" applyFill="1" applyAlignment="1"/>
    <xf numFmtId="2" fontId="67" fillId="0" borderId="0" xfId="2" applyNumberFormat="1" applyFont="1" applyFill="1" applyAlignment="1"/>
    <xf numFmtId="2" fontId="70" fillId="0" borderId="0" xfId="1" applyNumberFormat="1" applyFont="1" applyFill="1" applyAlignment="1" applyProtection="1"/>
    <xf numFmtId="0" fontId="64" fillId="0" borderId="0" xfId="0" applyFont="1" applyFill="1" applyAlignment="1"/>
    <xf numFmtId="0" fontId="67" fillId="0" borderId="0" xfId="2" applyFont="1" applyFill="1" applyAlignment="1"/>
    <xf numFmtId="0" fontId="68" fillId="0" borderId="0" xfId="2" applyNumberFormat="1" applyFont="1" applyFill="1" applyAlignment="1" applyProtection="1">
      <protection locked="0"/>
    </xf>
    <xf numFmtId="0" fontId="64" fillId="0" borderId="0" xfId="2" applyNumberFormat="1" applyFont="1" applyFill="1" applyAlignment="1" applyProtection="1">
      <alignment horizontal="center"/>
      <protection locked="0"/>
    </xf>
    <xf numFmtId="2" fontId="66" fillId="0" borderId="0" xfId="2" applyNumberFormat="1" applyFont="1" applyFill="1" applyAlignment="1" applyProtection="1">
      <alignment horizontal="center" vertical="center"/>
      <protection locked="0"/>
    </xf>
    <xf numFmtId="164" fontId="66" fillId="0" borderId="0" xfId="2" applyNumberFormat="1" applyFont="1" applyFill="1" applyAlignment="1" applyProtection="1">
      <alignment horizontal="center" vertical="center"/>
      <protection locked="0"/>
    </xf>
    <xf numFmtId="164" fontId="66" fillId="0" borderId="0" xfId="2" applyNumberFormat="1" applyFont="1" applyFill="1" applyAlignment="1" applyProtection="1">
      <alignment horizontal="center"/>
      <protection locked="0"/>
    </xf>
    <xf numFmtId="0" fontId="66" fillId="0" borderId="0" xfId="2" applyNumberFormat="1" applyFont="1" applyFill="1" applyAlignment="1" applyProtection="1">
      <alignment horizontal="center" vertical="center"/>
      <protection locked="0"/>
    </xf>
    <xf numFmtId="165" fontId="66" fillId="0" borderId="0" xfId="2" applyNumberFormat="1" applyFont="1" applyFill="1" applyAlignment="1" applyProtection="1">
      <alignment horizontal="center" vertical="center"/>
      <protection locked="0"/>
    </xf>
    <xf numFmtId="11" fontId="72" fillId="0" borderId="0" xfId="6" applyNumberFormat="1" applyFont="1" applyFill="1" applyBorder="1" applyAlignment="1">
      <alignment horizontal="center" vertical="center"/>
    </xf>
    <xf numFmtId="0" fontId="73" fillId="0" borderId="0" xfId="2" applyFont="1" applyAlignment="1">
      <alignment horizontal="center"/>
    </xf>
    <xf numFmtId="2" fontId="74" fillId="0" borderId="5" xfId="2" applyNumberFormat="1" applyFont="1" applyBorder="1" applyAlignment="1">
      <alignment horizontal="center"/>
    </xf>
    <xf numFmtId="2" fontId="74" fillId="0" borderId="2" xfId="2" applyNumberFormat="1" applyFont="1" applyBorder="1" applyAlignment="1">
      <alignment horizontal="center"/>
    </xf>
    <xf numFmtId="2" fontId="75" fillId="0" borderId="0" xfId="2" applyNumberFormat="1" applyFont="1" applyBorder="1" applyAlignment="1">
      <alignment horizontal="center"/>
    </xf>
    <xf numFmtId="2" fontId="74" fillId="0" borderId="0" xfId="2" applyNumberFormat="1" applyFont="1" applyBorder="1" applyAlignment="1">
      <alignment horizontal="center"/>
    </xf>
    <xf numFmtId="2" fontId="75" fillId="3" borderId="0" xfId="2" applyNumberFormat="1" applyFont="1" applyFill="1" applyBorder="1" applyAlignment="1">
      <alignment horizontal="center"/>
    </xf>
    <xf numFmtId="2" fontId="75" fillId="0" borderId="5" xfId="2" applyNumberFormat="1" applyFont="1" applyBorder="1" applyAlignment="1">
      <alignment horizontal="center"/>
    </xf>
    <xf numFmtId="2" fontId="73" fillId="0" borderId="12" xfId="2" applyNumberFormat="1" applyFont="1" applyFill="1" applyBorder="1" applyAlignment="1">
      <alignment horizontal="center"/>
    </xf>
    <xf numFmtId="0" fontId="73" fillId="0" borderId="10" xfId="2" applyFont="1" applyBorder="1" applyAlignment="1">
      <alignment horizontal="center"/>
    </xf>
    <xf numFmtId="2" fontId="74" fillId="0" borderId="13" xfId="2" applyNumberFormat="1" applyFont="1" applyFill="1" applyBorder="1" applyAlignment="1">
      <alignment horizontal="center"/>
    </xf>
    <xf numFmtId="2" fontId="74" fillId="0" borderId="14" xfId="2" applyNumberFormat="1" applyFont="1" applyFill="1" applyBorder="1" applyAlignment="1">
      <alignment horizontal="center"/>
    </xf>
    <xf numFmtId="2" fontId="75" fillId="0" borderId="10" xfId="2" applyNumberFormat="1" applyFont="1" applyFill="1" applyBorder="1" applyAlignment="1">
      <alignment horizontal="center"/>
    </xf>
    <xf numFmtId="2" fontId="74" fillId="0" borderId="10" xfId="2" applyNumberFormat="1" applyFont="1" applyFill="1" applyBorder="1" applyAlignment="1">
      <alignment horizontal="center"/>
    </xf>
    <xf numFmtId="2" fontId="75" fillId="3" borderId="10" xfId="2" applyNumberFormat="1" applyFont="1" applyFill="1" applyBorder="1" applyAlignment="1">
      <alignment horizontal="center"/>
    </xf>
    <xf numFmtId="2" fontId="75" fillId="0" borderId="13" xfId="2" applyNumberFormat="1" applyFont="1" applyFill="1" applyBorder="1" applyAlignment="1">
      <alignment horizontal="center"/>
    </xf>
    <xf numFmtId="2" fontId="73" fillId="0" borderId="10" xfId="2" applyNumberFormat="1" applyFont="1" applyFill="1" applyBorder="1" applyAlignment="1">
      <alignment horizontal="center"/>
    </xf>
    <xf numFmtId="164" fontId="75" fillId="0" borderId="10" xfId="2" applyNumberFormat="1" applyFont="1" applyFill="1" applyBorder="1" applyAlignment="1">
      <alignment horizontal="center"/>
    </xf>
    <xf numFmtId="164" fontId="74" fillId="0" borderId="10" xfId="2" applyNumberFormat="1" applyFont="1" applyFill="1" applyBorder="1" applyAlignment="1">
      <alignment horizontal="center"/>
    </xf>
    <xf numFmtId="164" fontId="75" fillId="0" borderId="13" xfId="2" applyNumberFormat="1" applyFont="1" applyFill="1" applyBorder="1" applyAlignment="1">
      <alignment horizontal="center"/>
    </xf>
    <xf numFmtId="0" fontId="55" fillId="0" borderId="0" xfId="0" applyNumberFormat="1" applyFont="1" applyFill="1" applyBorder="1" applyAlignment="1">
      <alignment vertical="center"/>
    </xf>
    <xf numFmtId="0" fontId="55" fillId="0" borderId="0" xfId="0" applyNumberFormat="1" applyFont="1" applyFill="1" applyBorder="1" applyAlignment="1">
      <alignment horizontal="center" vertical="center"/>
    </xf>
    <xf numFmtId="166" fontId="76" fillId="3" borderId="0" xfId="2" applyNumberFormat="1" applyFont="1" applyFill="1" applyBorder="1" applyAlignment="1"/>
    <xf numFmtId="166" fontId="77" fillId="0" borderId="0" xfId="2" applyNumberFormat="1" applyFont="1" applyBorder="1" applyAlignment="1"/>
    <xf numFmtId="166" fontId="76" fillId="0" borderId="0" xfId="2" applyNumberFormat="1" applyFont="1" applyBorder="1" applyAlignment="1"/>
    <xf numFmtId="166" fontId="76" fillId="0" borderId="5" xfId="2" applyNumberFormat="1" applyFont="1" applyBorder="1" applyAlignment="1"/>
    <xf numFmtId="1" fontId="66" fillId="0" borderId="0" xfId="2" applyNumberFormat="1" applyFont="1" applyFill="1" applyAlignment="1" applyProtection="1">
      <alignment horizontal="center" vertical="center"/>
      <protection locked="0"/>
    </xf>
    <xf numFmtId="165" fontId="66" fillId="0" borderId="0" xfId="2" applyNumberFormat="1" applyFont="1" applyFill="1" applyBorder="1" applyAlignment="1">
      <alignment horizontal="center" vertical="center"/>
    </xf>
    <xf numFmtId="2" fontId="66" fillId="0" borderId="0" xfId="2" applyNumberFormat="1" applyFont="1" applyFill="1" applyBorder="1" applyAlignment="1">
      <alignment horizontal="center" vertical="center"/>
    </xf>
    <xf numFmtId="1" fontId="66" fillId="0" borderId="0" xfId="5" applyNumberFormat="1" applyFont="1" applyFill="1" applyAlignment="1" applyProtection="1">
      <alignment horizontal="center" vertical="center"/>
      <protection locked="0"/>
    </xf>
    <xf numFmtId="165" fontId="78" fillId="0" borderId="0" xfId="2" applyNumberFormat="1" applyFont="1" applyFill="1" applyAlignment="1" applyProtection="1">
      <alignment horizontal="center" vertical="center"/>
      <protection locked="0"/>
    </xf>
    <xf numFmtId="2" fontId="79" fillId="0" borderId="0" xfId="2" applyNumberFormat="1" applyFont="1" applyFill="1" applyAlignment="1" applyProtection="1">
      <alignment horizontal="center" vertical="center"/>
      <protection locked="0"/>
    </xf>
    <xf numFmtId="165" fontId="79" fillId="0" borderId="0" xfId="2" applyNumberFormat="1" applyFont="1" applyFill="1" applyAlignment="1" applyProtection="1">
      <alignment horizontal="center" vertical="center"/>
      <protection locked="0"/>
    </xf>
    <xf numFmtId="11" fontId="80" fillId="0" borderId="0" xfId="6" applyNumberFormat="1" applyFont="1" applyFill="1" applyBorder="1" applyAlignment="1">
      <alignment horizontal="center" vertical="center"/>
    </xf>
    <xf numFmtId="2" fontId="64" fillId="0" borderId="0" xfId="2" applyNumberFormat="1" applyFont="1" applyFill="1" applyAlignment="1" applyProtection="1">
      <alignment horizontal="center"/>
      <protection locked="0"/>
    </xf>
    <xf numFmtId="166" fontId="66" fillId="0" borderId="0" xfId="6" applyNumberFormat="1" applyFont="1" applyFill="1" applyBorder="1" applyAlignment="1">
      <alignment horizontal="center" vertical="center"/>
    </xf>
    <xf numFmtId="165" fontId="16" fillId="0" borderId="0" xfId="2" applyNumberFormat="1" applyFont="1" applyBorder="1" applyAlignment="1"/>
    <xf numFmtId="1" fontId="79" fillId="0" borderId="0" xfId="2" applyNumberFormat="1" applyFont="1" applyFill="1" applyAlignment="1" applyProtection="1">
      <alignment horizontal="center" vertical="center"/>
      <protection locked="0"/>
    </xf>
    <xf numFmtId="0" fontId="79" fillId="0" borderId="0" xfId="2" applyNumberFormat="1" applyFont="1" applyFill="1" applyAlignment="1" applyProtection="1">
      <alignment horizontal="center" vertical="center"/>
      <protection locked="0"/>
    </xf>
    <xf numFmtId="164" fontId="79" fillId="0" borderId="0" xfId="2" applyNumberFormat="1" applyFont="1" applyFill="1" applyAlignment="1" applyProtection="1">
      <alignment horizontal="center" vertical="center"/>
      <protection locked="0"/>
    </xf>
    <xf numFmtId="165" fontId="79" fillId="0" borderId="0" xfId="2" applyNumberFormat="1" applyFont="1" applyFill="1" applyBorder="1" applyAlignment="1">
      <alignment horizontal="center" vertical="center"/>
    </xf>
    <xf numFmtId="2" fontId="79" fillId="0" borderId="0" xfId="2" applyNumberFormat="1" applyFont="1" applyFill="1" applyBorder="1" applyAlignment="1">
      <alignment horizontal="center" vertical="center"/>
    </xf>
    <xf numFmtId="1" fontId="79" fillId="0" borderId="0" xfId="5" applyNumberFormat="1" applyFont="1" applyFill="1" applyAlignment="1" applyProtection="1">
      <alignment horizontal="center" vertical="center"/>
      <protection locked="0"/>
    </xf>
    <xf numFmtId="165" fontId="4" fillId="0" borderId="0" xfId="2" applyNumberFormat="1" applyFont="1" applyBorder="1" applyAlignment="1">
      <alignment horizontal="center"/>
    </xf>
    <xf numFmtId="2" fontId="16" fillId="0" borderId="0" xfId="2" applyNumberFormat="1" applyFont="1" applyFill="1" applyBorder="1" applyAlignment="1"/>
    <xf numFmtId="176" fontId="16" fillId="0" borderId="0" xfId="2" applyNumberFormat="1" applyFont="1" applyFill="1" applyBorder="1" applyAlignment="1"/>
    <xf numFmtId="167" fontId="81" fillId="0" borderId="0" xfId="2" applyNumberFormat="1" applyFont="1" applyFill="1" applyBorder="1" applyAlignment="1"/>
    <xf numFmtId="167" fontId="81" fillId="0" borderId="5" xfId="2" applyNumberFormat="1" applyFont="1" applyFill="1" applyBorder="1" applyAlignment="1"/>
    <xf numFmtId="2" fontId="57" fillId="0" borderId="0" xfId="2" applyNumberFormat="1" applyFont="1" applyBorder="1" applyAlignment="1">
      <alignment horizontal="center"/>
    </xf>
    <xf numFmtId="2" fontId="57" fillId="0" borderId="0" xfId="2" applyNumberFormat="1" applyFont="1" applyAlignment="1">
      <alignment horizontal="center"/>
    </xf>
    <xf numFmtId="2" fontId="57" fillId="0" borderId="5" xfId="2" applyNumberFormat="1" applyFont="1" applyBorder="1" applyAlignment="1">
      <alignment horizontal="center"/>
    </xf>
    <xf numFmtId="164" fontId="16" fillId="4" borderId="0" xfId="2" applyNumberFormat="1" applyFont="1" applyFill="1" applyBorder="1" applyAlignment="1"/>
    <xf numFmtId="164" fontId="64" fillId="0" borderId="0" xfId="2" applyNumberFormat="1" applyFont="1" applyFill="1" applyAlignment="1" applyProtection="1">
      <alignment horizontal="center"/>
      <protection locked="0"/>
    </xf>
    <xf numFmtId="0" fontId="3" fillId="0" borderId="0" xfId="2" applyNumberFormat="1" applyFont="1" applyFill="1" applyAlignment="1" applyProtection="1">
      <alignment horizontal="center"/>
      <protection locked="0"/>
    </xf>
    <xf numFmtId="0" fontId="66" fillId="0" borderId="0" xfId="2" applyFont="1" applyFill="1" applyBorder="1" applyAlignment="1">
      <alignment horizontal="center" vertical="center"/>
    </xf>
    <xf numFmtId="2" fontId="71" fillId="0" borderId="0" xfId="2" applyNumberFormat="1" applyFont="1" applyFill="1" applyAlignment="1">
      <alignment horizontal="center" vertical="center"/>
    </xf>
    <xf numFmtId="0" fontId="66" fillId="0" borderId="0" xfId="2" applyFont="1" applyFill="1" applyBorder="1" applyAlignment="1">
      <alignment horizontal="left" vertical="center"/>
    </xf>
    <xf numFmtId="0" fontId="27" fillId="0" borderId="0" xfId="2" applyNumberFormat="1" applyFont="1" applyFill="1" applyAlignment="1" applyProtection="1">
      <protection locked="0"/>
    </xf>
    <xf numFmtId="166" fontId="64" fillId="0" borderId="0" xfId="6" applyNumberFormat="1" applyFont="1" applyFill="1" applyBorder="1" applyAlignment="1">
      <alignment horizontal="center" vertical="center"/>
    </xf>
    <xf numFmtId="0" fontId="16" fillId="0" borderId="5" xfId="2" applyNumberFormat="1" applyFont="1" applyBorder="1" applyAlignment="1">
      <alignment horizontal="right"/>
    </xf>
    <xf numFmtId="3" fontId="72" fillId="0" borderId="0" xfId="2" applyNumberFormat="1" applyFont="1" applyBorder="1" applyAlignment="1"/>
    <xf numFmtId="2" fontId="16" fillId="0" borderId="0" xfId="3" applyNumberFormat="1" applyFont="1" applyFill="1"/>
    <xf numFmtId="0" fontId="4" fillId="0" borderId="0" xfId="2" applyNumberFormat="1" applyFont="1" applyAlignment="1" applyProtection="1">
      <protection locked="0"/>
    </xf>
    <xf numFmtId="0" fontId="16" fillId="0" borderId="0" xfId="2" applyNumberFormat="1" applyFont="1" applyBorder="1" applyAlignment="1">
      <alignment horizontal="center" vertical="center"/>
    </xf>
    <xf numFmtId="1" fontId="4" fillId="0" borderId="0" xfId="2" applyNumberFormat="1" applyFont="1" applyBorder="1" applyAlignment="1">
      <alignment horizontal="center" vertical="center"/>
    </xf>
    <xf numFmtId="2" fontId="4" fillId="5" borderId="0" xfId="2" applyNumberFormat="1" applyFont="1" applyFill="1" applyBorder="1" applyAlignment="1">
      <alignment horizontal="center" vertical="center"/>
    </xf>
    <xf numFmtId="0" fontId="4" fillId="0" borderId="0" xfId="2" applyNumberFormat="1" applyFont="1" applyAlignment="1" applyProtection="1">
      <alignment horizontal="right"/>
      <protection locked="0"/>
    </xf>
    <xf numFmtId="165" fontId="4" fillId="0" borderId="0" xfId="2" applyNumberFormat="1" applyFont="1" applyAlignment="1" applyProtection="1">
      <protection locked="0"/>
    </xf>
    <xf numFmtId="0" fontId="4" fillId="0" borderId="0" xfId="2" applyNumberFormat="1" applyFont="1" applyBorder="1" applyAlignment="1">
      <alignment horizontal="right"/>
    </xf>
    <xf numFmtId="2" fontId="4" fillId="0" borderId="0" xfId="2" applyNumberFormat="1" applyFont="1" applyFill="1" applyBorder="1" applyAlignment="1"/>
    <xf numFmtId="166" fontId="61" fillId="0" borderId="0" xfId="2" applyNumberFormat="1" applyFont="1" applyBorder="1" applyAlignment="1"/>
    <xf numFmtId="0" fontId="5" fillId="0" borderId="0" xfId="2" applyFont="1" applyFill="1" applyBorder="1" applyAlignment="1">
      <alignment horizontal="right"/>
    </xf>
    <xf numFmtId="165" fontId="4" fillId="0" borderId="0" xfId="2" applyNumberFormat="1" applyFont="1" applyFill="1" applyBorder="1" applyAlignment="1">
      <alignment horizontal="center"/>
    </xf>
    <xf numFmtId="0" fontId="6" fillId="6" borderId="0" xfId="2" applyNumberFormat="1" applyFont="1" applyFill="1" applyBorder="1" applyAlignment="1"/>
    <xf numFmtId="0" fontId="5" fillId="6" borderId="0" xfId="2" applyFont="1" applyFill="1" applyBorder="1" applyAlignment="1">
      <alignment horizontal="right"/>
    </xf>
    <xf numFmtId="164" fontId="4" fillId="0" borderId="0" xfId="2" applyNumberFormat="1" applyFont="1" applyFill="1" applyAlignment="1" applyProtection="1">
      <protection locked="0"/>
    </xf>
    <xf numFmtId="165" fontId="4" fillId="5" borderId="0" xfId="2" applyNumberFormat="1" applyFont="1" applyFill="1" applyBorder="1" applyAlignment="1">
      <alignment horizontal="center"/>
    </xf>
    <xf numFmtId="0" fontId="16" fillId="0" borderId="4" xfId="2" applyNumberFormat="1" applyFont="1" applyFill="1" applyBorder="1" applyAlignment="1" applyProtection="1">
      <alignment horizontal="center"/>
      <protection locked="0"/>
    </xf>
    <xf numFmtId="0" fontId="16" fillId="0" borderId="13" xfId="2" applyNumberFormat="1" applyFont="1" applyFill="1" applyBorder="1" applyAlignment="1" applyProtection="1">
      <alignment horizontal="center"/>
      <protection locked="0"/>
    </xf>
    <xf numFmtId="164" fontId="4" fillId="0" borderId="0" xfId="2" applyNumberFormat="1" applyFont="1" applyFill="1" applyBorder="1" applyAlignment="1"/>
    <xf numFmtId="2" fontId="82" fillId="0" borderId="12" xfId="2" applyNumberFormat="1" applyFont="1" applyBorder="1" applyAlignment="1">
      <alignment horizontal="center"/>
    </xf>
    <xf numFmtId="2" fontId="82" fillId="0" borderId="10" xfId="2" applyNumberFormat="1" applyFont="1" applyBorder="1" applyAlignment="1">
      <alignment horizontal="center"/>
    </xf>
    <xf numFmtId="2" fontId="83" fillId="0" borderId="13" xfId="2" applyNumberFormat="1" applyFont="1" applyBorder="1" applyAlignment="1">
      <alignment horizontal="center"/>
    </xf>
    <xf numFmtId="2" fontId="83" fillId="0" borderId="14" xfId="2" applyNumberFormat="1" applyFont="1" applyBorder="1" applyAlignment="1">
      <alignment horizontal="center"/>
    </xf>
    <xf numFmtId="164" fontId="84" fillId="0" borderId="10" xfId="2" applyNumberFormat="1" applyFont="1" applyBorder="1" applyAlignment="1">
      <alignment horizontal="center"/>
    </xf>
    <xf numFmtId="164" fontId="83" fillId="0" borderId="10" xfId="2" applyNumberFormat="1" applyFont="1" applyBorder="1" applyAlignment="1">
      <alignment horizontal="center"/>
    </xf>
    <xf numFmtId="164" fontId="84" fillId="3" borderId="10" xfId="2" applyNumberFormat="1" applyFont="1" applyFill="1" applyBorder="1" applyAlignment="1">
      <alignment horizontal="center"/>
    </xf>
    <xf numFmtId="164" fontId="84" fillId="0" borderId="13" xfId="2" applyNumberFormat="1" applyFont="1" applyBorder="1" applyAlignment="1">
      <alignment horizontal="center"/>
    </xf>
    <xf numFmtId="2" fontId="63" fillId="3" borderId="0" xfId="2" applyNumberFormat="1" applyFont="1" applyFill="1" applyBorder="1" applyAlignment="1">
      <alignment horizontal="center"/>
    </xf>
    <xf numFmtId="2" fontId="16" fillId="3" borderId="9" xfId="2" applyNumberFormat="1" applyFont="1" applyFill="1" applyBorder="1" applyAlignment="1">
      <alignment horizontal="center"/>
    </xf>
    <xf numFmtId="0" fontId="82" fillId="0" borderId="0" xfId="2" applyFont="1" applyAlignment="1">
      <alignment horizontal="center"/>
    </xf>
    <xf numFmtId="2" fontId="83" fillId="0" borderId="5" xfId="2" applyNumberFormat="1" applyFont="1" applyBorder="1" applyAlignment="1">
      <alignment horizontal="center"/>
    </xf>
    <xf numFmtId="2" fontId="83" fillId="0" borderId="2" xfId="2" applyNumberFormat="1" applyFont="1" applyBorder="1" applyAlignment="1">
      <alignment horizontal="center"/>
    </xf>
    <xf numFmtId="2" fontId="84" fillId="0" borderId="0" xfId="2" applyNumberFormat="1" applyFont="1" applyBorder="1" applyAlignment="1">
      <alignment horizontal="center"/>
    </xf>
    <xf numFmtId="2" fontId="83" fillId="0" borderId="0" xfId="2" applyNumberFormat="1" applyFont="1" applyBorder="1" applyAlignment="1">
      <alignment horizontal="center"/>
    </xf>
    <xf numFmtId="2" fontId="84" fillId="3" borderId="0" xfId="2" applyNumberFormat="1" applyFont="1" applyFill="1" applyBorder="1" applyAlignment="1">
      <alignment horizontal="center"/>
    </xf>
    <xf numFmtId="2" fontId="84" fillId="0" borderId="5" xfId="2" applyNumberFormat="1" applyFont="1" applyBorder="1" applyAlignment="1">
      <alignment horizontal="center"/>
    </xf>
    <xf numFmtId="2" fontId="82" fillId="0" borderId="12" xfId="2" applyNumberFormat="1" applyFont="1" applyFill="1" applyBorder="1" applyAlignment="1">
      <alignment horizontal="center"/>
    </xf>
    <xf numFmtId="0" fontId="82" fillId="0" borderId="10" xfId="2" applyFont="1" applyBorder="1" applyAlignment="1">
      <alignment horizontal="center"/>
    </xf>
    <xf numFmtId="2" fontId="83" fillId="0" borderId="13" xfId="2" applyNumberFormat="1" applyFont="1" applyFill="1" applyBorder="1" applyAlignment="1">
      <alignment horizontal="center"/>
    </xf>
    <xf numFmtId="2" fontId="83" fillId="0" borderId="14" xfId="2" applyNumberFormat="1" applyFont="1" applyFill="1" applyBorder="1" applyAlignment="1">
      <alignment horizontal="center"/>
    </xf>
    <xf numFmtId="2" fontId="84" fillId="0" borderId="10" xfId="2" applyNumberFormat="1" applyFont="1" applyFill="1" applyBorder="1" applyAlignment="1">
      <alignment horizontal="center"/>
    </xf>
    <xf numFmtId="2" fontId="83" fillId="0" borderId="10" xfId="2" applyNumberFormat="1" applyFont="1" applyFill="1" applyBorder="1" applyAlignment="1">
      <alignment horizontal="center"/>
    </xf>
    <xf numFmtId="2" fontId="84" fillId="3" borderId="10" xfId="2" applyNumberFormat="1" applyFont="1" applyFill="1" applyBorder="1" applyAlignment="1">
      <alignment horizontal="center"/>
    </xf>
    <xf numFmtId="2" fontId="84" fillId="0" borderId="13" xfId="2" applyNumberFormat="1" applyFont="1" applyFill="1" applyBorder="1" applyAlignment="1">
      <alignment horizontal="center"/>
    </xf>
    <xf numFmtId="165" fontId="16" fillId="0" borderId="0" xfId="2" applyNumberFormat="1" applyFont="1" applyAlignment="1" applyProtection="1">
      <alignment horizontal="center"/>
      <protection locked="0"/>
    </xf>
    <xf numFmtId="171" fontId="4" fillId="0" borderId="0" xfId="2" applyNumberFormat="1" applyFont="1" applyBorder="1" applyAlignment="1">
      <alignment horizontal="center"/>
    </xf>
    <xf numFmtId="0" fontId="4" fillId="0" borderId="0" xfId="2" applyFont="1" applyFill="1" applyBorder="1" applyAlignment="1">
      <alignment horizontal="right"/>
    </xf>
    <xf numFmtId="0" fontId="4" fillId="0" borderId="0" xfId="2" applyNumberFormat="1" applyFont="1" applyFill="1" applyBorder="1" applyAlignment="1"/>
    <xf numFmtId="165" fontId="4" fillId="6" borderId="0" xfId="2" applyNumberFormat="1" applyFont="1" applyFill="1" applyBorder="1" applyAlignment="1">
      <alignment horizontal="center"/>
    </xf>
    <xf numFmtId="164" fontId="4" fillId="6" borderId="0" xfId="2" applyNumberFormat="1" applyFont="1" applyFill="1" applyBorder="1" applyAlignment="1"/>
    <xf numFmtId="0" fontId="4" fillId="6" borderId="0" xfId="2" applyNumberFormat="1" applyFont="1" applyFill="1" applyBorder="1" applyAlignment="1"/>
    <xf numFmtId="0" fontId="16" fillId="0" borderId="4" xfId="2" applyNumberFormat="1" applyFont="1" applyBorder="1" applyAlignment="1" applyProtection="1">
      <alignment horizontal="center" vertical="center"/>
      <protection locked="0"/>
    </xf>
    <xf numFmtId="164" fontId="16" fillId="0" borderId="13" xfId="2" applyNumberFormat="1" applyFont="1" applyFill="1" applyBorder="1" applyAlignment="1">
      <alignment horizontal="center"/>
    </xf>
    <xf numFmtId="166" fontId="61" fillId="0" borderId="0" xfId="2" applyNumberFormat="1" applyFont="1" applyFill="1" applyBorder="1" applyAlignment="1"/>
    <xf numFmtId="0" fontId="4" fillId="0" borderId="0" xfId="2" applyNumberFormat="1" applyFont="1" applyFill="1" applyAlignment="1" applyProtection="1">
      <protection locked="0"/>
    </xf>
    <xf numFmtId="2" fontId="16" fillId="0" borderId="9" xfId="2" applyNumberFormat="1" applyFont="1" applyFill="1" applyBorder="1" applyAlignment="1">
      <alignment horizontal="center"/>
    </xf>
    <xf numFmtId="177" fontId="55" fillId="0" borderId="0" xfId="0" applyNumberFormat="1" applyFont="1" applyFill="1" applyBorder="1" applyAlignment="1">
      <alignment horizontal="center" vertical="center"/>
    </xf>
    <xf numFmtId="0" fontId="85" fillId="0" borderId="0" xfId="2" applyFont="1" applyAlignment="1"/>
    <xf numFmtId="2" fontId="57" fillId="0" borderId="3" xfId="2" applyNumberFormat="1" applyFont="1" applyBorder="1" applyAlignment="1" applyProtection="1">
      <protection locked="0"/>
    </xf>
    <xf numFmtId="2" fontId="16" fillId="3" borderId="10" xfId="2" applyNumberFormat="1" applyFont="1" applyFill="1" applyBorder="1" applyAlignment="1">
      <alignment horizontal="center"/>
    </xf>
    <xf numFmtId="0" fontId="4" fillId="0" borderId="0" xfId="0" applyFont="1" applyAlignment="1"/>
    <xf numFmtId="1" fontId="16" fillId="0" borderId="0" xfId="3" applyNumberFormat="1" applyFont="1" applyFill="1"/>
    <xf numFmtId="1" fontId="72" fillId="0" borderId="0" xfId="3" applyNumberFormat="1" applyFont="1" applyFill="1"/>
    <xf numFmtId="164" fontId="16" fillId="0" borderId="3" xfId="2" applyNumberFormat="1" applyFont="1" applyBorder="1" applyAlignment="1"/>
    <xf numFmtId="164" fontId="16" fillId="0" borderId="0" xfId="2" applyNumberFormat="1" applyFont="1" applyFill="1" applyBorder="1" applyAlignment="1"/>
    <xf numFmtId="0" fontId="16" fillId="0" borderId="0" xfId="2" applyNumberFormat="1" applyFont="1" applyBorder="1" applyAlignment="1"/>
    <xf numFmtId="2" fontId="86" fillId="3" borderId="0" xfId="2" applyNumberFormat="1" applyFont="1" applyFill="1" applyBorder="1" applyAlignment="1">
      <alignment horizontal="center"/>
    </xf>
    <xf numFmtId="0" fontId="3" fillId="0" borderId="11" xfId="2" applyNumberFormat="1" applyFont="1" applyBorder="1" applyAlignment="1" applyProtection="1">
      <alignment horizontal="center"/>
      <protection locked="0"/>
    </xf>
    <xf numFmtId="0" fontId="3" fillId="0" borderId="3" xfId="2" applyNumberFormat="1" applyFont="1" applyBorder="1" applyAlignment="1" applyProtection="1">
      <alignment horizontal="center"/>
      <protection locked="0"/>
    </xf>
    <xf numFmtId="2" fontId="6" fillId="0" borderId="3" xfId="2" applyNumberFormat="1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15" fontId="6" fillId="0" borderId="3" xfId="2" applyNumberFormat="1" applyFont="1" applyBorder="1" applyAlignment="1">
      <alignment horizontal="left"/>
    </xf>
    <xf numFmtId="0" fontId="31" fillId="0" borderId="12" xfId="0" applyFont="1" applyBorder="1" applyAlignment="1">
      <alignment horizontal="left"/>
    </xf>
    <xf numFmtId="0" fontId="6" fillId="0" borderId="2" xfId="2" applyFont="1" applyBorder="1" applyAlignment="1">
      <alignment horizontal="center"/>
    </xf>
    <xf numFmtId="0" fontId="16" fillId="0" borderId="2" xfId="2" applyFont="1" applyBorder="1" applyAlignment="1">
      <alignment horizontal="center"/>
    </xf>
    <xf numFmtId="0" fontId="16" fillId="0" borderId="14" xfId="2" applyFont="1" applyBorder="1" applyAlignment="1">
      <alignment horizontal="center"/>
    </xf>
    <xf numFmtId="15" fontId="6" fillId="0" borderId="0" xfId="2" applyNumberFormat="1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4" fillId="0" borderId="2" xfId="2" applyFont="1" applyBorder="1" applyAlignment="1">
      <alignment horizontal="center"/>
    </xf>
    <xf numFmtId="15" fontId="4" fillId="0" borderId="0" xfId="2" applyNumberFormat="1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2" fontId="33" fillId="0" borderId="0" xfId="1" applyNumberFormat="1" applyFont="1" applyAlignment="1" applyProtection="1"/>
    <xf numFmtId="0" fontId="31" fillId="0" borderId="0" xfId="0" applyFont="1" applyAlignment="1"/>
    <xf numFmtId="0" fontId="33" fillId="0" borderId="0" xfId="1" applyFont="1" applyAlignment="1" applyProtection="1"/>
    <xf numFmtId="15" fontId="37" fillId="0" borderId="0" xfId="0" applyNumberFormat="1" applyFont="1" applyBorder="1" applyAlignment="1">
      <alignment horizontal="center"/>
    </xf>
    <xf numFmtId="15" fontId="49" fillId="0" borderId="0" xfId="0" applyNumberFormat="1" applyFont="1" applyBorder="1" applyAlignment="1">
      <alignment horizontal="center"/>
    </xf>
    <xf numFmtId="15" fontId="49" fillId="0" borderId="5" xfId="0" applyNumberFormat="1" applyFont="1" applyBorder="1" applyAlignment="1">
      <alignment horizontal="center"/>
    </xf>
    <xf numFmtId="15" fontId="46" fillId="0" borderId="0" xfId="0" applyNumberFormat="1" applyFont="1" applyBorder="1" applyAlignment="1">
      <alignment horizontal="center"/>
    </xf>
    <xf numFmtId="15" fontId="5" fillId="0" borderId="3" xfId="2" applyNumberFormat="1" applyFont="1" applyBorder="1" applyAlignment="1">
      <alignment horizontal="left"/>
    </xf>
    <xf numFmtId="0" fontId="0" fillId="0" borderId="12" xfId="0" applyBorder="1" applyAlignment="1">
      <alignment horizontal="left"/>
    </xf>
    <xf numFmtId="2" fontId="5" fillId="0" borderId="3" xfId="2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11" fillId="0" borderId="2" xfId="2" applyFont="1" applyBorder="1" applyAlignment="1">
      <alignment horizontal="center"/>
    </xf>
    <xf numFmtId="0" fontId="11" fillId="0" borderId="14" xfId="2" applyFont="1" applyBorder="1" applyAlignment="1">
      <alignment horizontal="center"/>
    </xf>
    <xf numFmtId="15" fontId="5" fillId="0" borderId="0" xfId="2" applyNumberFormat="1" applyFont="1" applyBorder="1" applyAlignment="1">
      <alignment horizontal="left"/>
    </xf>
  </cellXfs>
  <cellStyles count="7">
    <cellStyle name="Comma" xfId="5" builtinId="3"/>
    <cellStyle name="Hyperlink" xfId="1" builtinId="8"/>
    <cellStyle name="Normal" xfId="0" builtinId="0"/>
    <cellStyle name="Normal_852_6_~1" xfId="2"/>
    <cellStyle name="Normal_B" xfId="3"/>
    <cellStyle name="Normal_CrayJitBg02" xfId="6"/>
    <cellStyle name="Percent" xfId="4" builtinId="5"/>
  </cellStyles>
  <dxfs count="1">
    <dxf>
      <font>
        <condense val="0"/>
        <extend val="0"/>
        <color indexed="14"/>
      </font>
      <fill>
        <patternFill>
          <bgColor indexed="47"/>
        </patternFill>
      </fill>
    </dxf>
  </dxfs>
  <tableStyles count="0" defaultTableStyle="TableStyleMedium9" defaultPivotStyle="PivotStyleLight16"/>
  <colors>
    <mruColors>
      <color rgb="FFCC00CC"/>
      <color rgb="FFCCFFFF"/>
      <color rgb="FFFFFF99"/>
      <color rgb="FF0000FF"/>
      <color rgb="FFCCFFCC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Power penalties vs. distance</a:t>
            </a:r>
          </a:p>
        </c:rich>
      </c:tx>
      <c:layout>
        <c:manualLayout>
          <c:xMode val="edge"/>
          <c:yMode val="edge"/>
          <c:x val="0.35599315532161518"/>
          <c:y val="3.65449097813764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33461969495936"/>
          <c:y val="0.11960152292086752"/>
          <c:w val="0.6118073322612686"/>
          <c:h val="0.69767555037173179"/>
        </c:manualLayout>
      </c:layout>
      <c:scatterChart>
        <c:scatterStyle val="lineMarker"/>
        <c:ser>
          <c:idx val="1"/>
          <c:order val="0"/>
          <c:tx>
            <c:strRef>
              <c:f>Base!$B$15</c:f>
              <c:strCache>
                <c:ptCount val="1"/>
                <c:pt idx="0">
                  <c:v>Patt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Base!$A$18:$A$38</c:f>
              <c:numCache>
                <c:formatCode>0.00#</c:formatCode>
                <c:ptCount val="21"/>
                <c:pt idx="0">
                  <c:v>1</c:v>
                </c:pt>
                <c:pt idx="1">
                  <c:v>1.1000000000000001</c:v>
                </c:pt>
                <c:pt idx="2">
                  <c:v>1.2000000000000002</c:v>
                </c:pt>
                <c:pt idx="3">
                  <c:v>1.3000000000000003</c:v>
                </c:pt>
                <c:pt idx="4">
                  <c:v>1.4000000000000004</c:v>
                </c:pt>
                <c:pt idx="5">
                  <c:v>1.5000000000000004</c:v>
                </c:pt>
                <c:pt idx="6">
                  <c:v>1.6000000000000005</c:v>
                </c:pt>
                <c:pt idx="7">
                  <c:v>1.7000000000000006</c:v>
                </c:pt>
                <c:pt idx="8">
                  <c:v>1.8000000000000007</c:v>
                </c:pt>
                <c:pt idx="9">
                  <c:v>1.9000000000000008</c:v>
                </c:pt>
                <c:pt idx="10">
                  <c:v>2.0000000000000009</c:v>
                </c:pt>
                <c:pt idx="11">
                  <c:v>2.100000000000001</c:v>
                </c:pt>
                <c:pt idx="12">
                  <c:v>2.2000000000000011</c:v>
                </c:pt>
                <c:pt idx="13">
                  <c:v>2.3000000000000012</c:v>
                </c:pt>
                <c:pt idx="14">
                  <c:v>2.4000000000000012</c:v>
                </c:pt>
                <c:pt idx="15">
                  <c:v>2.5000000000000013</c:v>
                </c:pt>
                <c:pt idx="16">
                  <c:v>2.6000000000000014</c:v>
                </c:pt>
                <c:pt idx="17">
                  <c:v>2.7000000000000015</c:v>
                </c:pt>
                <c:pt idx="18">
                  <c:v>2.8000000000000016</c:v>
                </c:pt>
                <c:pt idx="19">
                  <c:v>2.9000000000000017</c:v>
                </c:pt>
                <c:pt idx="20">
                  <c:v>3.0000000000000018</c:v>
                </c:pt>
              </c:numCache>
            </c:numRef>
          </c:xVal>
          <c:yVal>
            <c:numRef>
              <c:f>Base!$B$18:$B$38</c:f>
              <c:numCache>
                <c:formatCode>0.00</c:formatCode>
                <c:ptCount val="21"/>
                <c:pt idx="0">
                  <c:v>0.42994539252777514</c:v>
                </c:pt>
                <c:pt idx="1">
                  <c:v>0.47293993178055271</c:v>
                </c:pt>
                <c:pt idx="2">
                  <c:v>0.51593447103333034</c:v>
                </c:pt>
                <c:pt idx="3">
                  <c:v>0.55892901028610775</c:v>
                </c:pt>
                <c:pt idx="4">
                  <c:v>0.60192354953888538</c:v>
                </c:pt>
                <c:pt idx="5">
                  <c:v>0.6449180887916629</c:v>
                </c:pt>
                <c:pt idx="6">
                  <c:v>0.68791262804444053</c:v>
                </c:pt>
                <c:pt idx="7">
                  <c:v>0.73090716729721805</c:v>
                </c:pt>
                <c:pt idx="8">
                  <c:v>0.77390170654999568</c:v>
                </c:pt>
                <c:pt idx="9">
                  <c:v>0.8168962458027732</c:v>
                </c:pt>
                <c:pt idx="10">
                  <c:v>0.85989078505555061</c:v>
                </c:pt>
                <c:pt idx="11">
                  <c:v>0.90288532430832835</c:v>
                </c:pt>
                <c:pt idx="12">
                  <c:v>0.94587986356110576</c:v>
                </c:pt>
                <c:pt idx="13">
                  <c:v>0.98887440281388328</c:v>
                </c:pt>
                <c:pt idx="14">
                  <c:v>1.0318689420666609</c:v>
                </c:pt>
                <c:pt idx="15">
                  <c:v>1.0748634813194384</c:v>
                </c:pt>
                <c:pt idx="16">
                  <c:v>1.1178580205722162</c:v>
                </c:pt>
                <c:pt idx="17">
                  <c:v>1.1608525598249937</c:v>
                </c:pt>
                <c:pt idx="18">
                  <c:v>1.203847099077771</c:v>
                </c:pt>
                <c:pt idx="19">
                  <c:v>1.2468416383305487</c:v>
                </c:pt>
                <c:pt idx="20">
                  <c:v>1.2898361775833262</c:v>
                </c:pt>
              </c:numCache>
            </c:numRef>
          </c:yVal>
        </c:ser>
        <c:ser>
          <c:idx val="0"/>
          <c:order val="1"/>
          <c:tx>
            <c:strRef>
              <c:f>Base!$J$14:$J$15</c:f>
              <c:strCache>
                <c:ptCount val="1"/>
                <c:pt idx="0">
                  <c:v>Pisi central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Base!$A$18:$A$38</c:f>
              <c:numCache>
                <c:formatCode>0.00#</c:formatCode>
                <c:ptCount val="21"/>
                <c:pt idx="0">
                  <c:v>1</c:v>
                </c:pt>
                <c:pt idx="1">
                  <c:v>1.1000000000000001</c:v>
                </c:pt>
                <c:pt idx="2">
                  <c:v>1.2000000000000002</c:v>
                </c:pt>
                <c:pt idx="3">
                  <c:v>1.3000000000000003</c:v>
                </c:pt>
                <c:pt idx="4">
                  <c:v>1.4000000000000004</c:v>
                </c:pt>
                <c:pt idx="5">
                  <c:v>1.5000000000000004</c:v>
                </c:pt>
                <c:pt idx="6">
                  <c:v>1.6000000000000005</c:v>
                </c:pt>
                <c:pt idx="7">
                  <c:v>1.7000000000000006</c:v>
                </c:pt>
                <c:pt idx="8">
                  <c:v>1.8000000000000007</c:v>
                </c:pt>
                <c:pt idx="9">
                  <c:v>1.9000000000000008</c:v>
                </c:pt>
                <c:pt idx="10">
                  <c:v>2.0000000000000009</c:v>
                </c:pt>
                <c:pt idx="11">
                  <c:v>2.100000000000001</c:v>
                </c:pt>
                <c:pt idx="12">
                  <c:v>2.2000000000000011</c:v>
                </c:pt>
                <c:pt idx="13">
                  <c:v>2.3000000000000012</c:v>
                </c:pt>
                <c:pt idx="14">
                  <c:v>2.4000000000000012</c:v>
                </c:pt>
                <c:pt idx="15">
                  <c:v>2.5000000000000013</c:v>
                </c:pt>
                <c:pt idx="16">
                  <c:v>2.6000000000000014</c:v>
                </c:pt>
                <c:pt idx="17">
                  <c:v>2.7000000000000015</c:v>
                </c:pt>
                <c:pt idx="18">
                  <c:v>2.8000000000000016</c:v>
                </c:pt>
                <c:pt idx="19">
                  <c:v>2.9000000000000017</c:v>
                </c:pt>
                <c:pt idx="20">
                  <c:v>3.0000000000000018</c:v>
                </c:pt>
              </c:numCache>
            </c:numRef>
          </c:xVal>
          <c:yVal>
            <c:numRef>
              <c:f>Base!$J$18:$J$38</c:f>
              <c:numCache>
                <c:formatCode>0.00</c:formatCode>
                <c:ptCount val="21"/>
                <c:pt idx="0">
                  <c:v>1.4844395083286257</c:v>
                </c:pt>
                <c:pt idx="1">
                  <c:v>1.4905486599168418</c:v>
                </c:pt>
                <c:pt idx="2">
                  <c:v>1.4972418575756592</c:v>
                </c:pt>
                <c:pt idx="3">
                  <c:v>1.5045196777312744</c:v>
                </c:pt>
                <c:pt idx="4">
                  <c:v>1.5123827346321448</c:v>
                </c:pt>
                <c:pt idx="5">
                  <c:v>1.520831677595903</c:v>
                </c:pt>
                <c:pt idx="6">
                  <c:v>1.5298671881580921</c:v>
                </c:pt>
                <c:pt idx="7">
                  <c:v>1.5394899771473833</c:v>
                </c:pt>
                <c:pt idx="8">
                  <c:v>1.5497007817124995</c:v>
                </c:pt>
                <c:pt idx="9">
                  <c:v>1.5605003623266067</c:v>
                </c:pt>
                <c:pt idx="10">
                  <c:v>1.5718891540255007</c:v>
                </c:pt>
                <c:pt idx="11">
                  <c:v>1.583868632006538</c:v>
                </c:pt>
                <c:pt idx="12">
                  <c:v>1.5964392763980957</c:v>
                </c:pt>
                <c:pt idx="13">
                  <c:v>1.6096019113729343</c:v>
                </c:pt>
                <c:pt idx="14">
                  <c:v>1.6233573700049724</c:v>
                </c:pt>
                <c:pt idx="15">
                  <c:v>1.6377064916747666</c:v>
                </c:pt>
                <c:pt idx="16">
                  <c:v>1.6526501196272014</c:v>
                </c:pt>
                <c:pt idx="17">
                  <c:v>1.6681890987034862</c:v>
                </c:pt>
                <c:pt idx="18">
                  <c:v>1.6843242732684469</c:v>
                </c:pt>
                <c:pt idx="19">
                  <c:v>1.7010564853528298</c:v>
                </c:pt>
                <c:pt idx="20">
                  <c:v>1.7183865730288868</c:v>
                </c:pt>
              </c:numCache>
            </c:numRef>
          </c:yVal>
        </c:ser>
        <c:ser>
          <c:idx val="6"/>
          <c:order val="2"/>
          <c:tx>
            <c:strRef>
              <c:f>Base!$L$14:$L$15</c:f>
              <c:strCache>
                <c:ptCount val="1"/>
                <c:pt idx="0">
                  <c:v>P_DJ central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Base!$A$18:$A$38</c:f>
              <c:numCache>
                <c:formatCode>0.00#</c:formatCode>
                <c:ptCount val="21"/>
                <c:pt idx="0">
                  <c:v>1</c:v>
                </c:pt>
                <c:pt idx="1">
                  <c:v>1.1000000000000001</c:v>
                </c:pt>
                <c:pt idx="2">
                  <c:v>1.2000000000000002</c:v>
                </c:pt>
                <c:pt idx="3">
                  <c:v>1.3000000000000003</c:v>
                </c:pt>
                <c:pt idx="4">
                  <c:v>1.4000000000000004</c:v>
                </c:pt>
                <c:pt idx="5">
                  <c:v>1.5000000000000004</c:v>
                </c:pt>
                <c:pt idx="6">
                  <c:v>1.6000000000000005</c:v>
                </c:pt>
                <c:pt idx="7">
                  <c:v>1.7000000000000006</c:v>
                </c:pt>
                <c:pt idx="8">
                  <c:v>1.8000000000000007</c:v>
                </c:pt>
                <c:pt idx="9">
                  <c:v>1.9000000000000008</c:v>
                </c:pt>
                <c:pt idx="10">
                  <c:v>2.0000000000000009</c:v>
                </c:pt>
                <c:pt idx="11">
                  <c:v>2.100000000000001</c:v>
                </c:pt>
                <c:pt idx="12">
                  <c:v>2.2000000000000011</c:v>
                </c:pt>
                <c:pt idx="13">
                  <c:v>2.3000000000000012</c:v>
                </c:pt>
                <c:pt idx="14">
                  <c:v>2.4000000000000012</c:v>
                </c:pt>
                <c:pt idx="15">
                  <c:v>2.5000000000000013</c:v>
                </c:pt>
                <c:pt idx="16">
                  <c:v>2.6000000000000014</c:v>
                </c:pt>
                <c:pt idx="17">
                  <c:v>2.7000000000000015</c:v>
                </c:pt>
                <c:pt idx="18">
                  <c:v>2.8000000000000016</c:v>
                </c:pt>
                <c:pt idx="19">
                  <c:v>2.9000000000000017</c:v>
                </c:pt>
                <c:pt idx="20">
                  <c:v>3.0000000000000018</c:v>
                </c:pt>
              </c:numCache>
            </c:numRef>
          </c:xVal>
          <c:yVal>
            <c:numRef>
              <c:f>Base!$L$18:$L$38</c:f>
              <c:numCache>
                <c:formatCode>0.00</c:formatCode>
                <c:ptCount val="21"/>
                <c:pt idx="0">
                  <c:v>0.31364199115273728</c:v>
                </c:pt>
                <c:pt idx="1">
                  <c:v>0.3137356806255378</c:v>
                </c:pt>
                <c:pt idx="2">
                  <c:v>0.31383721901874528</c:v>
                </c:pt>
                <c:pt idx="3">
                  <c:v>0.31394633228582025</c:v>
                </c:pt>
                <c:pt idx="4">
                  <c:v>0.31406273044848243</c:v>
                </c:pt>
                <c:pt idx="5">
                  <c:v>0.31418610940795744</c:v>
                </c:pt>
                <c:pt idx="6">
                  <c:v>0.31431615283955039</c:v>
                </c:pt>
                <c:pt idx="7">
                  <c:v>0.31445253415826246</c:v>
                </c:pt>
                <c:pt idx="8">
                  <c:v>0.31459491854294019</c:v>
                </c:pt>
                <c:pt idx="9">
                  <c:v>0.31474255921703809</c:v>
                </c:pt>
                <c:pt idx="10">
                  <c:v>0.31489625343272887</c:v>
                </c:pt>
                <c:pt idx="11">
                  <c:v>0.31505458516804774</c:v>
                </c:pt>
                <c:pt idx="12">
                  <c:v>0.31521754004478253</c:v>
                </c:pt>
                <c:pt idx="13">
                  <c:v>0.31538477358553441</c:v>
                </c:pt>
                <c:pt idx="14">
                  <c:v>0.31555594574541379</c:v>
                </c:pt>
                <c:pt idx="15">
                  <c:v>0.31573072299702387</c:v>
                </c:pt>
                <c:pt idx="16">
                  <c:v>0.31590878037763148</c:v>
                </c:pt>
                <c:pt idx="17">
                  <c:v>0.31608980348853977</c:v>
                </c:pt>
                <c:pt idx="18">
                  <c:v>0.3162730510282723</c:v>
                </c:pt>
                <c:pt idx="19">
                  <c:v>0.31645909150929308</c:v>
                </c:pt>
                <c:pt idx="20">
                  <c:v>0.31664723517286486</c:v>
                </c:pt>
              </c:numCache>
            </c:numRef>
          </c:yVal>
        </c:ser>
        <c:ser>
          <c:idx val="3"/>
          <c:order val="3"/>
          <c:tx>
            <c:strRef>
              <c:f>Base!$R$15</c:f>
              <c:strCache>
                <c:ptCount val="1"/>
                <c:pt idx="0">
                  <c:v>Prin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Base!$A$18:$A$38</c:f>
              <c:numCache>
                <c:formatCode>0.00#</c:formatCode>
                <c:ptCount val="21"/>
                <c:pt idx="0">
                  <c:v>1</c:v>
                </c:pt>
                <c:pt idx="1">
                  <c:v>1.1000000000000001</c:v>
                </c:pt>
                <c:pt idx="2">
                  <c:v>1.2000000000000002</c:v>
                </c:pt>
                <c:pt idx="3">
                  <c:v>1.3000000000000003</c:v>
                </c:pt>
                <c:pt idx="4">
                  <c:v>1.4000000000000004</c:v>
                </c:pt>
                <c:pt idx="5">
                  <c:v>1.5000000000000004</c:v>
                </c:pt>
                <c:pt idx="6">
                  <c:v>1.6000000000000005</c:v>
                </c:pt>
                <c:pt idx="7">
                  <c:v>1.7000000000000006</c:v>
                </c:pt>
                <c:pt idx="8">
                  <c:v>1.8000000000000007</c:v>
                </c:pt>
                <c:pt idx="9">
                  <c:v>1.9000000000000008</c:v>
                </c:pt>
                <c:pt idx="10">
                  <c:v>2.0000000000000009</c:v>
                </c:pt>
                <c:pt idx="11">
                  <c:v>2.100000000000001</c:v>
                </c:pt>
                <c:pt idx="12">
                  <c:v>2.2000000000000011</c:v>
                </c:pt>
                <c:pt idx="13">
                  <c:v>2.3000000000000012</c:v>
                </c:pt>
                <c:pt idx="14">
                  <c:v>2.4000000000000012</c:v>
                </c:pt>
                <c:pt idx="15">
                  <c:v>2.5000000000000013</c:v>
                </c:pt>
                <c:pt idx="16">
                  <c:v>2.6000000000000014</c:v>
                </c:pt>
                <c:pt idx="17">
                  <c:v>2.7000000000000015</c:v>
                </c:pt>
                <c:pt idx="18">
                  <c:v>2.8000000000000016</c:v>
                </c:pt>
                <c:pt idx="19">
                  <c:v>2.9000000000000017</c:v>
                </c:pt>
                <c:pt idx="20">
                  <c:v>3.0000000000000018</c:v>
                </c:pt>
              </c:numCache>
            </c:numRef>
          </c:xVal>
          <c:yVal>
            <c:numRef>
              <c:f>Base!$R$18:$R$38</c:f>
              <c:numCache>
                <c:formatCode>0.00</c:formatCode>
                <c:ptCount val="21"/>
                <c:pt idx="0">
                  <c:v>0.45230119176636246</c:v>
                </c:pt>
                <c:pt idx="1">
                  <c:v>0.44911580471879925</c:v>
                </c:pt>
                <c:pt idx="2">
                  <c:v>0.44597229086918211</c:v>
                </c:pt>
                <c:pt idx="3">
                  <c:v>0.44287368830756912</c:v>
                </c:pt>
                <c:pt idx="4">
                  <c:v>0.43982325574984993</c:v>
                </c:pt>
                <c:pt idx="5">
                  <c:v>0.43682442802301374</c:v>
                </c:pt>
                <c:pt idx="6">
                  <c:v>0.43388077413795884</c:v>
                </c:pt>
                <c:pt idx="7">
                  <c:v>0.43099595828060655</c:v>
                </c:pt>
                <c:pt idx="8">
                  <c:v>0.42817370398162047</c:v>
                </c:pt>
                <c:pt idx="9">
                  <c:v>0.42541765290902228</c:v>
                </c:pt>
                <c:pt idx="10">
                  <c:v>0.42273176782286809</c:v>
                </c:pt>
                <c:pt idx="11">
                  <c:v>0.42011966352742047</c:v>
                </c:pt>
                <c:pt idx="12">
                  <c:v>0.41758501137409809</c:v>
                </c:pt>
                <c:pt idx="13">
                  <c:v>0.4151314148645977</c:v>
                </c:pt>
                <c:pt idx="14">
                  <c:v>0.4127623945947817</c:v>
                </c:pt>
                <c:pt idx="15">
                  <c:v>0.41048137641997279</c:v>
                </c:pt>
                <c:pt idx="16">
                  <c:v>0.4082916826643036</c:v>
                </c:pt>
                <c:pt idx="17">
                  <c:v>0.40619652617325619</c:v>
                </c:pt>
                <c:pt idx="18">
                  <c:v>0.40419889725278602</c:v>
                </c:pt>
                <c:pt idx="19">
                  <c:v>0.40230199676162898</c:v>
                </c:pt>
                <c:pt idx="20">
                  <c:v>0.40050859333228245</c:v>
                </c:pt>
              </c:numCache>
            </c:numRef>
          </c:yVal>
        </c:ser>
        <c:ser>
          <c:idx val="5"/>
          <c:order val="4"/>
          <c:tx>
            <c:strRef>
              <c:f>Base!$N$14:$N$15</c:f>
              <c:strCache>
                <c:ptCount val="1"/>
                <c:pt idx="0">
                  <c:v>Preflection central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Base!$A$18:$A$38</c:f>
              <c:numCache>
                <c:formatCode>0.00#</c:formatCode>
                <c:ptCount val="21"/>
                <c:pt idx="0">
                  <c:v>1</c:v>
                </c:pt>
                <c:pt idx="1">
                  <c:v>1.1000000000000001</c:v>
                </c:pt>
                <c:pt idx="2">
                  <c:v>1.2000000000000002</c:v>
                </c:pt>
                <c:pt idx="3">
                  <c:v>1.3000000000000003</c:v>
                </c:pt>
                <c:pt idx="4">
                  <c:v>1.4000000000000004</c:v>
                </c:pt>
                <c:pt idx="5">
                  <c:v>1.5000000000000004</c:v>
                </c:pt>
                <c:pt idx="6">
                  <c:v>1.6000000000000005</c:v>
                </c:pt>
                <c:pt idx="7">
                  <c:v>1.7000000000000006</c:v>
                </c:pt>
                <c:pt idx="8">
                  <c:v>1.8000000000000007</c:v>
                </c:pt>
                <c:pt idx="9">
                  <c:v>1.9000000000000008</c:v>
                </c:pt>
                <c:pt idx="10">
                  <c:v>2.0000000000000009</c:v>
                </c:pt>
                <c:pt idx="11">
                  <c:v>2.100000000000001</c:v>
                </c:pt>
                <c:pt idx="12">
                  <c:v>2.2000000000000011</c:v>
                </c:pt>
                <c:pt idx="13">
                  <c:v>2.3000000000000012</c:v>
                </c:pt>
                <c:pt idx="14">
                  <c:v>2.4000000000000012</c:v>
                </c:pt>
                <c:pt idx="15">
                  <c:v>2.5000000000000013</c:v>
                </c:pt>
                <c:pt idx="16">
                  <c:v>2.6000000000000014</c:v>
                </c:pt>
                <c:pt idx="17">
                  <c:v>2.7000000000000015</c:v>
                </c:pt>
                <c:pt idx="18">
                  <c:v>2.8000000000000016</c:v>
                </c:pt>
                <c:pt idx="19">
                  <c:v>2.9000000000000017</c:v>
                </c:pt>
                <c:pt idx="20">
                  <c:v>3.0000000000000018</c:v>
                </c:pt>
              </c:numCache>
            </c:numRef>
          </c:xVal>
          <c:yVal>
            <c:numRef>
              <c:f>Base!$N$18:$N$38</c:f>
              <c:numCache>
                <c:formatCode>0.00</c:formatCode>
                <c:ptCount val="21"/>
                <c:pt idx="0">
                  <c:v>1.1075680393434675</c:v>
                </c:pt>
                <c:pt idx="1">
                  <c:v>1.0967585110459583</c:v>
                </c:pt>
                <c:pt idx="2">
                  <c:v>1.0862196546227527</c:v>
                </c:pt>
                <c:pt idx="3">
                  <c:v>1.0759450835282787</c:v>
                </c:pt>
                <c:pt idx="4">
                  <c:v>1.0659286435398134</c:v>
                </c:pt>
                <c:pt idx="5">
                  <c:v>1.0561644035472375</c:v>
                </c:pt>
                <c:pt idx="6">
                  <c:v>1.0466466468043305</c:v>
                </c:pt>
                <c:pt idx="7">
                  <c:v>1.0373698626182888</c:v>
                </c:pt>
                <c:pt idx="8">
                  <c:v>1.0283287384557482</c:v>
                </c:pt>
                <c:pt idx="9">
                  <c:v>1.0195180557626236</c:v>
                </c:pt>
                <c:pt idx="10">
                  <c:v>1.0109330669117964</c:v>
                </c:pt>
                <c:pt idx="11">
                  <c:v>1.0025689160749824</c:v>
                </c:pt>
                <c:pt idx="12">
                  <c:v>0.99442101205092226</c:v>
                </c:pt>
                <c:pt idx="13">
                  <c:v>0.98648492791005749</c:v>
                </c:pt>
                <c:pt idx="14">
                  <c:v>0.97875639521775304</c:v>
                </c:pt>
                <c:pt idx="15">
                  <c:v>0.97123129855710311</c:v>
                </c:pt>
                <c:pt idx="16">
                  <c:v>0.96390567033854557</c:v>
                </c:pt>
                <c:pt idx="17">
                  <c:v>0.95677568588431794</c:v>
                </c:pt>
                <c:pt idx="18">
                  <c:v>0.94983756180282042</c:v>
                </c:pt>
                <c:pt idx="19">
                  <c:v>0.94308793522559364</c:v>
                </c:pt>
                <c:pt idx="20">
                  <c:v>0.9365232902404147</c:v>
                </c:pt>
              </c:numCache>
            </c:numRef>
          </c:yVal>
        </c:ser>
        <c:ser>
          <c:idx val="2"/>
          <c:order val="5"/>
          <c:tx>
            <c:strRef>
              <c:f>Base!$Q$15</c:f>
              <c:strCache>
                <c:ptCount val="1"/>
                <c:pt idx="0">
                  <c:v>Pmpn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Base!$A$18:$A$38</c:f>
              <c:numCache>
                <c:formatCode>0.00#</c:formatCode>
                <c:ptCount val="21"/>
                <c:pt idx="0">
                  <c:v>1</c:v>
                </c:pt>
                <c:pt idx="1">
                  <c:v>1.1000000000000001</c:v>
                </c:pt>
                <c:pt idx="2">
                  <c:v>1.2000000000000002</c:v>
                </c:pt>
                <c:pt idx="3">
                  <c:v>1.3000000000000003</c:v>
                </c:pt>
                <c:pt idx="4">
                  <c:v>1.4000000000000004</c:v>
                </c:pt>
                <c:pt idx="5">
                  <c:v>1.5000000000000004</c:v>
                </c:pt>
                <c:pt idx="6">
                  <c:v>1.6000000000000005</c:v>
                </c:pt>
                <c:pt idx="7">
                  <c:v>1.7000000000000006</c:v>
                </c:pt>
                <c:pt idx="8">
                  <c:v>1.8000000000000007</c:v>
                </c:pt>
                <c:pt idx="9">
                  <c:v>1.9000000000000008</c:v>
                </c:pt>
                <c:pt idx="10">
                  <c:v>2.0000000000000009</c:v>
                </c:pt>
                <c:pt idx="11">
                  <c:v>2.100000000000001</c:v>
                </c:pt>
                <c:pt idx="12">
                  <c:v>2.2000000000000011</c:v>
                </c:pt>
                <c:pt idx="13">
                  <c:v>2.3000000000000012</c:v>
                </c:pt>
                <c:pt idx="14">
                  <c:v>2.4000000000000012</c:v>
                </c:pt>
                <c:pt idx="15">
                  <c:v>2.5000000000000013</c:v>
                </c:pt>
                <c:pt idx="16">
                  <c:v>2.6000000000000014</c:v>
                </c:pt>
                <c:pt idx="17">
                  <c:v>2.7000000000000015</c:v>
                </c:pt>
                <c:pt idx="18">
                  <c:v>2.8000000000000016</c:v>
                </c:pt>
                <c:pt idx="19">
                  <c:v>2.9000000000000017</c:v>
                </c:pt>
                <c:pt idx="20">
                  <c:v>3.0000000000000018</c:v>
                </c:pt>
              </c:numCache>
            </c:numRef>
          </c:xVal>
          <c:yVal>
            <c:numRef>
              <c:f>Base!$Q$18:$Q$38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</c:ser>
        <c:ser>
          <c:idx val="4"/>
          <c:order val="6"/>
          <c:tx>
            <c:strRef>
              <c:f>Base!$S$14</c:f>
              <c:strCache>
                <c:ptCount val="1"/>
                <c:pt idx="0">
                  <c:v>Pcross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Base!$A$18:$A$38</c:f>
              <c:numCache>
                <c:formatCode>0.00#</c:formatCode>
                <c:ptCount val="21"/>
                <c:pt idx="0">
                  <c:v>1</c:v>
                </c:pt>
                <c:pt idx="1">
                  <c:v>1.1000000000000001</c:v>
                </c:pt>
                <c:pt idx="2">
                  <c:v>1.2000000000000002</c:v>
                </c:pt>
                <c:pt idx="3">
                  <c:v>1.3000000000000003</c:v>
                </c:pt>
                <c:pt idx="4">
                  <c:v>1.4000000000000004</c:v>
                </c:pt>
                <c:pt idx="5">
                  <c:v>1.5000000000000004</c:v>
                </c:pt>
                <c:pt idx="6">
                  <c:v>1.6000000000000005</c:v>
                </c:pt>
                <c:pt idx="7">
                  <c:v>1.7000000000000006</c:v>
                </c:pt>
                <c:pt idx="8">
                  <c:v>1.8000000000000007</c:v>
                </c:pt>
                <c:pt idx="9">
                  <c:v>1.9000000000000008</c:v>
                </c:pt>
                <c:pt idx="10">
                  <c:v>2.0000000000000009</c:v>
                </c:pt>
                <c:pt idx="11">
                  <c:v>2.100000000000001</c:v>
                </c:pt>
                <c:pt idx="12">
                  <c:v>2.2000000000000011</c:v>
                </c:pt>
                <c:pt idx="13">
                  <c:v>2.3000000000000012</c:v>
                </c:pt>
                <c:pt idx="14">
                  <c:v>2.4000000000000012</c:v>
                </c:pt>
                <c:pt idx="15">
                  <c:v>2.5000000000000013</c:v>
                </c:pt>
                <c:pt idx="16">
                  <c:v>2.6000000000000014</c:v>
                </c:pt>
                <c:pt idx="17">
                  <c:v>2.7000000000000015</c:v>
                </c:pt>
                <c:pt idx="18">
                  <c:v>2.8000000000000016</c:v>
                </c:pt>
                <c:pt idx="19">
                  <c:v>2.9000000000000017</c:v>
                </c:pt>
                <c:pt idx="20">
                  <c:v>3.0000000000000018</c:v>
                </c:pt>
              </c:numCache>
            </c:numRef>
          </c:xVal>
          <c:yVal>
            <c:numRef>
              <c:f>Base!$S$18:$S$38</c:f>
              <c:numCache>
                <c:formatCode>0.00</c:formatCode>
                <c:ptCount val="21"/>
                <c:pt idx="0">
                  <c:v>2.0134697786862776E-2</c:v>
                </c:pt>
                <c:pt idx="1">
                  <c:v>2.0041081792550763E-2</c:v>
                </c:pt>
                <c:pt idx="2">
                  <c:v>1.9958614561032428E-2</c:v>
                </c:pt>
                <c:pt idx="3">
                  <c:v>1.98871546194338E-2</c:v>
                </c:pt>
                <c:pt idx="4">
                  <c:v>1.9826580754314649E-2</c:v>
                </c:pt>
                <c:pt idx="5">
                  <c:v>1.9776790958929757E-2</c:v>
                </c:pt>
                <c:pt idx="6">
                  <c:v>1.9737701490756987E-2</c:v>
                </c:pt>
                <c:pt idx="7">
                  <c:v>1.9709246035285788E-2</c:v>
                </c:pt>
                <c:pt idx="8">
                  <c:v>1.9691374972167219E-2</c:v>
                </c:pt>
                <c:pt idx="9">
                  <c:v>1.9684047511439318E-2</c:v>
                </c:pt>
                <c:pt idx="10">
                  <c:v>1.9687259819271052E-2</c:v>
                </c:pt>
                <c:pt idx="11">
                  <c:v>1.9701001912133087E-2</c:v>
                </c:pt>
                <c:pt idx="12">
                  <c:v>1.9725285514552549E-2</c:v>
                </c:pt>
                <c:pt idx="13">
                  <c:v>1.9760136772912218E-2</c:v>
                </c:pt>
                <c:pt idx="14">
                  <c:v>1.9805596053378283E-2</c:v>
                </c:pt>
                <c:pt idx="15">
                  <c:v>1.9861717815420288E-2</c:v>
                </c:pt>
                <c:pt idx="16">
                  <c:v>1.9928570557623204E-2</c:v>
                </c:pt>
                <c:pt idx="17">
                  <c:v>2.0006236832777691E-2</c:v>
                </c:pt>
                <c:pt idx="18">
                  <c:v>2.0094805564789597E-2</c:v>
                </c:pt>
                <c:pt idx="19">
                  <c:v>2.0194402837642678E-2</c:v>
                </c:pt>
                <c:pt idx="20">
                  <c:v>2.0305146724970136E-2</c:v>
                </c:pt>
              </c:numCache>
            </c:numRef>
          </c:yVal>
        </c:ser>
        <c:ser>
          <c:idx val="8"/>
          <c:order val="7"/>
          <c:tx>
            <c:strRef>
              <c:f>Base!$T$14</c:f>
              <c:strCache>
                <c:ptCount val="1"/>
                <c:pt idx="0">
                  <c:v>Ptotal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Base!$A$18:$A$38</c:f>
              <c:numCache>
                <c:formatCode>0.00#</c:formatCode>
                <c:ptCount val="21"/>
                <c:pt idx="0">
                  <c:v>1</c:v>
                </c:pt>
                <c:pt idx="1">
                  <c:v>1.1000000000000001</c:v>
                </c:pt>
                <c:pt idx="2">
                  <c:v>1.2000000000000002</c:v>
                </c:pt>
                <c:pt idx="3">
                  <c:v>1.3000000000000003</c:v>
                </c:pt>
                <c:pt idx="4">
                  <c:v>1.4000000000000004</c:v>
                </c:pt>
                <c:pt idx="5">
                  <c:v>1.5000000000000004</c:v>
                </c:pt>
                <c:pt idx="6">
                  <c:v>1.6000000000000005</c:v>
                </c:pt>
                <c:pt idx="7">
                  <c:v>1.7000000000000006</c:v>
                </c:pt>
                <c:pt idx="8">
                  <c:v>1.8000000000000007</c:v>
                </c:pt>
                <c:pt idx="9">
                  <c:v>1.9000000000000008</c:v>
                </c:pt>
                <c:pt idx="10">
                  <c:v>2.0000000000000009</c:v>
                </c:pt>
                <c:pt idx="11">
                  <c:v>2.100000000000001</c:v>
                </c:pt>
                <c:pt idx="12">
                  <c:v>2.2000000000000011</c:v>
                </c:pt>
                <c:pt idx="13">
                  <c:v>2.3000000000000012</c:v>
                </c:pt>
                <c:pt idx="14">
                  <c:v>2.4000000000000012</c:v>
                </c:pt>
                <c:pt idx="15">
                  <c:v>2.5000000000000013</c:v>
                </c:pt>
                <c:pt idx="16">
                  <c:v>2.6000000000000014</c:v>
                </c:pt>
                <c:pt idx="17">
                  <c:v>2.7000000000000015</c:v>
                </c:pt>
                <c:pt idx="18">
                  <c:v>2.8000000000000016</c:v>
                </c:pt>
                <c:pt idx="19">
                  <c:v>2.9000000000000017</c:v>
                </c:pt>
                <c:pt idx="20">
                  <c:v>3.0000000000000018</c:v>
                </c:pt>
              </c:numCache>
            </c:numRef>
          </c:xVal>
          <c:yVal>
            <c:numRef>
              <c:f>Base!$T$18:$T$38</c:f>
              <c:numCache>
                <c:formatCode>0.0</c:formatCode>
                <c:ptCount val="21"/>
                <c:pt idx="0">
                  <c:v>3.8080308209058304</c:v>
                </c:pt>
                <c:pt idx="1">
                  <c:v>3.8431396698802409</c:v>
                </c:pt>
                <c:pt idx="2">
                  <c:v>3.879164107680702</c:v>
                </c:pt>
                <c:pt idx="3">
                  <c:v>3.9161009467584842</c:v>
                </c:pt>
                <c:pt idx="4">
                  <c:v>3.9539474946634905</c:v>
                </c:pt>
                <c:pt idx="5">
                  <c:v>3.992701498324704</c:v>
                </c:pt>
                <c:pt idx="6">
                  <c:v>4.0323610914751296</c:v>
                </c:pt>
                <c:pt idx="7">
                  <c:v>4.072924745537045</c:v>
                </c:pt>
                <c:pt idx="8">
                  <c:v>4.1143912242149714</c:v>
                </c:pt>
                <c:pt idx="9">
                  <c:v>4.1567589235295026</c:v>
                </c:pt>
                <c:pt idx="10">
                  <c:v>4.2000282870677159</c:v>
                </c:pt>
                <c:pt idx="11">
                  <c:v>4.2441981229974495</c:v>
                </c:pt>
                <c:pt idx="12">
                  <c:v>4.289267988943557</c:v>
                </c:pt>
                <c:pt idx="13">
                  <c:v>4.3352375673199193</c:v>
                </c:pt>
                <c:pt idx="14">
                  <c:v>4.3821066436829597</c:v>
                </c:pt>
                <c:pt idx="15">
                  <c:v>4.4298750887837244</c:v>
                </c:pt>
                <c:pt idx="16">
                  <c:v>4.4785428441375226</c:v>
                </c:pt>
                <c:pt idx="17">
                  <c:v>4.5281099109073715</c:v>
                </c:pt>
                <c:pt idx="18">
                  <c:v>4.5785756879948858</c:v>
                </c:pt>
                <c:pt idx="19">
                  <c:v>4.6299415500175369</c:v>
                </c:pt>
                <c:pt idx="20">
                  <c:v>4.6822070160827458</c:v>
                </c:pt>
              </c:numCache>
            </c:numRef>
          </c:yVal>
        </c:ser>
        <c:ser>
          <c:idx val="7"/>
          <c:order val="8"/>
          <c:tx>
            <c:strRef>
              <c:f>Base!$AL$15</c:f>
              <c:strCache>
                <c:ptCount val="1"/>
                <c:pt idx="0">
                  <c:v>P-C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Base!$A$18:$A$38</c:f>
              <c:numCache>
                <c:formatCode>0.00#</c:formatCode>
                <c:ptCount val="21"/>
                <c:pt idx="0">
                  <c:v>1</c:v>
                </c:pt>
                <c:pt idx="1">
                  <c:v>1.1000000000000001</c:v>
                </c:pt>
                <c:pt idx="2">
                  <c:v>1.2000000000000002</c:v>
                </c:pt>
                <c:pt idx="3">
                  <c:v>1.3000000000000003</c:v>
                </c:pt>
                <c:pt idx="4">
                  <c:v>1.4000000000000004</c:v>
                </c:pt>
                <c:pt idx="5">
                  <c:v>1.5000000000000004</c:v>
                </c:pt>
                <c:pt idx="6">
                  <c:v>1.6000000000000005</c:v>
                </c:pt>
                <c:pt idx="7">
                  <c:v>1.7000000000000006</c:v>
                </c:pt>
                <c:pt idx="8">
                  <c:v>1.8000000000000007</c:v>
                </c:pt>
                <c:pt idx="9">
                  <c:v>1.9000000000000008</c:v>
                </c:pt>
                <c:pt idx="10">
                  <c:v>2.0000000000000009</c:v>
                </c:pt>
                <c:pt idx="11">
                  <c:v>2.100000000000001</c:v>
                </c:pt>
                <c:pt idx="12">
                  <c:v>2.2000000000000011</c:v>
                </c:pt>
                <c:pt idx="13">
                  <c:v>2.3000000000000012</c:v>
                </c:pt>
                <c:pt idx="14">
                  <c:v>2.4000000000000012</c:v>
                </c:pt>
                <c:pt idx="15">
                  <c:v>2.5000000000000013</c:v>
                </c:pt>
                <c:pt idx="16">
                  <c:v>2.6000000000000014</c:v>
                </c:pt>
                <c:pt idx="17">
                  <c:v>2.7000000000000015</c:v>
                </c:pt>
                <c:pt idx="18">
                  <c:v>2.8000000000000016</c:v>
                </c:pt>
                <c:pt idx="19">
                  <c:v>2.9000000000000017</c:v>
                </c:pt>
                <c:pt idx="20">
                  <c:v>3.0000000000000018</c:v>
                </c:pt>
              </c:numCache>
            </c:numRef>
          </c:xVal>
          <c:yVal>
            <c:numRef>
              <c:f>Base!$AL$18:$AL$38</c:f>
              <c:numCache>
                <c:formatCode>General</c:formatCode>
                <c:ptCount val="21"/>
                <c:pt idx="0">
                  <c:v>4.2000000000000011</c:v>
                </c:pt>
                <c:pt idx="1">
                  <c:v>4.2000000000000011</c:v>
                </c:pt>
                <c:pt idx="2">
                  <c:v>4.2000000000000011</c:v>
                </c:pt>
                <c:pt idx="3">
                  <c:v>4.2000000000000011</c:v>
                </c:pt>
                <c:pt idx="4">
                  <c:v>4.2000000000000011</c:v>
                </c:pt>
                <c:pt idx="5">
                  <c:v>4.2000000000000011</c:v>
                </c:pt>
                <c:pt idx="6">
                  <c:v>4.2000000000000011</c:v>
                </c:pt>
                <c:pt idx="7">
                  <c:v>4.2000000000000011</c:v>
                </c:pt>
                <c:pt idx="8">
                  <c:v>4.2000000000000011</c:v>
                </c:pt>
                <c:pt idx="9">
                  <c:v>4.2000000000000011</c:v>
                </c:pt>
                <c:pt idx="10">
                  <c:v>4.2000000000000011</c:v>
                </c:pt>
                <c:pt idx="11">
                  <c:v>4.2000000000000011</c:v>
                </c:pt>
                <c:pt idx="12">
                  <c:v>4.2000000000000011</c:v>
                </c:pt>
                <c:pt idx="13">
                  <c:v>4.2000000000000011</c:v>
                </c:pt>
                <c:pt idx="14">
                  <c:v>4.2000000000000011</c:v>
                </c:pt>
                <c:pt idx="15">
                  <c:v>4.2000000000000011</c:v>
                </c:pt>
                <c:pt idx="16">
                  <c:v>4.2000000000000011</c:v>
                </c:pt>
                <c:pt idx="17">
                  <c:v>4.2000000000000011</c:v>
                </c:pt>
                <c:pt idx="18">
                  <c:v>4.2000000000000011</c:v>
                </c:pt>
                <c:pt idx="19">
                  <c:v>4.2000000000000011</c:v>
                </c:pt>
                <c:pt idx="20">
                  <c:v>4.2000000000000011</c:v>
                </c:pt>
              </c:numCache>
            </c:numRef>
          </c:yVal>
        </c:ser>
        <c:ser>
          <c:idx val="9"/>
          <c:order val="9"/>
          <c:tx>
            <c:strRef>
              <c:f>Base!$AN$14</c:f>
              <c:strCache>
                <c:ptCount val="1"/>
                <c:pt idx="0">
                  <c:v>Target</c:v>
                </c:pt>
              </c:strCache>
            </c:strRef>
          </c:tx>
          <c:spPr>
            <a:ln w="38100"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Base!$AM$18:$AM$38</c:f>
              <c:numCache>
                <c:formatCode>General</c:formatCode>
                <c:ptCount val="2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</c:numCache>
            </c:numRef>
          </c:xVal>
          <c:yVal>
            <c:numRef>
              <c:f>Base!$AN$18:$AN$38</c:f>
              <c:numCache>
                <c:formatCode>General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</c:numCache>
            </c:numRef>
          </c:yVal>
        </c:ser>
        <c:axId val="91527808"/>
        <c:axId val="91542656"/>
      </c:scatterChart>
      <c:valAx>
        <c:axId val="91527808"/>
        <c:scaling>
          <c:orientation val="minMax"/>
          <c:max val="3"/>
          <c:min val="1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 (km)</a:t>
                </a:r>
              </a:p>
            </c:rich>
          </c:tx>
          <c:layout>
            <c:manualLayout>
              <c:xMode val="edge"/>
              <c:yMode val="edge"/>
              <c:x val="0.37746007926061304"/>
              <c:y val="0.90697821548324564"/>
            </c:manualLayout>
          </c:layout>
          <c:spPr>
            <a:noFill/>
            <a:ln w="25400">
              <a:noFill/>
            </a:ln>
          </c:spPr>
        </c:title>
        <c:numFmt formatCode="0.00#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542656"/>
        <c:crosses val="autoZero"/>
        <c:crossBetween val="midCat"/>
      </c:valAx>
      <c:valAx>
        <c:axId val="91542656"/>
        <c:scaling>
          <c:orientation val="minMax"/>
          <c:max val="7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Penalty (dB)</a:t>
                </a:r>
              </a:p>
            </c:rich>
          </c:tx>
          <c:layout>
            <c:manualLayout>
              <c:xMode val="edge"/>
              <c:yMode val="edge"/>
              <c:x val="1.4311282625994468E-2"/>
              <c:y val="0.35548230423702654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52780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97560687997377"/>
          <c:y val="0.19601360700919948"/>
          <c:w val="0.2468696252984065"/>
          <c:h val="0.6976755503717317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&amp;CSpreadsheet by Agilent Technologies</c:oddHeader>
      <c:oddFooter>&amp;L&amp;F tab &amp;A&amp;RPrinted &amp;T &amp;D</c:oddFooter>
    </c:headerFooter>
    <c:pageMargins b="1" l="0.75000000000000433" r="0.750000000000004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Tx eye diagram (no noise)
Black: Test Rx    Blue: target link &amp; Rx</a:t>
            </a:r>
          </a:p>
        </c:rich>
      </c:tx>
      <c:layout>
        <c:manualLayout>
          <c:xMode val="edge"/>
          <c:yMode val="edge"/>
          <c:x val="0.21082679739471319"/>
          <c:y val="3.65449097813764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6866366370545076E-2"/>
          <c:y val="0.22923625226499644"/>
          <c:w val="0.84900521113006544"/>
          <c:h val="0.62126346628339979"/>
        </c:manualLayout>
      </c:layout>
      <c:scatterChart>
        <c:scatterStyle val="lineMarker"/>
        <c:ser>
          <c:idx val="0"/>
          <c:order val="0"/>
          <c:tx>
            <c:strRef>
              <c:f>Base!$AE$40</c:f>
              <c:strCache>
                <c:ptCount val="1"/>
                <c:pt idx="0">
                  <c:v>erf 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Base!$AL$41:$AL$69</c:f>
              <c:numCache>
                <c:formatCode>General</c:formatCode>
                <c:ptCount val="29"/>
                <c:pt idx="0">
                  <c:v>-0.36485447535985577</c:v>
                </c:pt>
                <c:pt idx="1">
                  <c:v>-0.31485447535985578</c:v>
                </c:pt>
                <c:pt idx="2">
                  <c:v>-0.26485447535985579</c:v>
                </c:pt>
                <c:pt idx="3">
                  <c:v>-0.21485447535985577</c:v>
                </c:pt>
                <c:pt idx="4">
                  <c:v>-0.16485447535985576</c:v>
                </c:pt>
                <c:pt idx="5">
                  <c:v>-0.11485447535985575</c:v>
                </c:pt>
                <c:pt idx="6">
                  <c:v>-6.4854475359855751E-2</c:v>
                </c:pt>
                <c:pt idx="7">
                  <c:v>-1.4854475359855748E-2</c:v>
                </c:pt>
                <c:pt idx="8">
                  <c:v>3.5145524640144268E-2</c:v>
                </c:pt>
                <c:pt idx="9">
                  <c:v>8.5145524640144257E-2</c:v>
                </c:pt>
                <c:pt idx="10">
                  <c:v>0.13514552464014423</c:v>
                </c:pt>
                <c:pt idx="11">
                  <c:v>0.18514552464014422</c:v>
                </c:pt>
                <c:pt idx="12">
                  <c:v>0.23514552464014421</c:v>
                </c:pt>
                <c:pt idx="13">
                  <c:v>0.2851455246401442</c:v>
                </c:pt>
                <c:pt idx="14">
                  <c:v>0.33514552464014419</c:v>
                </c:pt>
                <c:pt idx="15">
                  <c:v>0.38514552464014418</c:v>
                </c:pt>
                <c:pt idx="16">
                  <c:v>0.43514552464014417</c:v>
                </c:pt>
                <c:pt idx="17">
                  <c:v>0.48514552464014421</c:v>
                </c:pt>
                <c:pt idx="18">
                  <c:v>0.53514552464014431</c:v>
                </c:pt>
                <c:pt idx="19">
                  <c:v>0.58514552464014435</c:v>
                </c:pt>
                <c:pt idx="20">
                  <c:v>0.6351455246401444</c:v>
                </c:pt>
                <c:pt idx="21">
                  <c:v>0.68514552464014444</c:v>
                </c:pt>
                <c:pt idx="22">
                  <c:v>0.73514552464014449</c:v>
                </c:pt>
                <c:pt idx="23">
                  <c:v>0.78514552464014453</c:v>
                </c:pt>
                <c:pt idx="24">
                  <c:v>0.83514552464014458</c:v>
                </c:pt>
                <c:pt idx="25">
                  <c:v>0.88514552464014451</c:v>
                </c:pt>
                <c:pt idx="26">
                  <c:v>0.93514552464014455</c:v>
                </c:pt>
                <c:pt idx="27">
                  <c:v>0.9851455246401446</c:v>
                </c:pt>
                <c:pt idx="28">
                  <c:v>1.0351455246401446</c:v>
                </c:pt>
              </c:numCache>
            </c:numRef>
          </c:xVal>
          <c:yVal>
            <c:numRef>
              <c:f>Base!$AE$41:$AE$69</c:f>
              <c:numCache>
                <c:formatCode>0%</c:formatCode>
                <c:ptCount val="29"/>
                <c:pt idx="0">
                  <c:v>0.99992263791466551</c:v>
                </c:pt>
                <c:pt idx="1">
                  <c:v>0.99985770576307664</c:v>
                </c:pt>
                <c:pt idx="2">
                  <c:v>0.99974411213620118</c:v>
                </c:pt>
                <c:pt idx="3">
                  <c:v>0.99955006286703796</c:v>
                </c:pt>
                <c:pt idx="4">
                  <c:v>0.99922636937172093</c:v>
                </c:pt>
                <c:pt idx="5">
                  <c:v>0.99869911547460377</c:v>
                </c:pt>
                <c:pt idx="6">
                  <c:v>0.99786048686956852</c:v>
                </c:pt>
                <c:pt idx="7">
                  <c:v>0.99655796976992439</c:v>
                </c:pt>
                <c:pt idx="8">
                  <c:v>0.99458254134928747</c:v>
                </c:pt>
                <c:pt idx="9">
                  <c:v>0.99165702138699963</c:v>
                </c:pt>
                <c:pt idx="10">
                  <c:v>0.9874263522349056</c:v>
                </c:pt>
                <c:pt idx="11">
                  <c:v>0.98145216395617674</c:v>
                </c:pt>
                <c:pt idx="12">
                  <c:v>0.97321433505306199</c:v>
                </c:pt>
                <c:pt idx="13">
                  <c:v>0.96212230530586151</c:v>
                </c:pt>
                <c:pt idx="14">
                  <c:v>0.94753842318364656</c:v>
                </c:pt>
                <c:pt idx="15">
                  <c:v>0.92881438162784768</c:v>
                </c:pt>
                <c:pt idx="16">
                  <c:v>0.90534022123050817</c:v>
                </c:pt>
                <c:pt idx="17">
                  <c:v>0.87660299607433823</c:v>
                </c:pt>
                <c:pt idx="18">
                  <c:v>0.84225007046030942</c:v>
                </c:pt>
                <c:pt idx="19">
                  <c:v>0.80215008224181039</c:v>
                </c:pt>
                <c:pt idx="20">
                  <c:v>0.75644201969115765</c:v>
                </c:pt>
                <c:pt idx="21">
                  <c:v>0.70556706940179736</c:v>
                </c:pt>
                <c:pt idx="22">
                  <c:v>0.65027289858792159</c:v>
                </c:pt>
                <c:pt idx="23">
                  <c:v>0.5915890082676114</c:v>
                </c:pt>
                <c:pt idx="24">
                  <c:v>0.53077234065742385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</c:ser>
        <c:ser>
          <c:idx val="1"/>
          <c:order val="1"/>
          <c:tx>
            <c:strRef>
              <c:f>Base!$AD$40</c:f>
              <c:strCache>
                <c:ptCount val="1"/>
                <c:pt idx="0">
                  <c:v>erf 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Base!$AM$41:$AM$69</c:f>
              <c:numCache>
                <c:formatCode>General</c:formatCode>
                <c:ptCount val="29"/>
                <c:pt idx="0">
                  <c:v>-0.13514552464014423</c:v>
                </c:pt>
                <c:pt idx="1">
                  <c:v>-8.5145524640144257E-2</c:v>
                </c:pt>
                <c:pt idx="2">
                  <c:v>-3.5145524640144268E-2</c:v>
                </c:pt>
                <c:pt idx="3">
                  <c:v>1.4854475359855734E-2</c:v>
                </c:pt>
                <c:pt idx="4">
                  <c:v>6.4854475359855737E-2</c:v>
                </c:pt>
                <c:pt idx="5">
                  <c:v>0.11485447535985575</c:v>
                </c:pt>
                <c:pt idx="6">
                  <c:v>0.16485447535985576</c:v>
                </c:pt>
                <c:pt idx="7">
                  <c:v>0.21485447535985575</c:v>
                </c:pt>
                <c:pt idx="8">
                  <c:v>0.26485447535985579</c:v>
                </c:pt>
                <c:pt idx="9">
                  <c:v>0.31485447535985578</c:v>
                </c:pt>
                <c:pt idx="10">
                  <c:v>0.36485447535985577</c:v>
                </c:pt>
                <c:pt idx="11">
                  <c:v>0.41485447535985576</c:v>
                </c:pt>
                <c:pt idx="12">
                  <c:v>0.46485447535985575</c:v>
                </c:pt>
                <c:pt idx="13">
                  <c:v>0.51485447535985573</c:v>
                </c:pt>
                <c:pt idx="14">
                  <c:v>0.56485447535985567</c:v>
                </c:pt>
                <c:pt idx="15">
                  <c:v>0.61485447535985571</c:v>
                </c:pt>
                <c:pt idx="16">
                  <c:v>0.66485447535985565</c:v>
                </c:pt>
                <c:pt idx="17">
                  <c:v>0.71485447535985569</c:v>
                </c:pt>
                <c:pt idx="18">
                  <c:v>0.76485447535985573</c:v>
                </c:pt>
                <c:pt idx="19">
                  <c:v>0.81485447535985578</c:v>
                </c:pt>
                <c:pt idx="20">
                  <c:v>0.86485447535985582</c:v>
                </c:pt>
                <c:pt idx="21">
                  <c:v>0.91485447535985587</c:v>
                </c:pt>
                <c:pt idx="22">
                  <c:v>0.96485447535985591</c:v>
                </c:pt>
                <c:pt idx="23">
                  <c:v>1.0148544753598561</c:v>
                </c:pt>
                <c:pt idx="24">
                  <c:v>1.0648544753598561</c:v>
                </c:pt>
                <c:pt idx="25">
                  <c:v>1.1148544753598559</c:v>
                </c:pt>
                <c:pt idx="26">
                  <c:v>1.164854475359856</c:v>
                </c:pt>
                <c:pt idx="27">
                  <c:v>1.214854475359856</c:v>
                </c:pt>
                <c:pt idx="28">
                  <c:v>1.2648544753598561</c:v>
                </c:pt>
              </c:numCache>
            </c:numRef>
          </c:xVal>
          <c:yVal>
            <c:numRef>
              <c:f>Base!$AD$41:$AD$69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0.53077234065742418</c:v>
                </c:pt>
                <c:pt idx="7">
                  <c:v>0.59158900826761174</c:v>
                </c:pt>
                <c:pt idx="8">
                  <c:v>0.65027289858792203</c:v>
                </c:pt>
                <c:pt idx="9">
                  <c:v>0.70556706940179748</c:v>
                </c:pt>
                <c:pt idx="10">
                  <c:v>0.75644201969115787</c:v>
                </c:pt>
                <c:pt idx="11">
                  <c:v>0.80215008224181039</c:v>
                </c:pt>
                <c:pt idx="12">
                  <c:v>0.84225007046030942</c:v>
                </c:pt>
                <c:pt idx="13">
                  <c:v>0.87660299607433823</c:v>
                </c:pt>
                <c:pt idx="14">
                  <c:v>0.90534022123050817</c:v>
                </c:pt>
                <c:pt idx="15">
                  <c:v>0.92881438162784768</c:v>
                </c:pt>
                <c:pt idx="16">
                  <c:v>0.94753842318364656</c:v>
                </c:pt>
                <c:pt idx="17">
                  <c:v>0.96212230530586151</c:v>
                </c:pt>
                <c:pt idx="18">
                  <c:v>0.97321433505306199</c:v>
                </c:pt>
                <c:pt idx="19">
                  <c:v>0.98145216395617674</c:v>
                </c:pt>
                <c:pt idx="20">
                  <c:v>0.9874263522349056</c:v>
                </c:pt>
                <c:pt idx="21">
                  <c:v>0.99165702138699963</c:v>
                </c:pt>
                <c:pt idx="22">
                  <c:v>0.99458254134928747</c:v>
                </c:pt>
                <c:pt idx="23">
                  <c:v>0.99655796976992439</c:v>
                </c:pt>
                <c:pt idx="24">
                  <c:v>0.99786048686956852</c:v>
                </c:pt>
                <c:pt idx="25">
                  <c:v>0.99869911547460388</c:v>
                </c:pt>
                <c:pt idx="26">
                  <c:v>0.99922636937172093</c:v>
                </c:pt>
                <c:pt idx="27">
                  <c:v>0.99955006286703796</c:v>
                </c:pt>
                <c:pt idx="28">
                  <c:v>0.99974411213620118</c:v>
                </c:pt>
              </c:numCache>
            </c:numRef>
          </c:yVal>
        </c:ser>
        <c:ser>
          <c:idx val="2"/>
          <c:order val="2"/>
          <c:tx>
            <c:strRef>
              <c:f>Base!$AD$40</c:f>
              <c:strCache>
                <c:ptCount val="1"/>
                <c:pt idx="0">
                  <c:v>erf 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Base!$Z$41:$Z$69</c:f>
              <c:numCache>
                <c:formatCode>General</c:formatCode>
                <c:ptCount val="29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</c:numCache>
            </c:numRef>
          </c:xVal>
          <c:yVal>
            <c:numRef>
              <c:f>Base!$AD$41:$AD$69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0.53077234065742418</c:v>
                </c:pt>
                <c:pt idx="7">
                  <c:v>0.59158900826761174</c:v>
                </c:pt>
                <c:pt idx="8">
                  <c:v>0.65027289858792203</c:v>
                </c:pt>
                <c:pt idx="9">
                  <c:v>0.70556706940179748</c:v>
                </c:pt>
                <c:pt idx="10">
                  <c:v>0.75644201969115787</c:v>
                </c:pt>
                <c:pt idx="11">
                  <c:v>0.80215008224181039</c:v>
                </c:pt>
                <c:pt idx="12">
                  <c:v>0.84225007046030942</c:v>
                </c:pt>
                <c:pt idx="13">
                  <c:v>0.87660299607433823</c:v>
                </c:pt>
                <c:pt idx="14">
                  <c:v>0.90534022123050817</c:v>
                </c:pt>
                <c:pt idx="15">
                  <c:v>0.92881438162784768</c:v>
                </c:pt>
                <c:pt idx="16">
                  <c:v>0.94753842318364656</c:v>
                </c:pt>
                <c:pt idx="17">
                  <c:v>0.96212230530586151</c:v>
                </c:pt>
                <c:pt idx="18">
                  <c:v>0.97321433505306199</c:v>
                </c:pt>
                <c:pt idx="19">
                  <c:v>0.98145216395617674</c:v>
                </c:pt>
                <c:pt idx="20">
                  <c:v>0.9874263522349056</c:v>
                </c:pt>
                <c:pt idx="21">
                  <c:v>0.99165702138699963</c:v>
                </c:pt>
                <c:pt idx="22">
                  <c:v>0.99458254134928747</c:v>
                </c:pt>
                <c:pt idx="23">
                  <c:v>0.99655796976992439</c:v>
                </c:pt>
                <c:pt idx="24">
                  <c:v>0.99786048686956852</c:v>
                </c:pt>
                <c:pt idx="25">
                  <c:v>0.99869911547460388</c:v>
                </c:pt>
                <c:pt idx="26">
                  <c:v>0.99922636937172093</c:v>
                </c:pt>
                <c:pt idx="27">
                  <c:v>0.99955006286703796</c:v>
                </c:pt>
                <c:pt idx="28">
                  <c:v>0.99974411213620118</c:v>
                </c:pt>
              </c:numCache>
            </c:numRef>
          </c:yVal>
        </c:ser>
        <c:ser>
          <c:idx val="3"/>
          <c:order val="3"/>
          <c:tx>
            <c:strRef>
              <c:f>Base!$AE$40</c:f>
              <c:strCache>
                <c:ptCount val="1"/>
                <c:pt idx="0">
                  <c:v>erf 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Base!$Z$41:$Z$69</c:f>
              <c:numCache>
                <c:formatCode>General</c:formatCode>
                <c:ptCount val="29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</c:numCache>
            </c:numRef>
          </c:xVal>
          <c:yVal>
            <c:numRef>
              <c:f>Base!$AE$41:$AE$69</c:f>
              <c:numCache>
                <c:formatCode>0%</c:formatCode>
                <c:ptCount val="29"/>
                <c:pt idx="0">
                  <c:v>0.99992263791466551</c:v>
                </c:pt>
                <c:pt idx="1">
                  <c:v>0.99985770576307664</c:v>
                </c:pt>
                <c:pt idx="2">
                  <c:v>0.99974411213620118</c:v>
                </c:pt>
                <c:pt idx="3">
                  <c:v>0.99955006286703796</c:v>
                </c:pt>
                <c:pt idx="4">
                  <c:v>0.99922636937172093</c:v>
                </c:pt>
                <c:pt idx="5">
                  <c:v>0.99869911547460377</c:v>
                </c:pt>
                <c:pt idx="6">
                  <c:v>0.99786048686956852</c:v>
                </c:pt>
                <c:pt idx="7">
                  <c:v>0.99655796976992439</c:v>
                </c:pt>
                <c:pt idx="8">
                  <c:v>0.99458254134928747</c:v>
                </c:pt>
                <c:pt idx="9">
                  <c:v>0.99165702138699963</c:v>
                </c:pt>
                <c:pt idx="10">
                  <c:v>0.9874263522349056</c:v>
                </c:pt>
                <c:pt idx="11">
                  <c:v>0.98145216395617674</c:v>
                </c:pt>
                <c:pt idx="12">
                  <c:v>0.97321433505306199</c:v>
                </c:pt>
                <c:pt idx="13">
                  <c:v>0.96212230530586151</c:v>
                </c:pt>
                <c:pt idx="14">
                  <c:v>0.94753842318364656</c:v>
                </c:pt>
                <c:pt idx="15">
                  <c:v>0.92881438162784768</c:v>
                </c:pt>
                <c:pt idx="16">
                  <c:v>0.90534022123050817</c:v>
                </c:pt>
                <c:pt idx="17">
                  <c:v>0.87660299607433823</c:v>
                </c:pt>
                <c:pt idx="18">
                  <c:v>0.84225007046030942</c:v>
                </c:pt>
                <c:pt idx="19">
                  <c:v>0.80215008224181039</c:v>
                </c:pt>
                <c:pt idx="20">
                  <c:v>0.75644201969115765</c:v>
                </c:pt>
                <c:pt idx="21">
                  <c:v>0.70556706940179736</c:v>
                </c:pt>
                <c:pt idx="22">
                  <c:v>0.65027289858792159</c:v>
                </c:pt>
                <c:pt idx="23">
                  <c:v>0.5915890082676114</c:v>
                </c:pt>
                <c:pt idx="24">
                  <c:v>0.53077234065742385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</c:ser>
        <c:ser>
          <c:idx val="4"/>
          <c:order val="4"/>
          <c:tx>
            <c:strRef>
              <c:f>Base!$AF$40</c:f>
              <c:strCache>
                <c:ptCount val="1"/>
                <c:pt idx="0">
                  <c:v>oio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Base!$Z$41:$Z$69</c:f>
              <c:numCache>
                <c:formatCode>General</c:formatCode>
                <c:ptCount val="29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</c:numCache>
            </c:numRef>
          </c:xVal>
          <c:yVal>
            <c:numRef>
              <c:f>Base!$AF$41:$AF$69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0.5286328275269927</c:v>
                </c:pt>
                <c:pt idx="7">
                  <c:v>0.58814697803753613</c:v>
                </c:pt>
                <c:pt idx="8">
                  <c:v>0.64485543993720951</c:v>
                </c:pt>
                <c:pt idx="9">
                  <c:v>0.69722409078879721</c:v>
                </c:pt>
                <c:pt idx="10">
                  <c:v>0.74386837192606348</c:v>
                </c:pt>
                <c:pt idx="11">
                  <c:v>0.78360224619798702</c:v>
                </c:pt>
                <c:pt idx="12">
                  <c:v>0.81546440551337129</c:v>
                </c:pt>
                <c:pt idx="13">
                  <c:v>0.83872530138019963</c:v>
                </c:pt>
                <c:pt idx="14">
                  <c:v>0.85287864441415473</c:v>
                </c:pt>
                <c:pt idx="15">
                  <c:v>0.85762876325569537</c:v>
                </c:pt>
                <c:pt idx="16">
                  <c:v>0.85287864441415473</c:v>
                </c:pt>
                <c:pt idx="17">
                  <c:v>0.83872530138019963</c:v>
                </c:pt>
                <c:pt idx="18">
                  <c:v>0.81546440551337129</c:v>
                </c:pt>
                <c:pt idx="19">
                  <c:v>0.78360224619798702</c:v>
                </c:pt>
                <c:pt idx="20">
                  <c:v>0.74386837192606325</c:v>
                </c:pt>
                <c:pt idx="21">
                  <c:v>0.69722409078879699</c:v>
                </c:pt>
                <c:pt idx="22">
                  <c:v>0.64485543993720906</c:v>
                </c:pt>
                <c:pt idx="23">
                  <c:v>0.58814697803753591</c:v>
                </c:pt>
                <c:pt idx="24">
                  <c:v>0.52863282752699225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</c:ser>
        <c:ser>
          <c:idx val="5"/>
          <c:order val="5"/>
          <c:tx>
            <c:strRef>
              <c:f>Base!$AG$40</c:f>
              <c:strCache>
                <c:ptCount val="1"/>
                <c:pt idx="0">
                  <c:v>erf1'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Base!$Z$41:$Z$69</c:f>
              <c:numCache>
                <c:formatCode>General</c:formatCode>
                <c:ptCount val="29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</c:numCache>
            </c:numRef>
          </c:xVal>
          <c:yVal>
            <c:numRef>
              <c:f>Base!$AG$41:$AG$69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0.46922765934257582</c:v>
                </c:pt>
                <c:pt idx="7">
                  <c:v>0.40841099173238826</c:v>
                </c:pt>
                <c:pt idx="8">
                  <c:v>0.34972710141207797</c:v>
                </c:pt>
                <c:pt idx="9">
                  <c:v>0.29443293059820252</c:v>
                </c:pt>
                <c:pt idx="10">
                  <c:v>0.24355798030884213</c:v>
                </c:pt>
                <c:pt idx="11">
                  <c:v>0.19784991775818961</c:v>
                </c:pt>
                <c:pt idx="12">
                  <c:v>0.15774992953969058</c:v>
                </c:pt>
                <c:pt idx="13">
                  <c:v>0.12339700392566177</c:v>
                </c:pt>
                <c:pt idx="14">
                  <c:v>9.4659778769491831E-2</c:v>
                </c:pt>
                <c:pt idx="15">
                  <c:v>7.1185618372152315E-2</c:v>
                </c:pt>
                <c:pt idx="16">
                  <c:v>5.2461576816353439E-2</c:v>
                </c:pt>
                <c:pt idx="17">
                  <c:v>3.7877694694138486E-2</c:v>
                </c:pt>
                <c:pt idx="18">
                  <c:v>2.6785664946938015E-2</c:v>
                </c:pt>
                <c:pt idx="19">
                  <c:v>1.8547836043823263E-2</c:v>
                </c:pt>
                <c:pt idx="20">
                  <c:v>1.2573647765094398E-2</c:v>
                </c:pt>
                <c:pt idx="21">
                  <c:v>8.3429786130003736E-3</c:v>
                </c:pt>
                <c:pt idx="22">
                  <c:v>5.4174586507125255E-3</c:v>
                </c:pt>
                <c:pt idx="23">
                  <c:v>3.44203023007561E-3</c:v>
                </c:pt>
                <c:pt idx="24">
                  <c:v>2.1395131304314807E-3</c:v>
                </c:pt>
                <c:pt idx="25">
                  <c:v>1.3008845253961177E-3</c:v>
                </c:pt>
                <c:pt idx="26">
                  <c:v>7.7363062827906504E-4</c:v>
                </c:pt>
                <c:pt idx="27">
                  <c:v>4.4993713296204163E-4</c:v>
                </c:pt>
                <c:pt idx="28">
                  <c:v>2.5588786379882045E-4</c:v>
                </c:pt>
              </c:numCache>
            </c:numRef>
          </c:yVal>
        </c:ser>
        <c:ser>
          <c:idx val="6"/>
          <c:order val="6"/>
          <c:tx>
            <c:strRef>
              <c:f>Base!$AH$40</c:f>
              <c:strCache>
                <c:ptCount val="1"/>
                <c:pt idx="0">
                  <c:v>erf2'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Base!$Z$41:$Z$69</c:f>
              <c:numCache>
                <c:formatCode>General</c:formatCode>
                <c:ptCount val="29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</c:numCache>
            </c:numRef>
          </c:xVal>
          <c:yVal>
            <c:numRef>
              <c:f>Base!$AH$41:$AH$69</c:f>
              <c:numCache>
                <c:formatCode>0%</c:formatCode>
                <c:ptCount val="29"/>
                <c:pt idx="0">
                  <c:v>7.7362085334486963E-5</c:v>
                </c:pt>
                <c:pt idx="1">
                  <c:v>1.4229423692335708E-4</c:v>
                </c:pt>
                <c:pt idx="2">
                  <c:v>2.5588786379882045E-4</c:v>
                </c:pt>
                <c:pt idx="3">
                  <c:v>4.4993713296204163E-4</c:v>
                </c:pt>
                <c:pt idx="4">
                  <c:v>7.7363062827906504E-4</c:v>
                </c:pt>
                <c:pt idx="5">
                  <c:v>1.3008845253962287E-3</c:v>
                </c:pt>
                <c:pt idx="6">
                  <c:v>2.1395131304314807E-3</c:v>
                </c:pt>
                <c:pt idx="7">
                  <c:v>3.44203023007561E-3</c:v>
                </c:pt>
                <c:pt idx="8">
                  <c:v>5.4174586507125255E-3</c:v>
                </c:pt>
                <c:pt idx="9">
                  <c:v>8.3429786130003736E-3</c:v>
                </c:pt>
                <c:pt idx="10">
                  <c:v>1.2573647765094398E-2</c:v>
                </c:pt>
                <c:pt idx="11">
                  <c:v>1.8547836043823263E-2</c:v>
                </c:pt>
                <c:pt idx="12">
                  <c:v>2.6785664946938015E-2</c:v>
                </c:pt>
                <c:pt idx="13">
                  <c:v>3.7877694694138486E-2</c:v>
                </c:pt>
                <c:pt idx="14">
                  <c:v>5.2461576816353439E-2</c:v>
                </c:pt>
                <c:pt idx="15">
                  <c:v>7.1185618372152315E-2</c:v>
                </c:pt>
                <c:pt idx="16">
                  <c:v>9.4659778769491831E-2</c:v>
                </c:pt>
                <c:pt idx="17">
                  <c:v>0.12339700392566177</c:v>
                </c:pt>
                <c:pt idx="18">
                  <c:v>0.15774992953969058</c:v>
                </c:pt>
                <c:pt idx="19">
                  <c:v>0.19784991775818961</c:v>
                </c:pt>
                <c:pt idx="20">
                  <c:v>0.24355798030884235</c:v>
                </c:pt>
                <c:pt idx="21">
                  <c:v>0.29443293059820264</c:v>
                </c:pt>
                <c:pt idx="22">
                  <c:v>0.34972710141207841</c:v>
                </c:pt>
                <c:pt idx="23">
                  <c:v>0.4084109917323886</c:v>
                </c:pt>
                <c:pt idx="24">
                  <c:v>0.46922765934257615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</c:ser>
        <c:ser>
          <c:idx val="7"/>
          <c:order val="7"/>
          <c:tx>
            <c:strRef>
              <c:f>Base!$AI$40</c:f>
              <c:strCache>
                <c:ptCount val="1"/>
                <c:pt idx="0">
                  <c:v>ioi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Base!$Z$41:$Z$69</c:f>
              <c:numCache>
                <c:formatCode>General</c:formatCode>
                <c:ptCount val="29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</c:numCache>
            </c:numRef>
          </c:xVal>
          <c:yVal>
            <c:numRef>
              <c:f>Base!$AI$41:$AI$69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0.4713671724730073</c:v>
                </c:pt>
                <c:pt idx="7">
                  <c:v>0.41185302196246387</c:v>
                </c:pt>
                <c:pt idx="8">
                  <c:v>0.35514456006279049</c:v>
                </c:pt>
                <c:pt idx="9">
                  <c:v>0.30277590921120279</c:v>
                </c:pt>
                <c:pt idx="10">
                  <c:v>0.25613162807393652</c:v>
                </c:pt>
                <c:pt idx="11">
                  <c:v>0.21639775380201298</c:v>
                </c:pt>
                <c:pt idx="12">
                  <c:v>0.18453559448662871</c:v>
                </c:pt>
                <c:pt idx="13">
                  <c:v>0.16127469861980037</c:v>
                </c:pt>
                <c:pt idx="14">
                  <c:v>0.14712135558584527</c:v>
                </c:pt>
                <c:pt idx="15">
                  <c:v>0.14237123674430463</c:v>
                </c:pt>
                <c:pt idx="16">
                  <c:v>0.14712135558584527</c:v>
                </c:pt>
                <c:pt idx="17">
                  <c:v>0.16127469861980037</c:v>
                </c:pt>
                <c:pt idx="18">
                  <c:v>0.18453559448662871</c:v>
                </c:pt>
                <c:pt idx="19">
                  <c:v>0.21639775380201298</c:v>
                </c:pt>
                <c:pt idx="20">
                  <c:v>0.25613162807393675</c:v>
                </c:pt>
                <c:pt idx="21">
                  <c:v>0.30277590921120301</c:v>
                </c:pt>
                <c:pt idx="22">
                  <c:v>0.35514456006279094</c:v>
                </c:pt>
                <c:pt idx="23">
                  <c:v>0.41185302196246409</c:v>
                </c:pt>
                <c:pt idx="24">
                  <c:v>0.47136717247300775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</c:ser>
        <c:ser>
          <c:idx val="8"/>
          <c:order val="8"/>
          <c:tx>
            <c:strRef>
              <c:f>Base!$AL$40</c:f>
              <c:strCache>
                <c:ptCount val="1"/>
                <c:pt idx="0">
                  <c:v>Early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Base!$AL$41:$AL$69</c:f>
              <c:numCache>
                <c:formatCode>General</c:formatCode>
                <c:ptCount val="29"/>
                <c:pt idx="0">
                  <c:v>-0.36485447535985577</c:v>
                </c:pt>
                <c:pt idx="1">
                  <c:v>-0.31485447535985578</c:v>
                </c:pt>
                <c:pt idx="2">
                  <c:v>-0.26485447535985579</c:v>
                </c:pt>
                <c:pt idx="3">
                  <c:v>-0.21485447535985577</c:v>
                </c:pt>
                <c:pt idx="4">
                  <c:v>-0.16485447535985576</c:v>
                </c:pt>
                <c:pt idx="5">
                  <c:v>-0.11485447535985575</c:v>
                </c:pt>
                <c:pt idx="6">
                  <c:v>-6.4854475359855751E-2</c:v>
                </c:pt>
                <c:pt idx="7">
                  <c:v>-1.4854475359855748E-2</c:v>
                </c:pt>
                <c:pt idx="8">
                  <c:v>3.5145524640144268E-2</c:v>
                </c:pt>
                <c:pt idx="9">
                  <c:v>8.5145524640144257E-2</c:v>
                </c:pt>
                <c:pt idx="10">
                  <c:v>0.13514552464014423</c:v>
                </c:pt>
                <c:pt idx="11">
                  <c:v>0.18514552464014422</c:v>
                </c:pt>
                <c:pt idx="12">
                  <c:v>0.23514552464014421</c:v>
                </c:pt>
                <c:pt idx="13">
                  <c:v>0.2851455246401442</c:v>
                </c:pt>
                <c:pt idx="14">
                  <c:v>0.33514552464014419</c:v>
                </c:pt>
                <c:pt idx="15">
                  <c:v>0.38514552464014418</c:v>
                </c:pt>
                <c:pt idx="16">
                  <c:v>0.43514552464014417</c:v>
                </c:pt>
                <c:pt idx="17">
                  <c:v>0.48514552464014421</c:v>
                </c:pt>
                <c:pt idx="18">
                  <c:v>0.53514552464014431</c:v>
                </c:pt>
                <c:pt idx="19">
                  <c:v>0.58514552464014435</c:v>
                </c:pt>
                <c:pt idx="20">
                  <c:v>0.6351455246401444</c:v>
                </c:pt>
                <c:pt idx="21">
                  <c:v>0.68514552464014444</c:v>
                </c:pt>
                <c:pt idx="22">
                  <c:v>0.73514552464014449</c:v>
                </c:pt>
                <c:pt idx="23">
                  <c:v>0.78514552464014453</c:v>
                </c:pt>
                <c:pt idx="24">
                  <c:v>0.83514552464014458</c:v>
                </c:pt>
                <c:pt idx="25">
                  <c:v>0.88514552464014451</c:v>
                </c:pt>
                <c:pt idx="26">
                  <c:v>0.93514552464014455</c:v>
                </c:pt>
                <c:pt idx="27">
                  <c:v>0.9851455246401446</c:v>
                </c:pt>
                <c:pt idx="28">
                  <c:v>1.0351455246401446</c:v>
                </c:pt>
              </c:numCache>
            </c:numRef>
          </c:xVal>
          <c:yVal>
            <c:numRef>
              <c:f>Base!$AF$41:$AF$69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0.5286328275269927</c:v>
                </c:pt>
                <c:pt idx="7">
                  <c:v>0.58814697803753613</c:v>
                </c:pt>
                <c:pt idx="8">
                  <c:v>0.64485543993720951</c:v>
                </c:pt>
                <c:pt idx="9">
                  <c:v>0.69722409078879721</c:v>
                </c:pt>
                <c:pt idx="10">
                  <c:v>0.74386837192606348</c:v>
                </c:pt>
                <c:pt idx="11">
                  <c:v>0.78360224619798702</c:v>
                </c:pt>
                <c:pt idx="12">
                  <c:v>0.81546440551337129</c:v>
                </c:pt>
                <c:pt idx="13">
                  <c:v>0.83872530138019963</c:v>
                </c:pt>
                <c:pt idx="14">
                  <c:v>0.85287864441415473</c:v>
                </c:pt>
                <c:pt idx="15">
                  <c:v>0.85762876325569537</c:v>
                </c:pt>
                <c:pt idx="16">
                  <c:v>0.85287864441415473</c:v>
                </c:pt>
                <c:pt idx="17">
                  <c:v>0.83872530138019963</c:v>
                </c:pt>
                <c:pt idx="18">
                  <c:v>0.81546440551337129</c:v>
                </c:pt>
                <c:pt idx="19">
                  <c:v>0.78360224619798702</c:v>
                </c:pt>
                <c:pt idx="20">
                  <c:v>0.74386837192606325</c:v>
                </c:pt>
                <c:pt idx="21">
                  <c:v>0.69722409078879699</c:v>
                </c:pt>
                <c:pt idx="22">
                  <c:v>0.64485543993720906</c:v>
                </c:pt>
                <c:pt idx="23">
                  <c:v>0.58814697803753591</c:v>
                </c:pt>
                <c:pt idx="24">
                  <c:v>0.52863282752699225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</c:ser>
        <c:ser>
          <c:idx val="9"/>
          <c:order val="9"/>
          <c:tx>
            <c:strRef>
              <c:f>Base!$AO$40</c:f>
              <c:strCache>
                <c:ptCount val="1"/>
                <c:pt idx="0">
                  <c:v>Eye mask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Base!$AN$41:$AN$47</c:f>
              <c:numCache>
                <c:formatCode>General</c:formatCode>
                <c:ptCount val="7"/>
                <c:pt idx="0">
                  <c:v>0.3</c:v>
                </c:pt>
                <c:pt idx="1">
                  <c:v>0.4</c:v>
                </c:pt>
                <c:pt idx="2">
                  <c:v>0.6</c:v>
                </c:pt>
                <c:pt idx="3">
                  <c:v>0.7</c:v>
                </c:pt>
                <c:pt idx="4">
                  <c:v>0.6</c:v>
                </c:pt>
                <c:pt idx="5">
                  <c:v>0.4</c:v>
                </c:pt>
                <c:pt idx="6">
                  <c:v>0.3</c:v>
                </c:pt>
              </c:numCache>
            </c:numRef>
          </c:xVal>
          <c:yVal>
            <c:numRef>
              <c:f>Base!$AO$41:$AO$47</c:f>
              <c:numCache>
                <c:formatCode>General</c:formatCode>
                <c:ptCount val="7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  <c:pt idx="3">
                  <c:v>0.5</c:v>
                </c:pt>
                <c:pt idx="4">
                  <c:v>0.75</c:v>
                </c:pt>
                <c:pt idx="5">
                  <c:v>0.75</c:v>
                </c:pt>
                <c:pt idx="6">
                  <c:v>0.5</c:v>
                </c:pt>
              </c:numCache>
            </c:numRef>
          </c:yVal>
        </c:ser>
        <c:ser>
          <c:idx val="10"/>
          <c:order val="10"/>
          <c:tx>
            <c:strRef>
              <c:f>Base!$AM$40</c:f>
              <c:strCache>
                <c:ptCount val="1"/>
                <c:pt idx="0">
                  <c:v>Late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Base!$AM$41:$AM$69</c:f>
              <c:numCache>
                <c:formatCode>General</c:formatCode>
                <c:ptCount val="29"/>
                <c:pt idx="0">
                  <c:v>-0.13514552464014423</c:v>
                </c:pt>
                <c:pt idx="1">
                  <c:v>-8.5145524640144257E-2</c:v>
                </c:pt>
                <c:pt idx="2">
                  <c:v>-3.5145524640144268E-2</c:v>
                </c:pt>
                <c:pt idx="3">
                  <c:v>1.4854475359855734E-2</c:v>
                </c:pt>
                <c:pt idx="4">
                  <c:v>6.4854475359855737E-2</c:v>
                </c:pt>
                <c:pt idx="5">
                  <c:v>0.11485447535985575</c:v>
                </c:pt>
                <c:pt idx="6">
                  <c:v>0.16485447535985576</c:v>
                </c:pt>
                <c:pt idx="7">
                  <c:v>0.21485447535985575</c:v>
                </c:pt>
                <c:pt idx="8">
                  <c:v>0.26485447535985579</c:v>
                </c:pt>
                <c:pt idx="9">
                  <c:v>0.31485447535985578</c:v>
                </c:pt>
                <c:pt idx="10">
                  <c:v>0.36485447535985577</c:v>
                </c:pt>
                <c:pt idx="11">
                  <c:v>0.41485447535985576</c:v>
                </c:pt>
                <c:pt idx="12">
                  <c:v>0.46485447535985575</c:v>
                </c:pt>
                <c:pt idx="13">
                  <c:v>0.51485447535985573</c:v>
                </c:pt>
                <c:pt idx="14">
                  <c:v>0.56485447535985567</c:v>
                </c:pt>
                <c:pt idx="15">
                  <c:v>0.61485447535985571</c:v>
                </c:pt>
                <c:pt idx="16">
                  <c:v>0.66485447535985565</c:v>
                </c:pt>
                <c:pt idx="17">
                  <c:v>0.71485447535985569</c:v>
                </c:pt>
                <c:pt idx="18">
                  <c:v>0.76485447535985573</c:v>
                </c:pt>
                <c:pt idx="19">
                  <c:v>0.81485447535985578</c:v>
                </c:pt>
                <c:pt idx="20">
                  <c:v>0.86485447535985582</c:v>
                </c:pt>
                <c:pt idx="21">
                  <c:v>0.91485447535985587</c:v>
                </c:pt>
                <c:pt idx="22">
                  <c:v>0.96485447535985591</c:v>
                </c:pt>
                <c:pt idx="23">
                  <c:v>1.0148544753598561</c:v>
                </c:pt>
                <c:pt idx="24">
                  <c:v>1.0648544753598561</c:v>
                </c:pt>
                <c:pt idx="25">
                  <c:v>1.1148544753598559</c:v>
                </c:pt>
                <c:pt idx="26">
                  <c:v>1.164854475359856</c:v>
                </c:pt>
                <c:pt idx="27">
                  <c:v>1.214854475359856</c:v>
                </c:pt>
                <c:pt idx="28">
                  <c:v>1.2648544753598561</c:v>
                </c:pt>
              </c:numCache>
            </c:numRef>
          </c:xVal>
          <c:yVal>
            <c:numRef>
              <c:f>Base!$AF$41:$AF$69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0.5286328275269927</c:v>
                </c:pt>
                <c:pt idx="7">
                  <c:v>0.58814697803753613</c:v>
                </c:pt>
                <c:pt idx="8">
                  <c:v>0.64485543993720951</c:v>
                </c:pt>
                <c:pt idx="9">
                  <c:v>0.69722409078879721</c:v>
                </c:pt>
                <c:pt idx="10">
                  <c:v>0.74386837192606348</c:v>
                </c:pt>
                <c:pt idx="11">
                  <c:v>0.78360224619798702</c:v>
                </c:pt>
                <c:pt idx="12">
                  <c:v>0.81546440551337129</c:v>
                </c:pt>
                <c:pt idx="13">
                  <c:v>0.83872530138019963</c:v>
                </c:pt>
                <c:pt idx="14">
                  <c:v>0.85287864441415473</c:v>
                </c:pt>
                <c:pt idx="15">
                  <c:v>0.85762876325569537</c:v>
                </c:pt>
                <c:pt idx="16">
                  <c:v>0.85287864441415473</c:v>
                </c:pt>
                <c:pt idx="17">
                  <c:v>0.83872530138019963</c:v>
                </c:pt>
                <c:pt idx="18">
                  <c:v>0.81546440551337129</c:v>
                </c:pt>
                <c:pt idx="19">
                  <c:v>0.78360224619798702</c:v>
                </c:pt>
                <c:pt idx="20">
                  <c:v>0.74386837192606325</c:v>
                </c:pt>
                <c:pt idx="21">
                  <c:v>0.69722409078879699</c:v>
                </c:pt>
                <c:pt idx="22">
                  <c:v>0.64485543993720906</c:v>
                </c:pt>
                <c:pt idx="23">
                  <c:v>0.58814697803753591</c:v>
                </c:pt>
                <c:pt idx="24">
                  <c:v>0.52863282752699225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</c:ser>
        <c:ser>
          <c:idx val="11"/>
          <c:order val="11"/>
          <c:tx>
            <c:strRef>
              <c:f>Base!$AL$40</c:f>
              <c:strCache>
                <c:ptCount val="1"/>
                <c:pt idx="0">
                  <c:v>Early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Base!$AL$41:$AL$69</c:f>
              <c:numCache>
                <c:formatCode>General</c:formatCode>
                <c:ptCount val="29"/>
                <c:pt idx="0">
                  <c:v>-0.36485447535985577</c:v>
                </c:pt>
                <c:pt idx="1">
                  <c:v>-0.31485447535985578</c:v>
                </c:pt>
                <c:pt idx="2">
                  <c:v>-0.26485447535985579</c:v>
                </c:pt>
                <c:pt idx="3">
                  <c:v>-0.21485447535985577</c:v>
                </c:pt>
                <c:pt idx="4">
                  <c:v>-0.16485447535985576</c:v>
                </c:pt>
                <c:pt idx="5">
                  <c:v>-0.11485447535985575</c:v>
                </c:pt>
                <c:pt idx="6">
                  <c:v>-6.4854475359855751E-2</c:v>
                </c:pt>
                <c:pt idx="7">
                  <c:v>-1.4854475359855748E-2</c:v>
                </c:pt>
                <c:pt idx="8">
                  <c:v>3.5145524640144268E-2</c:v>
                </c:pt>
                <c:pt idx="9">
                  <c:v>8.5145524640144257E-2</c:v>
                </c:pt>
                <c:pt idx="10">
                  <c:v>0.13514552464014423</c:v>
                </c:pt>
                <c:pt idx="11">
                  <c:v>0.18514552464014422</c:v>
                </c:pt>
                <c:pt idx="12">
                  <c:v>0.23514552464014421</c:v>
                </c:pt>
                <c:pt idx="13">
                  <c:v>0.2851455246401442</c:v>
                </c:pt>
                <c:pt idx="14">
                  <c:v>0.33514552464014419</c:v>
                </c:pt>
                <c:pt idx="15">
                  <c:v>0.38514552464014418</c:v>
                </c:pt>
                <c:pt idx="16">
                  <c:v>0.43514552464014417</c:v>
                </c:pt>
                <c:pt idx="17">
                  <c:v>0.48514552464014421</c:v>
                </c:pt>
                <c:pt idx="18">
                  <c:v>0.53514552464014431</c:v>
                </c:pt>
                <c:pt idx="19">
                  <c:v>0.58514552464014435</c:v>
                </c:pt>
                <c:pt idx="20">
                  <c:v>0.6351455246401444</c:v>
                </c:pt>
                <c:pt idx="21">
                  <c:v>0.68514552464014444</c:v>
                </c:pt>
                <c:pt idx="22">
                  <c:v>0.73514552464014449</c:v>
                </c:pt>
                <c:pt idx="23">
                  <c:v>0.78514552464014453</c:v>
                </c:pt>
                <c:pt idx="24">
                  <c:v>0.83514552464014458</c:v>
                </c:pt>
                <c:pt idx="25">
                  <c:v>0.88514552464014451</c:v>
                </c:pt>
                <c:pt idx="26">
                  <c:v>0.93514552464014455</c:v>
                </c:pt>
                <c:pt idx="27">
                  <c:v>0.9851455246401446</c:v>
                </c:pt>
                <c:pt idx="28">
                  <c:v>1.0351455246401446</c:v>
                </c:pt>
              </c:numCache>
            </c:numRef>
          </c:xVal>
          <c:yVal>
            <c:numRef>
              <c:f>Base!$AI$41:$AI$69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0.4713671724730073</c:v>
                </c:pt>
                <c:pt idx="7">
                  <c:v>0.41185302196246387</c:v>
                </c:pt>
                <c:pt idx="8">
                  <c:v>0.35514456006279049</c:v>
                </c:pt>
                <c:pt idx="9">
                  <c:v>0.30277590921120279</c:v>
                </c:pt>
                <c:pt idx="10">
                  <c:v>0.25613162807393652</c:v>
                </c:pt>
                <c:pt idx="11">
                  <c:v>0.21639775380201298</c:v>
                </c:pt>
                <c:pt idx="12">
                  <c:v>0.18453559448662871</c:v>
                </c:pt>
                <c:pt idx="13">
                  <c:v>0.16127469861980037</c:v>
                </c:pt>
                <c:pt idx="14">
                  <c:v>0.14712135558584527</c:v>
                </c:pt>
                <c:pt idx="15">
                  <c:v>0.14237123674430463</c:v>
                </c:pt>
                <c:pt idx="16">
                  <c:v>0.14712135558584527</c:v>
                </c:pt>
                <c:pt idx="17">
                  <c:v>0.16127469861980037</c:v>
                </c:pt>
                <c:pt idx="18">
                  <c:v>0.18453559448662871</c:v>
                </c:pt>
                <c:pt idx="19">
                  <c:v>0.21639775380201298</c:v>
                </c:pt>
                <c:pt idx="20">
                  <c:v>0.25613162807393675</c:v>
                </c:pt>
                <c:pt idx="21">
                  <c:v>0.30277590921120301</c:v>
                </c:pt>
                <c:pt idx="22">
                  <c:v>0.35514456006279094</c:v>
                </c:pt>
                <c:pt idx="23">
                  <c:v>0.41185302196246409</c:v>
                </c:pt>
                <c:pt idx="24">
                  <c:v>0.47136717247300775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</c:ser>
        <c:ser>
          <c:idx val="12"/>
          <c:order val="12"/>
          <c:tx>
            <c:strRef>
              <c:f>Base!$AM$40</c:f>
              <c:strCache>
                <c:ptCount val="1"/>
                <c:pt idx="0">
                  <c:v>Late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Base!$AM$41:$AM$69</c:f>
              <c:numCache>
                <c:formatCode>General</c:formatCode>
                <c:ptCount val="29"/>
                <c:pt idx="0">
                  <c:v>-0.13514552464014423</c:v>
                </c:pt>
                <c:pt idx="1">
                  <c:v>-8.5145524640144257E-2</c:v>
                </c:pt>
                <c:pt idx="2">
                  <c:v>-3.5145524640144268E-2</c:v>
                </c:pt>
                <c:pt idx="3">
                  <c:v>1.4854475359855734E-2</c:v>
                </c:pt>
                <c:pt idx="4">
                  <c:v>6.4854475359855737E-2</c:v>
                </c:pt>
                <c:pt idx="5">
                  <c:v>0.11485447535985575</c:v>
                </c:pt>
                <c:pt idx="6">
                  <c:v>0.16485447535985576</c:v>
                </c:pt>
                <c:pt idx="7">
                  <c:v>0.21485447535985575</c:v>
                </c:pt>
                <c:pt idx="8">
                  <c:v>0.26485447535985579</c:v>
                </c:pt>
                <c:pt idx="9">
                  <c:v>0.31485447535985578</c:v>
                </c:pt>
                <c:pt idx="10">
                  <c:v>0.36485447535985577</c:v>
                </c:pt>
                <c:pt idx="11">
                  <c:v>0.41485447535985576</c:v>
                </c:pt>
                <c:pt idx="12">
                  <c:v>0.46485447535985575</c:v>
                </c:pt>
                <c:pt idx="13">
                  <c:v>0.51485447535985573</c:v>
                </c:pt>
                <c:pt idx="14">
                  <c:v>0.56485447535985567</c:v>
                </c:pt>
                <c:pt idx="15">
                  <c:v>0.61485447535985571</c:v>
                </c:pt>
                <c:pt idx="16">
                  <c:v>0.66485447535985565</c:v>
                </c:pt>
                <c:pt idx="17">
                  <c:v>0.71485447535985569</c:v>
                </c:pt>
                <c:pt idx="18">
                  <c:v>0.76485447535985573</c:v>
                </c:pt>
                <c:pt idx="19">
                  <c:v>0.81485447535985578</c:v>
                </c:pt>
                <c:pt idx="20">
                  <c:v>0.86485447535985582</c:v>
                </c:pt>
                <c:pt idx="21">
                  <c:v>0.91485447535985587</c:v>
                </c:pt>
                <c:pt idx="22">
                  <c:v>0.96485447535985591</c:v>
                </c:pt>
                <c:pt idx="23">
                  <c:v>1.0148544753598561</c:v>
                </c:pt>
                <c:pt idx="24">
                  <c:v>1.0648544753598561</c:v>
                </c:pt>
                <c:pt idx="25">
                  <c:v>1.1148544753598559</c:v>
                </c:pt>
                <c:pt idx="26">
                  <c:v>1.164854475359856</c:v>
                </c:pt>
                <c:pt idx="27">
                  <c:v>1.214854475359856</c:v>
                </c:pt>
                <c:pt idx="28">
                  <c:v>1.2648544753598561</c:v>
                </c:pt>
              </c:numCache>
            </c:numRef>
          </c:xVal>
          <c:yVal>
            <c:numRef>
              <c:f>Base!$AI$41:$AI$69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0.4713671724730073</c:v>
                </c:pt>
                <c:pt idx="7">
                  <c:v>0.41185302196246387</c:v>
                </c:pt>
                <c:pt idx="8">
                  <c:v>0.35514456006279049</c:v>
                </c:pt>
                <c:pt idx="9">
                  <c:v>0.30277590921120279</c:v>
                </c:pt>
                <c:pt idx="10">
                  <c:v>0.25613162807393652</c:v>
                </c:pt>
                <c:pt idx="11">
                  <c:v>0.21639775380201298</c:v>
                </c:pt>
                <c:pt idx="12">
                  <c:v>0.18453559448662871</c:v>
                </c:pt>
                <c:pt idx="13">
                  <c:v>0.16127469861980037</c:v>
                </c:pt>
                <c:pt idx="14">
                  <c:v>0.14712135558584527</c:v>
                </c:pt>
                <c:pt idx="15">
                  <c:v>0.14237123674430463</c:v>
                </c:pt>
                <c:pt idx="16">
                  <c:v>0.14712135558584527</c:v>
                </c:pt>
                <c:pt idx="17">
                  <c:v>0.16127469861980037</c:v>
                </c:pt>
                <c:pt idx="18">
                  <c:v>0.18453559448662871</c:v>
                </c:pt>
                <c:pt idx="19">
                  <c:v>0.21639775380201298</c:v>
                </c:pt>
                <c:pt idx="20">
                  <c:v>0.25613162807393675</c:v>
                </c:pt>
                <c:pt idx="21">
                  <c:v>0.30277590921120301</c:v>
                </c:pt>
                <c:pt idx="22">
                  <c:v>0.35514456006279094</c:v>
                </c:pt>
                <c:pt idx="23">
                  <c:v>0.41185302196246409</c:v>
                </c:pt>
                <c:pt idx="24">
                  <c:v>0.47136717247300775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</c:ser>
        <c:ser>
          <c:idx val="13"/>
          <c:order val="13"/>
          <c:tx>
            <c:strRef>
              <c:f>Base!$AT$39:$AT$40</c:f>
              <c:strCache>
                <c:ptCount val="1"/>
                <c:pt idx="0">
                  <c:v>Txvr/link oio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Base!$AL$55:$AL$69</c:f>
              <c:numCache>
                <c:formatCode>General</c:formatCode>
                <c:ptCount val="15"/>
                <c:pt idx="0">
                  <c:v>0.33514552464014419</c:v>
                </c:pt>
                <c:pt idx="1">
                  <c:v>0.38514552464014418</c:v>
                </c:pt>
                <c:pt idx="2">
                  <c:v>0.43514552464014417</c:v>
                </c:pt>
                <c:pt idx="3">
                  <c:v>0.48514552464014421</c:v>
                </c:pt>
                <c:pt idx="4">
                  <c:v>0.53514552464014431</c:v>
                </c:pt>
                <c:pt idx="5">
                  <c:v>0.58514552464014435</c:v>
                </c:pt>
                <c:pt idx="6">
                  <c:v>0.6351455246401444</c:v>
                </c:pt>
                <c:pt idx="7">
                  <c:v>0.68514552464014444</c:v>
                </c:pt>
                <c:pt idx="8">
                  <c:v>0.73514552464014449</c:v>
                </c:pt>
                <c:pt idx="9">
                  <c:v>0.78514552464014453</c:v>
                </c:pt>
                <c:pt idx="10">
                  <c:v>0.83514552464014458</c:v>
                </c:pt>
                <c:pt idx="11">
                  <c:v>0.88514552464014451</c:v>
                </c:pt>
                <c:pt idx="12">
                  <c:v>0.93514552464014455</c:v>
                </c:pt>
                <c:pt idx="13">
                  <c:v>0.9851455246401446</c:v>
                </c:pt>
                <c:pt idx="14">
                  <c:v>1.0351455246401446</c:v>
                </c:pt>
              </c:numCache>
            </c:numRef>
          </c:xVal>
          <c:yVal>
            <c:numRef>
              <c:f>Base!$AT$55:$AT$69</c:f>
              <c:numCache>
                <c:formatCode>0%</c:formatCode>
                <c:ptCount val="15"/>
                <c:pt idx="0">
                  <c:v>0.84351092595446842</c:v>
                </c:pt>
                <c:pt idx="1">
                  <c:v>0.84816177590074737</c:v>
                </c:pt>
                <c:pt idx="2">
                  <c:v>0.84351092595446842</c:v>
                </c:pt>
                <c:pt idx="3">
                  <c:v>0.82965922755077037</c:v>
                </c:pt>
                <c:pt idx="4">
                  <c:v>0.80691212111305965</c:v>
                </c:pt>
                <c:pt idx="5">
                  <c:v>0.7757859186320073</c:v>
                </c:pt>
                <c:pt idx="6">
                  <c:v>0.73701494218847685</c:v>
                </c:pt>
                <c:pt idx="7">
                  <c:v>0.69155151272672288</c:v>
                </c:pt>
                <c:pt idx="8">
                  <c:v>0.64055414385357423</c:v>
                </c:pt>
                <c:pt idx="9">
                  <c:v>0.58535887772428374</c:v>
                </c:pt>
                <c:pt idx="10">
                  <c:v>0.52743198066615737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14"/>
          <c:order val="14"/>
          <c:tx>
            <c:strRef>
              <c:f>Base!$AT$39:$AT$40</c:f>
              <c:strCache>
                <c:ptCount val="1"/>
                <c:pt idx="0">
                  <c:v>Txvr/link oio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Base!$AM$43:$AM$57</c:f>
              <c:numCache>
                <c:formatCode>General</c:formatCode>
                <c:ptCount val="15"/>
                <c:pt idx="0">
                  <c:v>-3.5145524640144268E-2</c:v>
                </c:pt>
                <c:pt idx="1">
                  <c:v>1.4854475359855734E-2</c:v>
                </c:pt>
                <c:pt idx="2">
                  <c:v>6.4854475359855737E-2</c:v>
                </c:pt>
                <c:pt idx="3">
                  <c:v>0.11485447535985575</c:v>
                </c:pt>
                <c:pt idx="4">
                  <c:v>0.16485447535985576</c:v>
                </c:pt>
                <c:pt idx="5">
                  <c:v>0.21485447535985575</c:v>
                </c:pt>
                <c:pt idx="6">
                  <c:v>0.26485447535985579</c:v>
                </c:pt>
                <c:pt idx="7">
                  <c:v>0.31485447535985578</c:v>
                </c:pt>
                <c:pt idx="8">
                  <c:v>0.36485447535985577</c:v>
                </c:pt>
                <c:pt idx="9">
                  <c:v>0.41485447535985576</c:v>
                </c:pt>
                <c:pt idx="10">
                  <c:v>0.46485447535985575</c:v>
                </c:pt>
                <c:pt idx="11">
                  <c:v>0.51485447535985573</c:v>
                </c:pt>
                <c:pt idx="12">
                  <c:v>0.56485447535985567</c:v>
                </c:pt>
                <c:pt idx="13">
                  <c:v>0.61485447535985571</c:v>
                </c:pt>
                <c:pt idx="14">
                  <c:v>0.66485447535985565</c:v>
                </c:pt>
              </c:numCache>
            </c:numRef>
          </c:xVal>
          <c:yVal>
            <c:numRef>
              <c:f>Base!$AT$43:$AT$57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0.5274319806661576</c:v>
                </c:pt>
                <c:pt idx="5">
                  <c:v>0.58535887772428397</c:v>
                </c:pt>
                <c:pt idx="6">
                  <c:v>0.64055414385357445</c:v>
                </c:pt>
                <c:pt idx="7">
                  <c:v>0.69155151272672288</c:v>
                </c:pt>
                <c:pt idx="8">
                  <c:v>0.73701494218847707</c:v>
                </c:pt>
                <c:pt idx="9">
                  <c:v>0.7757859186320073</c:v>
                </c:pt>
                <c:pt idx="10">
                  <c:v>0.80691212111305965</c:v>
                </c:pt>
                <c:pt idx="11">
                  <c:v>0.82965922755077037</c:v>
                </c:pt>
                <c:pt idx="12">
                  <c:v>0.84351092595446842</c:v>
                </c:pt>
                <c:pt idx="13">
                  <c:v>0.84816177590074737</c:v>
                </c:pt>
                <c:pt idx="14">
                  <c:v>0.84351092595446842</c:v>
                </c:pt>
              </c:numCache>
            </c:numRef>
          </c:yVal>
        </c:ser>
        <c:ser>
          <c:idx val="15"/>
          <c:order val="15"/>
          <c:tx>
            <c:strRef>
              <c:f>Base!$AW$39:$AW$40</c:f>
              <c:strCache>
                <c:ptCount val="1"/>
                <c:pt idx="0">
                  <c:v>Txvr/link ioi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Base!$AL$55:$AL$69</c:f>
              <c:numCache>
                <c:formatCode>General</c:formatCode>
                <c:ptCount val="15"/>
                <c:pt idx="0">
                  <c:v>0.33514552464014419</c:v>
                </c:pt>
                <c:pt idx="1">
                  <c:v>0.38514552464014418</c:v>
                </c:pt>
                <c:pt idx="2">
                  <c:v>0.43514552464014417</c:v>
                </c:pt>
                <c:pt idx="3">
                  <c:v>0.48514552464014421</c:v>
                </c:pt>
                <c:pt idx="4">
                  <c:v>0.53514552464014431</c:v>
                </c:pt>
                <c:pt idx="5">
                  <c:v>0.58514552464014435</c:v>
                </c:pt>
                <c:pt idx="6">
                  <c:v>0.6351455246401444</c:v>
                </c:pt>
                <c:pt idx="7">
                  <c:v>0.68514552464014444</c:v>
                </c:pt>
                <c:pt idx="8">
                  <c:v>0.73514552464014449</c:v>
                </c:pt>
                <c:pt idx="9">
                  <c:v>0.78514552464014453</c:v>
                </c:pt>
                <c:pt idx="10">
                  <c:v>0.83514552464014458</c:v>
                </c:pt>
                <c:pt idx="11">
                  <c:v>0.88514552464014451</c:v>
                </c:pt>
                <c:pt idx="12">
                  <c:v>0.93514552464014455</c:v>
                </c:pt>
                <c:pt idx="13">
                  <c:v>0.9851455246401446</c:v>
                </c:pt>
                <c:pt idx="14">
                  <c:v>1.0351455246401446</c:v>
                </c:pt>
              </c:numCache>
            </c:numRef>
          </c:xVal>
          <c:yVal>
            <c:numRef>
              <c:f>Base!$AW$55:$AW$69</c:f>
              <c:numCache>
                <c:formatCode>0%</c:formatCode>
                <c:ptCount val="15"/>
                <c:pt idx="0">
                  <c:v>0.15648907404553158</c:v>
                </c:pt>
                <c:pt idx="1">
                  <c:v>0.15183822409925263</c:v>
                </c:pt>
                <c:pt idx="2">
                  <c:v>0.15648907404553158</c:v>
                </c:pt>
                <c:pt idx="3">
                  <c:v>0.17034077244922963</c:v>
                </c:pt>
                <c:pt idx="4">
                  <c:v>0.19308787888694035</c:v>
                </c:pt>
                <c:pt idx="5">
                  <c:v>0.2242140813679927</c:v>
                </c:pt>
                <c:pt idx="6">
                  <c:v>0.26298505781152315</c:v>
                </c:pt>
                <c:pt idx="7">
                  <c:v>0.30844848727327712</c:v>
                </c:pt>
                <c:pt idx="8">
                  <c:v>0.35944585614642577</c:v>
                </c:pt>
                <c:pt idx="9">
                  <c:v>0.41464112227571626</c:v>
                </c:pt>
                <c:pt idx="10">
                  <c:v>0.47256801933384263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16"/>
          <c:order val="16"/>
          <c:tx>
            <c:strRef>
              <c:f>Base!$AW$39:$AW$40</c:f>
              <c:strCache>
                <c:ptCount val="1"/>
                <c:pt idx="0">
                  <c:v>Txvr/link ioi</c:v>
                </c:pt>
              </c:strCache>
            </c:strRef>
          </c:tx>
          <c:spPr>
            <a:ln w="25400">
              <a:solidFill>
                <a:srgbClr val="3366FF"/>
              </a:solidFill>
              <a:prstDash val="lgDash"/>
            </a:ln>
          </c:spPr>
          <c:marker>
            <c:symbol val="none"/>
          </c:marker>
          <c:xVal>
            <c:numRef>
              <c:f>Base!$AM$43:$AM$57</c:f>
              <c:numCache>
                <c:formatCode>General</c:formatCode>
                <c:ptCount val="15"/>
                <c:pt idx="0">
                  <c:v>-3.5145524640144268E-2</c:v>
                </c:pt>
                <c:pt idx="1">
                  <c:v>1.4854475359855734E-2</c:v>
                </c:pt>
                <c:pt idx="2">
                  <c:v>6.4854475359855737E-2</c:v>
                </c:pt>
                <c:pt idx="3">
                  <c:v>0.11485447535985575</c:v>
                </c:pt>
                <c:pt idx="4">
                  <c:v>0.16485447535985576</c:v>
                </c:pt>
                <c:pt idx="5">
                  <c:v>0.21485447535985575</c:v>
                </c:pt>
                <c:pt idx="6">
                  <c:v>0.26485447535985579</c:v>
                </c:pt>
                <c:pt idx="7">
                  <c:v>0.31485447535985578</c:v>
                </c:pt>
                <c:pt idx="8">
                  <c:v>0.36485447535985577</c:v>
                </c:pt>
                <c:pt idx="9">
                  <c:v>0.41485447535985576</c:v>
                </c:pt>
                <c:pt idx="10">
                  <c:v>0.46485447535985575</c:v>
                </c:pt>
                <c:pt idx="11">
                  <c:v>0.51485447535985573</c:v>
                </c:pt>
                <c:pt idx="12">
                  <c:v>0.56485447535985567</c:v>
                </c:pt>
                <c:pt idx="13">
                  <c:v>0.61485447535985571</c:v>
                </c:pt>
                <c:pt idx="14">
                  <c:v>0.66485447535985565</c:v>
                </c:pt>
              </c:numCache>
            </c:numRef>
          </c:xVal>
          <c:yVal>
            <c:numRef>
              <c:f>Base!$AW$43:$AW$57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0.4725680193338424</c:v>
                </c:pt>
                <c:pt idx="5">
                  <c:v>0.41464112227571603</c:v>
                </c:pt>
                <c:pt idx="6">
                  <c:v>0.35944585614642555</c:v>
                </c:pt>
                <c:pt idx="7">
                  <c:v>0.30844848727327712</c:v>
                </c:pt>
                <c:pt idx="8">
                  <c:v>0.26298505781152293</c:v>
                </c:pt>
                <c:pt idx="9">
                  <c:v>0.2242140813679927</c:v>
                </c:pt>
                <c:pt idx="10">
                  <c:v>0.19308787888694035</c:v>
                </c:pt>
                <c:pt idx="11">
                  <c:v>0.17034077244922963</c:v>
                </c:pt>
                <c:pt idx="12">
                  <c:v>0.15648907404553158</c:v>
                </c:pt>
                <c:pt idx="13">
                  <c:v>0.15183822409925263</c:v>
                </c:pt>
                <c:pt idx="14">
                  <c:v>0.15648907404553158</c:v>
                </c:pt>
              </c:numCache>
            </c:numRef>
          </c:yVal>
        </c:ser>
        <c:ser>
          <c:idx val="17"/>
          <c:order val="17"/>
          <c:tx>
            <c:strRef>
              <c:f>Base!$AI$8</c:f>
              <c:strCache>
                <c:ptCount val="1"/>
                <c:pt idx="0">
                  <c:v>3.6 dB ISI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ash"/>
            <c:size val="10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Base!$AJ$8:$AJ$9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Base!$AK$8:$AK$9</c:f>
              <c:numCache>
                <c:formatCode>0.00</c:formatCode>
                <c:ptCount val="2"/>
                <c:pt idx="0">
                  <c:v>0.71825791612008294</c:v>
                </c:pt>
                <c:pt idx="1">
                  <c:v>0.28174208387991706</c:v>
                </c:pt>
              </c:numCache>
            </c:numRef>
          </c:yVal>
        </c:ser>
        <c:axId val="92981504"/>
        <c:axId val="93000448"/>
      </c:scatterChart>
      <c:valAx>
        <c:axId val="92981504"/>
        <c:scaling>
          <c:orientation val="minMax"/>
          <c:max val="1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(UI)</a:t>
                </a:r>
              </a:p>
            </c:rich>
          </c:tx>
          <c:layout>
            <c:manualLayout>
              <c:xMode val="edge"/>
              <c:yMode val="edge"/>
              <c:x val="0.47008677797470466"/>
              <c:y val="0.906978215483245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000448"/>
        <c:crosses val="autoZero"/>
        <c:crossBetween val="midCat"/>
      </c:valAx>
      <c:valAx>
        <c:axId val="93000448"/>
        <c:scaling>
          <c:orientation val="minMax"/>
          <c:max val="1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98150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33" r="0.750000000000004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Power penalties vs. distance</a:t>
            </a:r>
          </a:p>
        </c:rich>
      </c:tx>
      <c:layout>
        <c:manualLayout>
          <c:xMode val="edge"/>
          <c:yMode val="edge"/>
          <c:x val="0.35599315532161518"/>
          <c:y val="3.654490978137647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33461969495936"/>
          <c:y val="0.11960152292086752"/>
          <c:w val="0.6118073322612686"/>
          <c:h val="0.69767555037173201"/>
        </c:manualLayout>
      </c:layout>
      <c:scatterChart>
        <c:scatterStyle val="lineMarker"/>
        <c:ser>
          <c:idx val="1"/>
          <c:order val="0"/>
          <c:tx>
            <c:strRef>
              <c:f>'Base(c)'!$B$15</c:f>
              <c:strCache>
                <c:ptCount val="1"/>
                <c:pt idx="0">
                  <c:v>Patt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'Base(c)'!$A$18:$A$38</c:f>
              <c:numCache>
                <c:formatCode>0.00#</c:formatCode>
                <c:ptCount val="21"/>
                <c:pt idx="0">
                  <c:v>1</c:v>
                </c:pt>
                <c:pt idx="1">
                  <c:v>1.1000000000000001</c:v>
                </c:pt>
                <c:pt idx="2">
                  <c:v>1.2000000000000002</c:v>
                </c:pt>
                <c:pt idx="3">
                  <c:v>1.3000000000000003</c:v>
                </c:pt>
                <c:pt idx="4">
                  <c:v>1.4000000000000004</c:v>
                </c:pt>
                <c:pt idx="5">
                  <c:v>1.5000000000000004</c:v>
                </c:pt>
                <c:pt idx="6">
                  <c:v>1.6000000000000005</c:v>
                </c:pt>
                <c:pt idx="7">
                  <c:v>1.7000000000000006</c:v>
                </c:pt>
                <c:pt idx="8">
                  <c:v>1.8000000000000007</c:v>
                </c:pt>
                <c:pt idx="9">
                  <c:v>1.9000000000000008</c:v>
                </c:pt>
                <c:pt idx="10">
                  <c:v>2.0000000000000009</c:v>
                </c:pt>
                <c:pt idx="11">
                  <c:v>2.100000000000001</c:v>
                </c:pt>
                <c:pt idx="12">
                  <c:v>2.2000000000000011</c:v>
                </c:pt>
                <c:pt idx="13">
                  <c:v>2.3000000000000012</c:v>
                </c:pt>
                <c:pt idx="14">
                  <c:v>2.4000000000000012</c:v>
                </c:pt>
                <c:pt idx="15">
                  <c:v>2.5000000000000013</c:v>
                </c:pt>
                <c:pt idx="16">
                  <c:v>2.6000000000000014</c:v>
                </c:pt>
                <c:pt idx="17">
                  <c:v>2.7000000000000015</c:v>
                </c:pt>
                <c:pt idx="18">
                  <c:v>2.8000000000000016</c:v>
                </c:pt>
                <c:pt idx="19">
                  <c:v>2.9000000000000017</c:v>
                </c:pt>
                <c:pt idx="20">
                  <c:v>3.0000000000000018</c:v>
                </c:pt>
              </c:numCache>
            </c:numRef>
          </c:xVal>
          <c:yVal>
            <c:numRef>
              <c:f>'Base(c)'!$B$18:$B$38</c:f>
              <c:numCache>
                <c:formatCode>0.00</c:formatCode>
                <c:ptCount val="21"/>
                <c:pt idx="0">
                  <c:v>0.42994539252777514</c:v>
                </c:pt>
                <c:pt idx="1">
                  <c:v>0.47293993178055271</c:v>
                </c:pt>
                <c:pt idx="2">
                  <c:v>0.51593447103333034</c:v>
                </c:pt>
                <c:pt idx="3">
                  <c:v>0.55892901028610775</c:v>
                </c:pt>
                <c:pt idx="4">
                  <c:v>0.60192354953888538</c:v>
                </c:pt>
                <c:pt idx="5">
                  <c:v>0.6449180887916629</c:v>
                </c:pt>
                <c:pt idx="6">
                  <c:v>0.68791262804444053</c:v>
                </c:pt>
                <c:pt idx="7">
                  <c:v>0.73090716729721805</c:v>
                </c:pt>
                <c:pt idx="8">
                  <c:v>0.77390170654999568</c:v>
                </c:pt>
                <c:pt idx="9">
                  <c:v>0.8168962458027732</c:v>
                </c:pt>
                <c:pt idx="10">
                  <c:v>0.85989078505555061</c:v>
                </c:pt>
                <c:pt idx="11">
                  <c:v>0.90288532430832835</c:v>
                </c:pt>
                <c:pt idx="12">
                  <c:v>0.94587986356110576</c:v>
                </c:pt>
                <c:pt idx="13">
                  <c:v>0.98887440281388328</c:v>
                </c:pt>
                <c:pt idx="14">
                  <c:v>1.0318689420666609</c:v>
                </c:pt>
                <c:pt idx="15">
                  <c:v>1.0748634813194384</c:v>
                </c:pt>
                <c:pt idx="16">
                  <c:v>1.1178580205722162</c:v>
                </c:pt>
                <c:pt idx="17">
                  <c:v>1.1608525598249937</c:v>
                </c:pt>
                <c:pt idx="18">
                  <c:v>1.203847099077771</c:v>
                </c:pt>
                <c:pt idx="19">
                  <c:v>1.2468416383305487</c:v>
                </c:pt>
                <c:pt idx="20">
                  <c:v>1.2898361775833262</c:v>
                </c:pt>
              </c:numCache>
            </c:numRef>
          </c:yVal>
        </c:ser>
        <c:ser>
          <c:idx val="0"/>
          <c:order val="1"/>
          <c:tx>
            <c:strRef>
              <c:f>'Base(c)'!$J$14:$J$15</c:f>
              <c:strCache>
                <c:ptCount val="1"/>
                <c:pt idx="0">
                  <c:v>Pisi central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'Base(c)'!$A$18:$A$38</c:f>
              <c:numCache>
                <c:formatCode>0.00#</c:formatCode>
                <c:ptCount val="21"/>
                <c:pt idx="0">
                  <c:v>1</c:v>
                </c:pt>
                <c:pt idx="1">
                  <c:v>1.1000000000000001</c:v>
                </c:pt>
                <c:pt idx="2">
                  <c:v>1.2000000000000002</c:v>
                </c:pt>
                <c:pt idx="3">
                  <c:v>1.3000000000000003</c:v>
                </c:pt>
                <c:pt idx="4">
                  <c:v>1.4000000000000004</c:v>
                </c:pt>
                <c:pt idx="5">
                  <c:v>1.5000000000000004</c:v>
                </c:pt>
                <c:pt idx="6">
                  <c:v>1.6000000000000005</c:v>
                </c:pt>
                <c:pt idx="7">
                  <c:v>1.7000000000000006</c:v>
                </c:pt>
                <c:pt idx="8">
                  <c:v>1.8000000000000007</c:v>
                </c:pt>
                <c:pt idx="9">
                  <c:v>1.9000000000000008</c:v>
                </c:pt>
                <c:pt idx="10">
                  <c:v>2.0000000000000009</c:v>
                </c:pt>
                <c:pt idx="11">
                  <c:v>2.100000000000001</c:v>
                </c:pt>
                <c:pt idx="12">
                  <c:v>2.2000000000000011</c:v>
                </c:pt>
                <c:pt idx="13">
                  <c:v>2.3000000000000012</c:v>
                </c:pt>
                <c:pt idx="14">
                  <c:v>2.4000000000000012</c:v>
                </c:pt>
                <c:pt idx="15">
                  <c:v>2.5000000000000013</c:v>
                </c:pt>
                <c:pt idx="16">
                  <c:v>2.6000000000000014</c:v>
                </c:pt>
                <c:pt idx="17">
                  <c:v>2.7000000000000015</c:v>
                </c:pt>
                <c:pt idx="18">
                  <c:v>2.8000000000000016</c:v>
                </c:pt>
                <c:pt idx="19">
                  <c:v>2.9000000000000017</c:v>
                </c:pt>
                <c:pt idx="20">
                  <c:v>3.0000000000000018</c:v>
                </c:pt>
              </c:numCache>
            </c:numRef>
          </c:xVal>
          <c:yVal>
            <c:numRef>
              <c:f>'Base(c)'!$J$18:$J$38</c:f>
              <c:numCache>
                <c:formatCode>0.00</c:formatCode>
                <c:ptCount val="21"/>
                <c:pt idx="0">
                  <c:v>1.4844395083286257</c:v>
                </c:pt>
                <c:pt idx="1">
                  <c:v>1.4905486599168418</c:v>
                </c:pt>
                <c:pt idx="2">
                  <c:v>1.4972418575756592</c:v>
                </c:pt>
                <c:pt idx="3">
                  <c:v>1.5045196777312744</c:v>
                </c:pt>
                <c:pt idx="4">
                  <c:v>1.5123827346321448</c:v>
                </c:pt>
                <c:pt idx="5">
                  <c:v>1.520831677595903</c:v>
                </c:pt>
                <c:pt idx="6">
                  <c:v>1.5298671881580921</c:v>
                </c:pt>
                <c:pt idx="7">
                  <c:v>1.5394899771473833</c:v>
                </c:pt>
                <c:pt idx="8">
                  <c:v>1.5497007817124995</c:v>
                </c:pt>
                <c:pt idx="9">
                  <c:v>1.5605003623266067</c:v>
                </c:pt>
                <c:pt idx="10">
                  <c:v>1.5718891540255007</c:v>
                </c:pt>
                <c:pt idx="11">
                  <c:v>1.583868632006538</c:v>
                </c:pt>
                <c:pt idx="12">
                  <c:v>1.5964392763980957</c:v>
                </c:pt>
                <c:pt idx="13">
                  <c:v>1.6096019113729343</c:v>
                </c:pt>
                <c:pt idx="14">
                  <c:v>1.6233573700049724</c:v>
                </c:pt>
                <c:pt idx="15">
                  <c:v>1.6377064916747666</c:v>
                </c:pt>
                <c:pt idx="16">
                  <c:v>1.6526501196272014</c:v>
                </c:pt>
                <c:pt idx="17">
                  <c:v>1.6681890987034862</c:v>
                </c:pt>
                <c:pt idx="18">
                  <c:v>1.6843242732684469</c:v>
                </c:pt>
                <c:pt idx="19">
                  <c:v>1.7010564853528298</c:v>
                </c:pt>
                <c:pt idx="20">
                  <c:v>1.7183865730288868</c:v>
                </c:pt>
              </c:numCache>
            </c:numRef>
          </c:yVal>
        </c:ser>
        <c:ser>
          <c:idx val="6"/>
          <c:order val="2"/>
          <c:tx>
            <c:strRef>
              <c:f>'Base(c)'!$L$14:$L$15</c:f>
              <c:strCache>
                <c:ptCount val="1"/>
                <c:pt idx="0">
                  <c:v>P_DJ central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'Base(c)'!$A$18:$A$38</c:f>
              <c:numCache>
                <c:formatCode>0.00#</c:formatCode>
                <c:ptCount val="21"/>
                <c:pt idx="0">
                  <c:v>1</c:v>
                </c:pt>
                <c:pt idx="1">
                  <c:v>1.1000000000000001</c:v>
                </c:pt>
                <c:pt idx="2">
                  <c:v>1.2000000000000002</c:v>
                </c:pt>
                <c:pt idx="3">
                  <c:v>1.3000000000000003</c:v>
                </c:pt>
                <c:pt idx="4">
                  <c:v>1.4000000000000004</c:v>
                </c:pt>
                <c:pt idx="5">
                  <c:v>1.5000000000000004</c:v>
                </c:pt>
                <c:pt idx="6">
                  <c:v>1.6000000000000005</c:v>
                </c:pt>
                <c:pt idx="7">
                  <c:v>1.7000000000000006</c:v>
                </c:pt>
                <c:pt idx="8">
                  <c:v>1.8000000000000007</c:v>
                </c:pt>
                <c:pt idx="9">
                  <c:v>1.9000000000000008</c:v>
                </c:pt>
                <c:pt idx="10">
                  <c:v>2.0000000000000009</c:v>
                </c:pt>
                <c:pt idx="11">
                  <c:v>2.100000000000001</c:v>
                </c:pt>
                <c:pt idx="12">
                  <c:v>2.2000000000000011</c:v>
                </c:pt>
                <c:pt idx="13">
                  <c:v>2.3000000000000012</c:v>
                </c:pt>
                <c:pt idx="14">
                  <c:v>2.4000000000000012</c:v>
                </c:pt>
                <c:pt idx="15">
                  <c:v>2.5000000000000013</c:v>
                </c:pt>
                <c:pt idx="16">
                  <c:v>2.6000000000000014</c:v>
                </c:pt>
                <c:pt idx="17">
                  <c:v>2.7000000000000015</c:v>
                </c:pt>
                <c:pt idx="18">
                  <c:v>2.8000000000000016</c:v>
                </c:pt>
                <c:pt idx="19">
                  <c:v>2.9000000000000017</c:v>
                </c:pt>
                <c:pt idx="20">
                  <c:v>3.0000000000000018</c:v>
                </c:pt>
              </c:numCache>
            </c:numRef>
          </c:xVal>
          <c:yVal>
            <c:numRef>
              <c:f>'Base(c)'!$L$18:$L$38</c:f>
              <c:numCache>
                <c:formatCode>0.00</c:formatCode>
                <c:ptCount val="21"/>
                <c:pt idx="0">
                  <c:v>7.0448156632866743E-2</c:v>
                </c:pt>
                <c:pt idx="1">
                  <c:v>7.0470037093321336E-2</c:v>
                </c:pt>
                <c:pt idx="2">
                  <c:v>7.0494004997399662E-2</c:v>
                </c:pt>
                <c:pt idx="3">
                  <c:v>7.0519753900996962E-2</c:v>
                </c:pt>
                <c:pt idx="4">
                  <c:v>7.0547213629505778E-2</c:v>
                </c:pt>
                <c:pt idx="5">
                  <c:v>7.0576310548422727E-2</c:v>
                </c:pt>
                <c:pt idx="6">
                  <c:v>7.0606968012367766E-2</c:v>
                </c:pt>
                <c:pt idx="7">
                  <c:v>7.0639106830751253E-2</c:v>
                </c:pt>
                <c:pt idx="8">
                  <c:v>7.0672645747086316E-2</c:v>
                </c:pt>
                <c:pt idx="9">
                  <c:v>7.0707501928874761E-2</c:v>
                </c:pt>
                <c:pt idx="10">
                  <c:v>7.0743937234577059E-2</c:v>
                </c:pt>
                <c:pt idx="11">
                  <c:v>7.0781190153609508E-2</c:v>
                </c:pt>
                <c:pt idx="12">
                  <c:v>7.0819508632322004E-2</c:v>
                </c:pt>
                <c:pt idx="13">
                  <c:v>7.0858808635051007E-2</c:v>
                </c:pt>
                <c:pt idx="14">
                  <c:v>7.089900706266361E-2</c:v>
                </c:pt>
                <c:pt idx="15">
                  <c:v>7.0940022244713186E-2</c:v>
                </c:pt>
                <c:pt idx="16">
                  <c:v>7.0981494622512464E-2</c:v>
                </c:pt>
                <c:pt idx="17">
                  <c:v>7.1023892211215411E-2</c:v>
                </c:pt>
                <c:pt idx="18">
                  <c:v>7.106687371712983E-2</c:v>
                </c:pt>
                <c:pt idx="19">
                  <c:v>7.1110367792270424E-2</c:v>
                </c:pt>
                <c:pt idx="20">
                  <c:v>7.1154170464467814E-2</c:v>
                </c:pt>
              </c:numCache>
            </c:numRef>
          </c:yVal>
        </c:ser>
        <c:ser>
          <c:idx val="3"/>
          <c:order val="3"/>
          <c:tx>
            <c:strRef>
              <c:f>'Base(c)'!$R$15</c:f>
              <c:strCache>
                <c:ptCount val="1"/>
                <c:pt idx="0">
                  <c:v>Prin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'Base(c)'!$A$18:$A$38</c:f>
              <c:numCache>
                <c:formatCode>0.00#</c:formatCode>
                <c:ptCount val="21"/>
                <c:pt idx="0">
                  <c:v>1</c:v>
                </c:pt>
                <c:pt idx="1">
                  <c:v>1.1000000000000001</c:v>
                </c:pt>
                <c:pt idx="2">
                  <c:v>1.2000000000000002</c:v>
                </c:pt>
                <c:pt idx="3">
                  <c:v>1.3000000000000003</c:v>
                </c:pt>
                <c:pt idx="4">
                  <c:v>1.4000000000000004</c:v>
                </c:pt>
                <c:pt idx="5">
                  <c:v>1.5000000000000004</c:v>
                </c:pt>
                <c:pt idx="6">
                  <c:v>1.6000000000000005</c:v>
                </c:pt>
                <c:pt idx="7">
                  <c:v>1.7000000000000006</c:v>
                </c:pt>
                <c:pt idx="8">
                  <c:v>1.8000000000000007</c:v>
                </c:pt>
                <c:pt idx="9">
                  <c:v>1.9000000000000008</c:v>
                </c:pt>
                <c:pt idx="10">
                  <c:v>2.0000000000000009</c:v>
                </c:pt>
                <c:pt idx="11">
                  <c:v>2.100000000000001</c:v>
                </c:pt>
                <c:pt idx="12">
                  <c:v>2.2000000000000011</c:v>
                </c:pt>
                <c:pt idx="13">
                  <c:v>2.3000000000000012</c:v>
                </c:pt>
                <c:pt idx="14">
                  <c:v>2.4000000000000012</c:v>
                </c:pt>
                <c:pt idx="15">
                  <c:v>2.5000000000000013</c:v>
                </c:pt>
                <c:pt idx="16">
                  <c:v>2.6000000000000014</c:v>
                </c:pt>
                <c:pt idx="17">
                  <c:v>2.7000000000000015</c:v>
                </c:pt>
                <c:pt idx="18">
                  <c:v>2.8000000000000016</c:v>
                </c:pt>
                <c:pt idx="19">
                  <c:v>2.9000000000000017</c:v>
                </c:pt>
                <c:pt idx="20">
                  <c:v>3.0000000000000018</c:v>
                </c:pt>
              </c:numCache>
            </c:numRef>
          </c:xVal>
          <c:yVal>
            <c:numRef>
              <c:f>'Base(c)'!$R$18:$R$38</c:f>
              <c:numCache>
                <c:formatCode>0.00</c:formatCode>
                <c:ptCount val="21"/>
                <c:pt idx="0">
                  <c:v>0.38747580808502924</c:v>
                </c:pt>
                <c:pt idx="1">
                  <c:v>0.38490007290483641</c:v>
                </c:pt>
                <c:pt idx="2">
                  <c:v>0.38235247268212535</c:v>
                </c:pt>
                <c:pt idx="3">
                  <c:v>0.37983583937458709</c:v>
                </c:pt>
                <c:pt idx="4">
                  <c:v>0.37735324490934774</c:v>
                </c:pt>
                <c:pt idx="5">
                  <c:v>0.37490790530985696</c:v>
                </c:pt>
                <c:pt idx="6">
                  <c:v>0.37250314520634131</c:v>
                </c:pt>
                <c:pt idx="7">
                  <c:v>0.3701423646884438</c:v>
                </c:pt>
                <c:pt idx="8">
                  <c:v>0.36782900874355218</c:v>
                </c:pt>
                <c:pt idx="9">
                  <c:v>0.36556653946284723</c:v>
                </c:pt>
                <c:pt idx="10">
                  <c:v>0.36335841113674516</c:v>
                </c:pt>
                <c:pt idx="11">
                  <c:v>0.36120804830404091</c:v>
                </c:pt>
                <c:pt idx="12">
                  <c:v>0.35911882676590817</c:v>
                </c:pt>
                <c:pt idx="13">
                  <c:v>0.35709405752823642</c:v>
                </c:pt>
                <c:pt idx="14">
                  <c:v>0.35513697359413543</c:v>
                </c:pt>
                <c:pt idx="15">
                  <c:v>0.3532507194934203</c:v>
                </c:pt>
                <c:pt idx="16">
                  <c:v>0.3514382839577006</c:v>
                </c:pt>
                <c:pt idx="17">
                  <c:v>0.34970272967579902</c:v>
                </c:pt>
                <c:pt idx="18">
                  <c:v>0.34804684098117333</c:v>
                </c:pt>
                <c:pt idx="19">
                  <c:v>0.34647335315327799</c:v>
                </c:pt>
                <c:pt idx="20">
                  <c:v>0.34498486786204652</c:v>
                </c:pt>
              </c:numCache>
            </c:numRef>
          </c:yVal>
        </c:ser>
        <c:ser>
          <c:idx val="5"/>
          <c:order val="4"/>
          <c:tx>
            <c:strRef>
              <c:f>'Base(c)'!$N$14:$N$15</c:f>
              <c:strCache>
                <c:ptCount val="1"/>
                <c:pt idx="0">
                  <c:v>Preflection central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'Base(c)'!$A$18:$A$38</c:f>
              <c:numCache>
                <c:formatCode>0.00#</c:formatCode>
                <c:ptCount val="21"/>
                <c:pt idx="0">
                  <c:v>1</c:v>
                </c:pt>
                <c:pt idx="1">
                  <c:v>1.1000000000000001</c:v>
                </c:pt>
                <c:pt idx="2">
                  <c:v>1.2000000000000002</c:v>
                </c:pt>
                <c:pt idx="3">
                  <c:v>1.3000000000000003</c:v>
                </c:pt>
                <c:pt idx="4">
                  <c:v>1.4000000000000004</c:v>
                </c:pt>
                <c:pt idx="5">
                  <c:v>1.5000000000000004</c:v>
                </c:pt>
                <c:pt idx="6">
                  <c:v>1.6000000000000005</c:v>
                </c:pt>
                <c:pt idx="7">
                  <c:v>1.7000000000000006</c:v>
                </c:pt>
                <c:pt idx="8">
                  <c:v>1.8000000000000007</c:v>
                </c:pt>
                <c:pt idx="9">
                  <c:v>1.9000000000000008</c:v>
                </c:pt>
                <c:pt idx="10">
                  <c:v>2.0000000000000009</c:v>
                </c:pt>
                <c:pt idx="11">
                  <c:v>2.100000000000001</c:v>
                </c:pt>
                <c:pt idx="12">
                  <c:v>2.2000000000000011</c:v>
                </c:pt>
                <c:pt idx="13">
                  <c:v>2.3000000000000012</c:v>
                </c:pt>
                <c:pt idx="14">
                  <c:v>2.4000000000000012</c:v>
                </c:pt>
                <c:pt idx="15">
                  <c:v>2.5000000000000013</c:v>
                </c:pt>
                <c:pt idx="16">
                  <c:v>2.6000000000000014</c:v>
                </c:pt>
                <c:pt idx="17">
                  <c:v>2.7000000000000015</c:v>
                </c:pt>
                <c:pt idx="18">
                  <c:v>2.8000000000000016</c:v>
                </c:pt>
                <c:pt idx="19">
                  <c:v>2.9000000000000017</c:v>
                </c:pt>
                <c:pt idx="20">
                  <c:v>3.0000000000000018</c:v>
                </c:pt>
              </c:numCache>
            </c:numRef>
          </c:xVal>
          <c:yVal>
            <c:numRef>
              <c:f>'Base(c)'!$N$18:$N$38</c:f>
              <c:numCache>
                <c:formatCode>0.00</c:formatCode>
                <c:ptCount val="21"/>
                <c:pt idx="0">
                  <c:v>1.0462149385920092</c:v>
                </c:pt>
                <c:pt idx="1">
                  <c:v>1.0360532679471892</c:v>
                </c:pt>
                <c:pt idx="2">
                  <c:v>1.0261423518242083</c:v>
                </c:pt>
                <c:pt idx="3">
                  <c:v>1.0164763541787676</c:v>
                </c:pt>
                <c:pt idx="4">
                  <c:v>1.0070497065610879</c:v>
                </c:pt>
                <c:pt idx="5">
                  <c:v>0.99785704118925012</c:v>
                </c:pt>
                <c:pt idx="6">
                  <c:v>0.98889318294110828</c:v>
                </c:pt>
                <c:pt idx="7">
                  <c:v>0.98015314173377277</c:v>
                </c:pt>
                <c:pt idx="8">
                  <c:v>0.97163210527357502</c:v>
                </c:pt>
                <c:pt idx="9">
                  <c:v>0.96332543216054167</c:v>
                </c:pt>
                <c:pt idx="10">
                  <c:v>0.95522864533239216</c:v>
                </c:pt>
                <c:pt idx="11">
                  <c:v>0.9473374258340127</c:v>
                </c:pt>
                <c:pt idx="12">
                  <c:v>0.93964760689917282</c:v>
                </c:pt>
                <c:pt idx="13">
                  <c:v>0.93215516833200196</c:v>
                </c:pt>
                <c:pt idx="14">
                  <c:v>0.92485623117644611</c:v>
                </c:pt>
                <c:pt idx="15">
                  <c:v>0.91774705266254619</c:v>
                </c:pt>
                <c:pt idx="16">
                  <c:v>0.91082396281328981</c:v>
                </c:pt>
                <c:pt idx="17">
                  <c:v>0.90408359184491105</c:v>
                </c:pt>
                <c:pt idx="18">
                  <c:v>0.89752252151255862</c:v>
                </c:pt>
                <c:pt idx="19">
                  <c:v>0.89113750841485784</c:v>
                </c:pt>
                <c:pt idx="20">
                  <c:v>0.88492539617235266</c:v>
                </c:pt>
              </c:numCache>
            </c:numRef>
          </c:yVal>
        </c:ser>
        <c:ser>
          <c:idx val="2"/>
          <c:order val="5"/>
          <c:tx>
            <c:strRef>
              <c:f>'Base(c)'!$Q$15</c:f>
              <c:strCache>
                <c:ptCount val="1"/>
                <c:pt idx="0">
                  <c:v>Pmpn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'Base(c)'!$A$18:$A$38</c:f>
              <c:numCache>
                <c:formatCode>0.00#</c:formatCode>
                <c:ptCount val="21"/>
                <c:pt idx="0">
                  <c:v>1</c:v>
                </c:pt>
                <c:pt idx="1">
                  <c:v>1.1000000000000001</c:v>
                </c:pt>
                <c:pt idx="2">
                  <c:v>1.2000000000000002</c:v>
                </c:pt>
                <c:pt idx="3">
                  <c:v>1.3000000000000003</c:v>
                </c:pt>
                <c:pt idx="4">
                  <c:v>1.4000000000000004</c:v>
                </c:pt>
                <c:pt idx="5">
                  <c:v>1.5000000000000004</c:v>
                </c:pt>
                <c:pt idx="6">
                  <c:v>1.6000000000000005</c:v>
                </c:pt>
                <c:pt idx="7">
                  <c:v>1.7000000000000006</c:v>
                </c:pt>
                <c:pt idx="8">
                  <c:v>1.8000000000000007</c:v>
                </c:pt>
                <c:pt idx="9">
                  <c:v>1.9000000000000008</c:v>
                </c:pt>
                <c:pt idx="10">
                  <c:v>2.0000000000000009</c:v>
                </c:pt>
                <c:pt idx="11">
                  <c:v>2.100000000000001</c:v>
                </c:pt>
                <c:pt idx="12">
                  <c:v>2.2000000000000011</c:v>
                </c:pt>
                <c:pt idx="13">
                  <c:v>2.3000000000000012</c:v>
                </c:pt>
                <c:pt idx="14">
                  <c:v>2.4000000000000012</c:v>
                </c:pt>
                <c:pt idx="15">
                  <c:v>2.5000000000000013</c:v>
                </c:pt>
                <c:pt idx="16">
                  <c:v>2.6000000000000014</c:v>
                </c:pt>
                <c:pt idx="17">
                  <c:v>2.7000000000000015</c:v>
                </c:pt>
                <c:pt idx="18">
                  <c:v>2.8000000000000016</c:v>
                </c:pt>
                <c:pt idx="19">
                  <c:v>2.9000000000000017</c:v>
                </c:pt>
                <c:pt idx="20">
                  <c:v>3.0000000000000018</c:v>
                </c:pt>
              </c:numCache>
            </c:numRef>
          </c:xVal>
          <c:yVal>
            <c:numRef>
              <c:f>'Base(c)'!$Q$18:$Q$38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</c:ser>
        <c:ser>
          <c:idx val="4"/>
          <c:order val="6"/>
          <c:tx>
            <c:strRef>
              <c:f>'Base(c)'!$S$14</c:f>
              <c:strCache>
                <c:ptCount val="1"/>
                <c:pt idx="0">
                  <c:v>Pcross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'Base(c)'!$A$18:$A$38</c:f>
              <c:numCache>
                <c:formatCode>0.00#</c:formatCode>
                <c:ptCount val="21"/>
                <c:pt idx="0">
                  <c:v>1</c:v>
                </c:pt>
                <c:pt idx="1">
                  <c:v>1.1000000000000001</c:v>
                </c:pt>
                <c:pt idx="2">
                  <c:v>1.2000000000000002</c:v>
                </c:pt>
                <c:pt idx="3">
                  <c:v>1.3000000000000003</c:v>
                </c:pt>
                <c:pt idx="4">
                  <c:v>1.4000000000000004</c:v>
                </c:pt>
                <c:pt idx="5">
                  <c:v>1.5000000000000004</c:v>
                </c:pt>
                <c:pt idx="6">
                  <c:v>1.6000000000000005</c:v>
                </c:pt>
                <c:pt idx="7">
                  <c:v>1.7000000000000006</c:v>
                </c:pt>
                <c:pt idx="8">
                  <c:v>1.8000000000000007</c:v>
                </c:pt>
                <c:pt idx="9">
                  <c:v>1.9000000000000008</c:v>
                </c:pt>
                <c:pt idx="10">
                  <c:v>2.0000000000000009</c:v>
                </c:pt>
                <c:pt idx="11">
                  <c:v>2.100000000000001</c:v>
                </c:pt>
                <c:pt idx="12">
                  <c:v>2.2000000000000011</c:v>
                </c:pt>
                <c:pt idx="13">
                  <c:v>2.3000000000000012</c:v>
                </c:pt>
                <c:pt idx="14">
                  <c:v>2.4000000000000012</c:v>
                </c:pt>
                <c:pt idx="15">
                  <c:v>2.5000000000000013</c:v>
                </c:pt>
                <c:pt idx="16">
                  <c:v>2.6000000000000014</c:v>
                </c:pt>
                <c:pt idx="17">
                  <c:v>2.7000000000000015</c:v>
                </c:pt>
                <c:pt idx="18">
                  <c:v>2.8000000000000016</c:v>
                </c:pt>
                <c:pt idx="19">
                  <c:v>2.9000000000000017</c:v>
                </c:pt>
                <c:pt idx="20">
                  <c:v>3.0000000000000018</c:v>
                </c:pt>
              </c:numCache>
            </c:numRef>
          </c:xVal>
          <c:yVal>
            <c:numRef>
              <c:f>'Base(c)'!$S$18:$S$38</c:f>
              <c:numCache>
                <c:formatCode>0.00</c:formatCode>
                <c:ptCount val="21"/>
                <c:pt idx="0">
                  <c:v>1.6050306104279932E-2</c:v>
                </c:pt>
                <c:pt idx="1">
                  <c:v>1.598345786835198E-2</c:v>
                </c:pt>
                <c:pt idx="2">
                  <c:v>1.592552919264334E-2</c:v>
                </c:pt>
                <c:pt idx="3">
                  <c:v>1.5876422230822973E-2</c:v>
                </c:pt>
                <c:pt idx="4">
                  <c:v>1.5836058033488642E-2</c:v>
                </c:pt>
                <c:pt idx="5">
                  <c:v>1.5804372197497973E-2</c:v>
                </c:pt>
                <c:pt idx="6">
                  <c:v>1.5781314208865305E-2</c:v>
                </c:pt>
                <c:pt idx="7">
                  <c:v>1.5766846859038453E-2</c:v>
                </c:pt>
                <c:pt idx="8">
                  <c:v>1.57609457323723E-2</c:v>
                </c:pt>
                <c:pt idx="9">
                  <c:v>1.5763598762606579E-2</c:v>
                </c:pt>
                <c:pt idx="10">
                  <c:v>1.5774805856077379E-2</c:v>
                </c:pt>
                <c:pt idx="11">
                  <c:v>1.5794578579285179E-2</c:v>
                </c:pt>
                <c:pt idx="12">
                  <c:v>1.5822939908496425E-2</c:v>
                </c:pt>
                <c:pt idx="13">
                  <c:v>1.5859924038973627E-2</c:v>
                </c:pt>
                <c:pt idx="14">
                  <c:v>1.590557625156519E-2</c:v>
                </c:pt>
                <c:pt idx="15">
                  <c:v>1.5959952834362745E-2</c:v>
                </c:pt>
                <c:pt idx="16">
                  <c:v>1.6023117030391387E-2</c:v>
                </c:pt>
                <c:pt idx="17">
                  <c:v>1.6095154961744573E-2</c:v>
                </c:pt>
                <c:pt idx="18">
                  <c:v>1.6176152151268552E-2</c:v>
                </c:pt>
                <c:pt idx="19">
                  <c:v>1.626620916199184E-2</c:v>
                </c:pt>
                <c:pt idx="20">
                  <c:v>1.6365435953947016E-2</c:v>
                </c:pt>
              </c:numCache>
            </c:numRef>
          </c:yVal>
        </c:ser>
        <c:ser>
          <c:idx val="8"/>
          <c:order val="7"/>
          <c:tx>
            <c:strRef>
              <c:f>'Base(c)'!$T$14</c:f>
              <c:strCache>
                <c:ptCount val="1"/>
                <c:pt idx="0">
                  <c:v>Ptotal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'Base(c)'!$A$18:$A$38</c:f>
              <c:numCache>
                <c:formatCode>0.00#</c:formatCode>
                <c:ptCount val="21"/>
                <c:pt idx="0">
                  <c:v>1</c:v>
                </c:pt>
                <c:pt idx="1">
                  <c:v>1.1000000000000001</c:v>
                </c:pt>
                <c:pt idx="2">
                  <c:v>1.2000000000000002</c:v>
                </c:pt>
                <c:pt idx="3">
                  <c:v>1.3000000000000003</c:v>
                </c:pt>
                <c:pt idx="4">
                  <c:v>1.4000000000000004</c:v>
                </c:pt>
                <c:pt idx="5">
                  <c:v>1.5000000000000004</c:v>
                </c:pt>
                <c:pt idx="6">
                  <c:v>1.6000000000000005</c:v>
                </c:pt>
                <c:pt idx="7">
                  <c:v>1.7000000000000006</c:v>
                </c:pt>
                <c:pt idx="8">
                  <c:v>1.8000000000000007</c:v>
                </c:pt>
                <c:pt idx="9">
                  <c:v>1.9000000000000008</c:v>
                </c:pt>
                <c:pt idx="10">
                  <c:v>2.0000000000000009</c:v>
                </c:pt>
                <c:pt idx="11">
                  <c:v>2.100000000000001</c:v>
                </c:pt>
                <c:pt idx="12">
                  <c:v>2.2000000000000011</c:v>
                </c:pt>
                <c:pt idx="13">
                  <c:v>2.3000000000000012</c:v>
                </c:pt>
                <c:pt idx="14">
                  <c:v>2.4000000000000012</c:v>
                </c:pt>
                <c:pt idx="15">
                  <c:v>2.5000000000000013</c:v>
                </c:pt>
                <c:pt idx="16">
                  <c:v>2.6000000000000014</c:v>
                </c:pt>
                <c:pt idx="17">
                  <c:v>2.7000000000000015</c:v>
                </c:pt>
                <c:pt idx="18">
                  <c:v>2.8000000000000016</c:v>
                </c:pt>
                <c:pt idx="19">
                  <c:v>2.9000000000000017</c:v>
                </c:pt>
                <c:pt idx="20">
                  <c:v>3.0000000000000018</c:v>
                </c:pt>
              </c:numCache>
            </c:numRef>
          </c:xVal>
          <c:yVal>
            <c:numRef>
              <c:f>'Base(c)'!$T$18:$T$38</c:f>
              <c:numCache>
                <c:formatCode>0.0</c:formatCode>
                <c:ptCount val="21"/>
                <c:pt idx="0">
                  <c:v>3.4345741102705865</c:v>
                </c:pt>
                <c:pt idx="1">
                  <c:v>3.4708954275110933</c:v>
                </c:pt>
                <c:pt idx="2">
                  <c:v>3.5080906873053661</c:v>
                </c:pt>
                <c:pt idx="3">
                  <c:v>3.5461570577025565</c:v>
                </c:pt>
                <c:pt idx="4">
                  <c:v>3.5850925073044602</c:v>
                </c:pt>
                <c:pt idx="5">
                  <c:v>3.6248953956325938</c:v>
                </c:pt>
                <c:pt idx="6">
                  <c:v>3.6655644265712151</c:v>
                </c:pt>
                <c:pt idx="7">
                  <c:v>3.7070986045566077</c:v>
                </c:pt>
                <c:pt idx="8">
                  <c:v>3.7494971937590811</c:v>
                </c:pt>
                <c:pt idx="9">
                  <c:v>3.7927596804442505</c:v>
                </c:pt>
                <c:pt idx="10" formatCode="0.00">
                  <c:v>3.8368857386408424</c:v>
                </c:pt>
                <c:pt idx="11">
                  <c:v>3.8818751991858145</c:v>
                </c:pt>
                <c:pt idx="12">
                  <c:v>3.927728022165101</c:v>
                </c:pt>
                <c:pt idx="13">
                  <c:v>3.9744442727210805</c:v>
                </c:pt>
                <c:pt idx="14">
                  <c:v>4.0220241001564432</c:v>
                </c:pt>
                <c:pt idx="15">
                  <c:v>4.0704677202292476</c:v>
                </c:pt>
                <c:pt idx="16">
                  <c:v>4.1197749986233116</c:v>
                </c:pt>
                <c:pt idx="17">
                  <c:v>4.1699470272221495</c:v>
                </c:pt>
                <c:pt idx="18">
                  <c:v>4.2209837607083482</c:v>
                </c:pt>
                <c:pt idx="19">
                  <c:v>4.2728855622057766</c:v>
                </c:pt>
                <c:pt idx="20">
                  <c:v>4.3256526210650268</c:v>
                </c:pt>
              </c:numCache>
            </c:numRef>
          </c:yVal>
        </c:ser>
        <c:ser>
          <c:idx val="7"/>
          <c:order val="8"/>
          <c:tx>
            <c:strRef>
              <c:f>'Base(c)'!$AL$15</c:f>
              <c:strCache>
                <c:ptCount val="1"/>
                <c:pt idx="0">
                  <c:v>P-C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'Base(c)'!$A$18:$A$38</c:f>
              <c:numCache>
                <c:formatCode>0.00#</c:formatCode>
                <c:ptCount val="21"/>
                <c:pt idx="0">
                  <c:v>1</c:v>
                </c:pt>
                <c:pt idx="1">
                  <c:v>1.1000000000000001</c:v>
                </c:pt>
                <c:pt idx="2">
                  <c:v>1.2000000000000002</c:v>
                </c:pt>
                <c:pt idx="3">
                  <c:v>1.3000000000000003</c:v>
                </c:pt>
                <c:pt idx="4">
                  <c:v>1.4000000000000004</c:v>
                </c:pt>
                <c:pt idx="5">
                  <c:v>1.5000000000000004</c:v>
                </c:pt>
                <c:pt idx="6">
                  <c:v>1.6000000000000005</c:v>
                </c:pt>
                <c:pt idx="7">
                  <c:v>1.7000000000000006</c:v>
                </c:pt>
                <c:pt idx="8">
                  <c:v>1.8000000000000007</c:v>
                </c:pt>
                <c:pt idx="9">
                  <c:v>1.9000000000000008</c:v>
                </c:pt>
                <c:pt idx="10">
                  <c:v>2.0000000000000009</c:v>
                </c:pt>
                <c:pt idx="11">
                  <c:v>2.100000000000001</c:v>
                </c:pt>
                <c:pt idx="12">
                  <c:v>2.2000000000000011</c:v>
                </c:pt>
                <c:pt idx="13">
                  <c:v>2.3000000000000012</c:v>
                </c:pt>
                <c:pt idx="14">
                  <c:v>2.4000000000000012</c:v>
                </c:pt>
                <c:pt idx="15">
                  <c:v>2.5000000000000013</c:v>
                </c:pt>
                <c:pt idx="16">
                  <c:v>2.6000000000000014</c:v>
                </c:pt>
                <c:pt idx="17">
                  <c:v>2.7000000000000015</c:v>
                </c:pt>
                <c:pt idx="18">
                  <c:v>2.8000000000000016</c:v>
                </c:pt>
                <c:pt idx="19">
                  <c:v>2.9000000000000017</c:v>
                </c:pt>
                <c:pt idx="20">
                  <c:v>3.0000000000000018</c:v>
                </c:pt>
              </c:numCache>
            </c:numRef>
          </c:xVal>
          <c:yVal>
            <c:numRef>
              <c:f>'Base(c)'!$AL$18:$AL$38</c:f>
              <c:numCache>
                <c:formatCode>General</c:formatCode>
                <c:ptCount val="21"/>
                <c:pt idx="0">
                  <c:v>4.2000000000000011</c:v>
                </c:pt>
                <c:pt idx="1">
                  <c:v>4.2000000000000011</c:v>
                </c:pt>
                <c:pt idx="2">
                  <c:v>4.2000000000000011</c:v>
                </c:pt>
                <c:pt idx="3">
                  <c:v>4.2000000000000011</c:v>
                </c:pt>
                <c:pt idx="4">
                  <c:v>4.2000000000000011</c:v>
                </c:pt>
                <c:pt idx="5">
                  <c:v>4.2000000000000011</c:v>
                </c:pt>
                <c:pt idx="6">
                  <c:v>4.2000000000000011</c:v>
                </c:pt>
                <c:pt idx="7">
                  <c:v>4.2000000000000011</c:v>
                </c:pt>
                <c:pt idx="8">
                  <c:v>4.2000000000000011</c:v>
                </c:pt>
                <c:pt idx="9">
                  <c:v>4.2000000000000011</c:v>
                </c:pt>
                <c:pt idx="10">
                  <c:v>4.2000000000000011</c:v>
                </c:pt>
                <c:pt idx="11">
                  <c:v>4.2000000000000011</c:v>
                </c:pt>
                <c:pt idx="12">
                  <c:v>4.2000000000000011</c:v>
                </c:pt>
                <c:pt idx="13">
                  <c:v>4.2000000000000011</c:v>
                </c:pt>
                <c:pt idx="14">
                  <c:v>4.2000000000000011</c:v>
                </c:pt>
                <c:pt idx="15">
                  <c:v>4.2000000000000011</c:v>
                </c:pt>
                <c:pt idx="16">
                  <c:v>4.2000000000000011</c:v>
                </c:pt>
                <c:pt idx="17">
                  <c:v>4.2000000000000011</c:v>
                </c:pt>
                <c:pt idx="18">
                  <c:v>4.2000000000000011</c:v>
                </c:pt>
                <c:pt idx="19">
                  <c:v>4.2000000000000011</c:v>
                </c:pt>
                <c:pt idx="20">
                  <c:v>4.2000000000000011</c:v>
                </c:pt>
              </c:numCache>
            </c:numRef>
          </c:yVal>
        </c:ser>
        <c:ser>
          <c:idx val="9"/>
          <c:order val="9"/>
          <c:tx>
            <c:strRef>
              <c:f>'Base(c)'!$AN$14</c:f>
              <c:strCache>
                <c:ptCount val="1"/>
                <c:pt idx="0">
                  <c:v>Target</c:v>
                </c:pt>
              </c:strCache>
            </c:strRef>
          </c:tx>
          <c:spPr>
            <a:ln w="38100"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'Base(c)'!$AM$18:$AM$38</c:f>
              <c:numCache>
                <c:formatCode>General</c:formatCode>
                <c:ptCount val="2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</c:numCache>
            </c:numRef>
          </c:xVal>
          <c:yVal>
            <c:numRef>
              <c:f>'Base(c)'!$AN$18:$AN$38</c:f>
              <c:numCache>
                <c:formatCode>General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</c:numCache>
            </c:numRef>
          </c:yVal>
        </c:ser>
        <c:axId val="93478912"/>
        <c:axId val="93480832"/>
      </c:scatterChart>
      <c:valAx>
        <c:axId val="93478912"/>
        <c:scaling>
          <c:orientation val="minMax"/>
          <c:max val="3"/>
          <c:min val="1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 (km)</a:t>
                </a:r>
              </a:p>
            </c:rich>
          </c:tx>
          <c:layout>
            <c:manualLayout>
              <c:xMode val="edge"/>
              <c:yMode val="edge"/>
              <c:x val="0.37746007926061337"/>
              <c:y val="0.90697821548324564"/>
            </c:manualLayout>
          </c:layout>
          <c:spPr>
            <a:noFill/>
            <a:ln w="25400">
              <a:noFill/>
            </a:ln>
          </c:spPr>
        </c:title>
        <c:numFmt formatCode="0.00#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80832"/>
        <c:crosses val="autoZero"/>
        <c:crossBetween val="midCat"/>
      </c:valAx>
      <c:valAx>
        <c:axId val="93480832"/>
        <c:scaling>
          <c:orientation val="minMax"/>
          <c:max val="7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Penalty (dB)</a:t>
                </a:r>
              </a:p>
            </c:rich>
          </c:tx>
          <c:layout>
            <c:manualLayout>
              <c:xMode val="edge"/>
              <c:yMode val="edge"/>
              <c:x val="1.4311282625994461E-2"/>
              <c:y val="0.35548230423702676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7891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97560687997422"/>
          <c:y val="0.19601360700919948"/>
          <c:w val="0.2468696252984065"/>
          <c:h val="0.6976755503717320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&amp;CSpreadsheet by Agilent Technologies</c:oddHeader>
      <c:oddFooter>&amp;L&amp;F tab &amp;A&amp;RPrinted &amp;T &amp;D</c:oddFooter>
    </c:headerFooter>
    <c:pageMargins b="1" l="0.75000000000000455" r="0.7500000000000045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Tx eye diagram (no noise)
Black: Test Rx    Blue: target link &amp; Rx</a:t>
            </a:r>
          </a:p>
        </c:rich>
      </c:tx>
      <c:layout>
        <c:manualLayout>
          <c:xMode val="edge"/>
          <c:yMode val="edge"/>
          <c:x val="0.21082679739471319"/>
          <c:y val="3.654490978137647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6866366370545132E-2"/>
          <c:y val="0.22923625226499644"/>
          <c:w val="0.84900521113006566"/>
          <c:h val="0.62126346628340001"/>
        </c:manualLayout>
      </c:layout>
      <c:scatterChart>
        <c:scatterStyle val="lineMarker"/>
        <c:ser>
          <c:idx val="0"/>
          <c:order val="0"/>
          <c:tx>
            <c:strRef>
              <c:f>'Base(c)'!$AE$40</c:f>
              <c:strCache>
                <c:ptCount val="1"/>
                <c:pt idx="0">
                  <c:v>erf 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'Base(c)'!$AL$41:$AL$69</c:f>
              <c:numCache>
                <c:formatCode>General</c:formatCode>
                <c:ptCount val="29"/>
                <c:pt idx="0">
                  <c:v>-0.30499999999999999</c:v>
                </c:pt>
                <c:pt idx="1">
                  <c:v>-0.255</c:v>
                </c:pt>
                <c:pt idx="2">
                  <c:v>-0.20500000000000002</c:v>
                </c:pt>
                <c:pt idx="3">
                  <c:v>-0.15500000000000003</c:v>
                </c:pt>
                <c:pt idx="4">
                  <c:v>-0.10500000000000001</c:v>
                </c:pt>
                <c:pt idx="5">
                  <c:v>-5.5E-2</c:v>
                </c:pt>
                <c:pt idx="6">
                  <c:v>-4.9999999999999975E-3</c:v>
                </c:pt>
                <c:pt idx="7">
                  <c:v>4.5000000000000005E-2</c:v>
                </c:pt>
                <c:pt idx="8">
                  <c:v>9.5000000000000029E-2</c:v>
                </c:pt>
                <c:pt idx="9">
                  <c:v>0.14500000000000002</c:v>
                </c:pt>
                <c:pt idx="10">
                  <c:v>0.19500000000000001</c:v>
                </c:pt>
                <c:pt idx="11">
                  <c:v>0.245</c:v>
                </c:pt>
                <c:pt idx="12">
                  <c:v>0.29499999999999998</c:v>
                </c:pt>
                <c:pt idx="13">
                  <c:v>0.34499999999999997</c:v>
                </c:pt>
                <c:pt idx="14">
                  <c:v>0.39499999999999996</c:v>
                </c:pt>
                <c:pt idx="15">
                  <c:v>0.44499999999999995</c:v>
                </c:pt>
                <c:pt idx="16">
                  <c:v>0.49499999999999994</c:v>
                </c:pt>
                <c:pt idx="17">
                  <c:v>0.54499999999999993</c:v>
                </c:pt>
                <c:pt idx="18">
                  <c:v>0.59499999999999997</c:v>
                </c:pt>
                <c:pt idx="19">
                  <c:v>0.64500000000000002</c:v>
                </c:pt>
                <c:pt idx="20">
                  <c:v>0.69500000000000006</c:v>
                </c:pt>
                <c:pt idx="21">
                  <c:v>0.74500000000000011</c:v>
                </c:pt>
                <c:pt idx="22">
                  <c:v>0.79500000000000015</c:v>
                </c:pt>
                <c:pt idx="23">
                  <c:v>0.8450000000000002</c:v>
                </c:pt>
                <c:pt idx="24">
                  <c:v>0.89500000000000024</c:v>
                </c:pt>
                <c:pt idx="25">
                  <c:v>0.94500000000000017</c:v>
                </c:pt>
                <c:pt idx="26">
                  <c:v>0.99500000000000022</c:v>
                </c:pt>
                <c:pt idx="27">
                  <c:v>1.0450000000000004</c:v>
                </c:pt>
                <c:pt idx="28">
                  <c:v>1.0950000000000004</c:v>
                </c:pt>
              </c:numCache>
            </c:numRef>
          </c:xVal>
          <c:yVal>
            <c:numRef>
              <c:f>'Base(c)'!$AE$41:$AE$69</c:f>
              <c:numCache>
                <c:formatCode>0%</c:formatCode>
                <c:ptCount val="29"/>
                <c:pt idx="0">
                  <c:v>0.99992263791466551</c:v>
                </c:pt>
                <c:pt idx="1">
                  <c:v>0.99985770576307664</c:v>
                </c:pt>
                <c:pt idx="2">
                  <c:v>0.99974411213620118</c:v>
                </c:pt>
                <c:pt idx="3">
                  <c:v>0.99955006286703796</c:v>
                </c:pt>
                <c:pt idx="4">
                  <c:v>0.99922636937172093</c:v>
                </c:pt>
                <c:pt idx="5">
                  <c:v>0.99869911547460377</c:v>
                </c:pt>
                <c:pt idx="6">
                  <c:v>0.99786048686956852</c:v>
                </c:pt>
                <c:pt idx="7">
                  <c:v>0.99655796976992439</c:v>
                </c:pt>
                <c:pt idx="8">
                  <c:v>0.99458254134928747</c:v>
                </c:pt>
                <c:pt idx="9">
                  <c:v>0.99165702138699963</c:v>
                </c:pt>
                <c:pt idx="10">
                  <c:v>0.9874263522349056</c:v>
                </c:pt>
                <c:pt idx="11">
                  <c:v>0.98145216395617674</c:v>
                </c:pt>
                <c:pt idx="12">
                  <c:v>0.97321433505306199</c:v>
                </c:pt>
                <c:pt idx="13">
                  <c:v>0.96212230530586151</c:v>
                </c:pt>
                <c:pt idx="14">
                  <c:v>0.94753842318364656</c:v>
                </c:pt>
                <c:pt idx="15">
                  <c:v>0.92881438162784768</c:v>
                </c:pt>
                <c:pt idx="16">
                  <c:v>0.90534022123050817</c:v>
                </c:pt>
                <c:pt idx="17">
                  <c:v>0.87660299607433823</c:v>
                </c:pt>
                <c:pt idx="18">
                  <c:v>0.84225007046030942</c:v>
                </c:pt>
                <c:pt idx="19">
                  <c:v>0.80215008224181039</c:v>
                </c:pt>
                <c:pt idx="20">
                  <c:v>0.75644201969115765</c:v>
                </c:pt>
                <c:pt idx="21">
                  <c:v>0.70556706940179736</c:v>
                </c:pt>
                <c:pt idx="22">
                  <c:v>0.65027289858792159</c:v>
                </c:pt>
                <c:pt idx="23">
                  <c:v>0.5915890082676114</c:v>
                </c:pt>
                <c:pt idx="24">
                  <c:v>0.53077234065742385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</c:ser>
        <c:ser>
          <c:idx val="1"/>
          <c:order val="1"/>
          <c:tx>
            <c:strRef>
              <c:f>'Base(c)'!$AD$40</c:f>
              <c:strCache>
                <c:ptCount val="1"/>
                <c:pt idx="0">
                  <c:v>erf 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'Base(c)'!$AM$41:$AM$69</c:f>
              <c:numCache>
                <c:formatCode>General</c:formatCode>
                <c:ptCount val="29"/>
                <c:pt idx="0">
                  <c:v>-0.19500000000000001</c:v>
                </c:pt>
                <c:pt idx="1">
                  <c:v>-0.14500000000000002</c:v>
                </c:pt>
                <c:pt idx="2">
                  <c:v>-9.5000000000000029E-2</c:v>
                </c:pt>
                <c:pt idx="3">
                  <c:v>-4.5000000000000019E-2</c:v>
                </c:pt>
                <c:pt idx="4">
                  <c:v>4.9999999999999836E-3</c:v>
                </c:pt>
                <c:pt idx="5">
                  <c:v>5.5E-2</c:v>
                </c:pt>
                <c:pt idx="6">
                  <c:v>0.10500000000000001</c:v>
                </c:pt>
                <c:pt idx="7">
                  <c:v>0.155</c:v>
                </c:pt>
                <c:pt idx="8">
                  <c:v>0.20500000000000002</c:v>
                </c:pt>
                <c:pt idx="9">
                  <c:v>0.255</c:v>
                </c:pt>
                <c:pt idx="10">
                  <c:v>0.30499999999999999</c:v>
                </c:pt>
                <c:pt idx="11">
                  <c:v>0.35499999999999998</c:v>
                </c:pt>
                <c:pt idx="12">
                  <c:v>0.40499999999999997</c:v>
                </c:pt>
                <c:pt idx="13">
                  <c:v>0.45499999999999996</c:v>
                </c:pt>
                <c:pt idx="14">
                  <c:v>0.505</c:v>
                </c:pt>
                <c:pt idx="15">
                  <c:v>0.55499999999999994</c:v>
                </c:pt>
                <c:pt idx="16">
                  <c:v>0.60499999999999998</c:v>
                </c:pt>
                <c:pt idx="17">
                  <c:v>0.65500000000000003</c:v>
                </c:pt>
                <c:pt idx="18">
                  <c:v>0.70500000000000007</c:v>
                </c:pt>
                <c:pt idx="19">
                  <c:v>0.75500000000000012</c:v>
                </c:pt>
                <c:pt idx="20">
                  <c:v>0.80500000000000016</c:v>
                </c:pt>
                <c:pt idx="21">
                  <c:v>0.8550000000000002</c:v>
                </c:pt>
                <c:pt idx="22">
                  <c:v>0.90500000000000025</c:v>
                </c:pt>
                <c:pt idx="23">
                  <c:v>0.95500000000000029</c:v>
                </c:pt>
                <c:pt idx="24">
                  <c:v>1.0050000000000003</c:v>
                </c:pt>
                <c:pt idx="25">
                  <c:v>1.0550000000000002</c:v>
                </c:pt>
                <c:pt idx="26">
                  <c:v>1.1050000000000002</c:v>
                </c:pt>
                <c:pt idx="27">
                  <c:v>1.1550000000000002</c:v>
                </c:pt>
                <c:pt idx="28">
                  <c:v>1.2050000000000003</c:v>
                </c:pt>
              </c:numCache>
            </c:numRef>
          </c:xVal>
          <c:yVal>
            <c:numRef>
              <c:f>'Base(c)'!$AD$41:$AD$69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0.53077234065742418</c:v>
                </c:pt>
                <c:pt idx="7">
                  <c:v>0.59158900826761174</c:v>
                </c:pt>
                <c:pt idx="8">
                  <c:v>0.65027289858792203</c:v>
                </c:pt>
                <c:pt idx="9">
                  <c:v>0.70556706940179748</c:v>
                </c:pt>
                <c:pt idx="10">
                  <c:v>0.75644201969115787</c:v>
                </c:pt>
                <c:pt idx="11">
                  <c:v>0.80215008224181039</c:v>
                </c:pt>
                <c:pt idx="12">
                  <c:v>0.84225007046030942</c:v>
                </c:pt>
                <c:pt idx="13">
                  <c:v>0.87660299607433823</c:v>
                </c:pt>
                <c:pt idx="14">
                  <c:v>0.90534022123050817</c:v>
                </c:pt>
                <c:pt idx="15">
                  <c:v>0.92881438162784768</c:v>
                </c:pt>
                <c:pt idx="16">
                  <c:v>0.94753842318364656</c:v>
                </c:pt>
                <c:pt idx="17">
                  <c:v>0.96212230530586151</c:v>
                </c:pt>
                <c:pt idx="18">
                  <c:v>0.97321433505306199</c:v>
                </c:pt>
                <c:pt idx="19">
                  <c:v>0.98145216395617674</c:v>
                </c:pt>
                <c:pt idx="20">
                  <c:v>0.9874263522349056</c:v>
                </c:pt>
                <c:pt idx="21">
                  <c:v>0.99165702138699963</c:v>
                </c:pt>
                <c:pt idx="22">
                  <c:v>0.99458254134928747</c:v>
                </c:pt>
                <c:pt idx="23">
                  <c:v>0.99655796976992439</c:v>
                </c:pt>
                <c:pt idx="24">
                  <c:v>0.99786048686956852</c:v>
                </c:pt>
                <c:pt idx="25">
                  <c:v>0.99869911547460388</c:v>
                </c:pt>
                <c:pt idx="26">
                  <c:v>0.99922636937172093</c:v>
                </c:pt>
                <c:pt idx="27">
                  <c:v>0.99955006286703796</c:v>
                </c:pt>
                <c:pt idx="28">
                  <c:v>0.99974411213620118</c:v>
                </c:pt>
              </c:numCache>
            </c:numRef>
          </c:yVal>
        </c:ser>
        <c:ser>
          <c:idx val="2"/>
          <c:order val="2"/>
          <c:tx>
            <c:strRef>
              <c:f>'Base(c)'!$AD$40</c:f>
              <c:strCache>
                <c:ptCount val="1"/>
                <c:pt idx="0">
                  <c:v>erf 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'Base(c)'!$Z$41:$Z$69</c:f>
              <c:numCache>
                <c:formatCode>General</c:formatCode>
                <c:ptCount val="29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</c:numCache>
            </c:numRef>
          </c:xVal>
          <c:yVal>
            <c:numRef>
              <c:f>'Base(c)'!$AD$41:$AD$69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0.53077234065742418</c:v>
                </c:pt>
                <c:pt idx="7">
                  <c:v>0.59158900826761174</c:v>
                </c:pt>
                <c:pt idx="8">
                  <c:v>0.65027289858792203</c:v>
                </c:pt>
                <c:pt idx="9">
                  <c:v>0.70556706940179748</c:v>
                </c:pt>
                <c:pt idx="10">
                  <c:v>0.75644201969115787</c:v>
                </c:pt>
                <c:pt idx="11">
                  <c:v>0.80215008224181039</c:v>
                </c:pt>
                <c:pt idx="12">
                  <c:v>0.84225007046030942</c:v>
                </c:pt>
                <c:pt idx="13">
                  <c:v>0.87660299607433823</c:v>
                </c:pt>
                <c:pt idx="14">
                  <c:v>0.90534022123050817</c:v>
                </c:pt>
                <c:pt idx="15">
                  <c:v>0.92881438162784768</c:v>
                </c:pt>
                <c:pt idx="16">
                  <c:v>0.94753842318364656</c:v>
                </c:pt>
                <c:pt idx="17">
                  <c:v>0.96212230530586151</c:v>
                </c:pt>
                <c:pt idx="18">
                  <c:v>0.97321433505306199</c:v>
                </c:pt>
                <c:pt idx="19">
                  <c:v>0.98145216395617674</c:v>
                </c:pt>
                <c:pt idx="20">
                  <c:v>0.9874263522349056</c:v>
                </c:pt>
                <c:pt idx="21">
                  <c:v>0.99165702138699963</c:v>
                </c:pt>
                <c:pt idx="22">
                  <c:v>0.99458254134928747</c:v>
                </c:pt>
                <c:pt idx="23">
                  <c:v>0.99655796976992439</c:v>
                </c:pt>
                <c:pt idx="24">
                  <c:v>0.99786048686956852</c:v>
                </c:pt>
                <c:pt idx="25">
                  <c:v>0.99869911547460388</c:v>
                </c:pt>
                <c:pt idx="26">
                  <c:v>0.99922636937172093</c:v>
                </c:pt>
                <c:pt idx="27">
                  <c:v>0.99955006286703796</c:v>
                </c:pt>
                <c:pt idx="28">
                  <c:v>0.99974411213620118</c:v>
                </c:pt>
              </c:numCache>
            </c:numRef>
          </c:yVal>
        </c:ser>
        <c:ser>
          <c:idx val="3"/>
          <c:order val="3"/>
          <c:tx>
            <c:strRef>
              <c:f>'Base(c)'!$AE$40</c:f>
              <c:strCache>
                <c:ptCount val="1"/>
                <c:pt idx="0">
                  <c:v>erf 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'Base(c)'!$Z$41:$Z$69</c:f>
              <c:numCache>
                <c:formatCode>General</c:formatCode>
                <c:ptCount val="29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</c:numCache>
            </c:numRef>
          </c:xVal>
          <c:yVal>
            <c:numRef>
              <c:f>'Base(c)'!$AE$41:$AE$69</c:f>
              <c:numCache>
                <c:formatCode>0%</c:formatCode>
                <c:ptCount val="29"/>
                <c:pt idx="0">
                  <c:v>0.99992263791466551</c:v>
                </c:pt>
                <c:pt idx="1">
                  <c:v>0.99985770576307664</c:v>
                </c:pt>
                <c:pt idx="2">
                  <c:v>0.99974411213620118</c:v>
                </c:pt>
                <c:pt idx="3">
                  <c:v>0.99955006286703796</c:v>
                </c:pt>
                <c:pt idx="4">
                  <c:v>0.99922636937172093</c:v>
                </c:pt>
                <c:pt idx="5">
                  <c:v>0.99869911547460377</c:v>
                </c:pt>
                <c:pt idx="6">
                  <c:v>0.99786048686956852</c:v>
                </c:pt>
                <c:pt idx="7">
                  <c:v>0.99655796976992439</c:v>
                </c:pt>
                <c:pt idx="8">
                  <c:v>0.99458254134928747</c:v>
                </c:pt>
                <c:pt idx="9">
                  <c:v>0.99165702138699963</c:v>
                </c:pt>
                <c:pt idx="10">
                  <c:v>0.9874263522349056</c:v>
                </c:pt>
                <c:pt idx="11">
                  <c:v>0.98145216395617674</c:v>
                </c:pt>
                <c:pt idx="12">
                  <c:v>0.97321433505306199</c:v>
                </c:pt>
                <c:pt idx="13">
                  <c:v>0.96212230530586151</c:v>
                </c:pt>
                <c:pt idx="14">
                  <c:v>0.94753842318364656</c:v>
                </c:pt>
                <c:pt idx="15">
                  <c:v>0.92881438162784768</c:v>
                </c:pt>
                <c:pt idx="16">
                  <c:v>0.90534022123050817</c:v>
                </c:pt>
                <c:pt idx="17">
                  <c:v>0.87660299607433823</c:v>
                </c:pt>
                <c:pt idx="18">
                  <c:v>0.84225007046030942</c:v>
                </c:pt>
                <c:pt idx="19">
                  <c:v>0.80215008224181039</c:v>
                </c:pt>
                <c:pt idx="20">
                  <c:v>0.75644201969115765</c:v>
                </c:pt>
                <c:pt idx="21">
                  <c:v>0.70556706940179736</c:v>
                </c:pt>
                <c:pt idx="22">
                  <c:v>0.65027289858792159</c:v>
                </c:pt>
                <c:pt idx="23">
                  <c:v>0.5915890082676114</c:v>
                </c:pt>
                <c:pt idx="24">
                  <c:v>0.53077234065742385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</c:ser>
        <c:ser>
          <c:idx val="4"/>
          <c:order val="4"/>
          <c:tx>
            <c:strRef>
              <c:f>'Base(c)'!$AF$40</c:f>
              <c:strCache>
                <c:ptCount val="1"/>
                <c:pt idx="0">
                  <c:v>oio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'Base(c)'!$Z$41:$Z$69</c:f>
              <c:numCache>
                <c:formatCode>General</c:formatCode>
                <c:ptCount val="29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</c:numCache>
            </c:numRef>
          </c:xVal>
          <c:yVal>
            <c:numRef>
              <c:f>'Base(c)'!$AF$41:$AF$69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0.5286328275269927</c:v>
                </c:pt>
                <c:pt idx="7">
                  <c:v>0.58814697803753613</c:v>
                </c:pt>
                <c:pt idx="8">
                  <c:v>0.64485543993720951</c:v>
                </c:pt>
                <c:pt idx="9">
                  <c:v>0.69722409078879721</c:v>
                </c:pt>
                <c:pt idx="10">
                  <c:v>0.74386837192606348</c:v>
                </c:pt>
                <c:pt idx="11">
                  <c:v>0.78360224619798702</c:v>
                </c:pt>
                <c:pt idx="12">
                  <c:v>0.81546440551337129</c:v>
                </c:pt>
                <c:pt idx="13">
                  <c:v>0.83872530138019963</c:v>
                </c:pt>
                <c:pt idx="14">
                  <c:v>0.85287864441415473</c:v>
                </c:pt>
                <c:pt idx="15">
                  <c:v>0.85762876325569537</c:v>
                </c:pt>
                <c:pt idx="16">
                  <c:v>0.85287864441415473</c:v>
                </c:pt>
                <c:pt idx="17">
                  <c:v>0.83872530138019963</c:v>
                </c:pt>
                <c:pt idx="18">
                  <c:v>0.81546440551337129</c:v>
                </c:pt>
                <c:pt idx="19">
                  <c:v>0.78360224619798702</c:v>
                </c:pt>
                <c:pt idx="20">
                  <c:v>0.74386837192606325</c:v>
                </c:pt>
                <c:pt idx="21">
                  <c:v>0.69722409078879699</c:v>
                </c:pt>
                <c:pt idx="22">
                  <c:v>0.64485543993720906</c:v>
                </c:pt>
                <c:pt idx="23">
                  <c:v>0.58814697803753591</c:v>
                </c:pt>
                <c:pt idx="24">
                  <c:v>0.52863282752699225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</c:ser>
        <c:ser>
          <c:idx val="5"/>
          <c:order val="5"/>
          <c:tx>
            <c:strRef>
              <c:f>'Base(c)'!$AG$40</c:f>
              <c:strCache>
                <c:ptCount val="1"/>
                <c:pt idx="0">
                  <c:v>erf1'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'Base(c)'!$Z$41:$Z$69</c:f>
              <c:numCache>
                <c:formatCode>General</c:formatCode>
                <c:ptCount val="29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</c:numCache>
            </c:numRef>
          </c:xVal>
          <c:yVal>
            <c:numRef>
              <c:f>'Base(c)'!$AG$41:$AG$69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0.46922765934257582</c:v>
                </c:pt>
                <c:pt idx="7">
                  <c:v>0.40841099173238826</c:v>
                </c:pt>
                <c:pt idx="8">
                  <c:v>0.34972710141207797</c:v>
                </c:pt>
                <c:pt idx="9">
                  <c:v>0.29443293059820252</c:v>
                </c:pt>
                <c:pt idx="10">
                  <c:v>0.24355798030884213</c:v>
                </c:pt>
                <c:pt idx="11">
                  <c:v>0.19784991775818961</c:v>
                </c:pt>
                <c:pt idx="12">
                  <c:v>0.15774992953969058</c:v>
                </c:pt>
                <c:pt idx="13">
                  <c:v>0.12339700392566177</c:v>
                </c:pt>
                <c:pt idx="14">
                  <c:v>9.4659778769491831E-2</c:v>
                </c:pt>
                <c:pt idx="15">
                  <c:v>7.1185618372152315E-2</c:v>
                </c:pt>
                <c:pt idx="16">
                  <c:v>5.2461576816353439E-2</c:v>
                </c:pt>
                <c:pt idx="17">
                  <c:v>3.7877694694138486E-2</c:v>
                </c:pt>
                <c:pt idx="18">
                  <c:v>2.6785664946938015E-2</c:v>
                </c:pt>
                <c:pt idx="19">
                  <c:v>1.8547836043823263E-2</c:v>
                </c:pt>
                <c:pt idx="20">
                  <c:v>1.2573647765094398E-2</c:v>
                </c:pt>
                <c:pt idx="21">
                  <c:v>8.3429786130003736E-3</c:v>
                </c:pt>
                <c:pt idx="22">
                  <c:v>5.4174586507125255E-3</c:v>
                </c:pt>
                <c:pt idx="23">
                  <c:v>3.44203023007561E-3</c:v>
                </c:pt>
                <c:pt idx="24">
                  <c:v>2.1395131304314807E-3</c:v>
                </c:pt>
                <c:pt idx="25">
                  <c:v>1.3008845253961177E-3</c:v>
                </c:pt>
                <c:pt idx="26">
                  <c:v>7.7363062827906504E-4</c:v>
                </c:pt>
                <c:pt idx="27">
                  <c:v>4.4993713296204163E-4</c:v>
                </c:pt>
                <c:pt idx="28">
                  <c:v>2.5588786379882045E-4</c:v>
                </c:pt>
              </c:numCache>
            </c:numRef>
          </c:yVal>
        </c:ser>
        <c:ser>
          <c:idx val="6"/>
          <c:order val="6"/>
          <c:tx>
            <c:strRef>
              <c:f>'Base(c)'!$AH$40</c:f>
              <c:strCache>
                <c:ptCount val="1"/>
                <c:pt idx="0">
                  <c:v>erf2'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'Base(c)'!$Z$41:$Z$69</c:f>
              <c:numCache>
                <c:formatCode>General</c:formatCode>
                <c:ptCount val="29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</c:numCache>
            </c:numRef>
          </c:xVal>
          <c:yVal>
            <c:numRef>
              <c:f>'Base(c)'!$AH$41:$AH$69</c:f>
              <c:numCache>
                <c:formatCode>0%</c:formatCode>
                <c:ptCount val="29"/>
                <c:pt idx="0">
                  <c:v>7.7362085334486963E-5</c:v>
                </c:pt>
                <c:pt idx="1">
                  <c:v>1.4229423692335708E-4</c:v>
                </c:pt>
                <c:pt idx="2">
                  <c:v>2.5588786379882045E-4</c:v>
                </c:pt>
                <c:pt idx="3">
                  <c:v>4.4993713296204163E-4</c:v>
                </c:pt>
                <c:pt idx="4">
                  <c:v>7.7363062827906504E-4</c:v>
                </c:pt>
                <c:pt idx="5">
                  <c:v>1.3008845253962287E-3</c:v>
                </c:pt>
                <c:pt idx="6">
                  <c:v>2.1395131304314807E-3</c:v>
                </c:pt>
                <c:pt idx="7">
                  <c:v>3.44203023007561E-3</c:v>
                </c:pt>
                <c:pt idx="8">
                  <c:v>5.4174586507125255E-3</c:v>
                </c:pt>
                <c:pt idx="9">
                  <c:v>8.3429786130003736E-3</c:v>
                </c:pt>
                <c:pt idx="10">
                  <c:v>1.2573647765094398E-2</c:v>
                </c:pt>
                <c:pt idx="11">
                  <c:v>1.8547836043823263E-2</c:v>
                </c:pt>
                <c:pt idx="12">
                  <c:v>2.6785664946938015E-2</c:v>
                </c:pt>
                <c:pt idx="13">
                  <c:v>3.7877694694138486E-2</c:v>
                </c:pt>
                <c:pt idx="14">
                  <c:v>5.2461576816353439E-2</c:v>
                </c:pt>
                <c:pt idx="15">
                  <c:v>7.1185618372152315E-2</c:v>
                </c:pt>
                <c:pt idx="16">
                  <c:v>9.4659778769491831E-2</c:v>
                </c:pt>
                <c:pt idx="17">
                  <c:v>0.12339700392566177</c:v>
                </c:pt>
                <c:pt idx="18">
                  <c:v>0.15774992953969058</c:v>
                </c:pt>
                <c:pt idx="19">
                  <c:v>0.19784991775818961</c:v>
                </c:pt>
                <c:pt idx="20">
                  <c:v>0.24355798030884235</c:v>
                </c:pt>
                <c:pt idx="21">
                  <c:v>0.29443293059820264</c:v>
                </c:pt>
                <c:pt idx="22">
                  <c:v>0.34972710141207841</c:v>
                </c:pt>
                <c:pt idx="23">
                  <c:v>0.4084109917323886</c:v>
                </c:pt>
                <c:pt idx="24">
                  <c:v>0.46922765934257615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</c:ser>
        <c:ser>
          <c:idx val="7"/>
          <c:order val="7"/>
          <c:tx>
            <c:strRef>
              <c:f>'Base(c)'!$AI$40</c:f>
              <c:strCache>
                <c:ptCount val="1"/>
                <c:pt idx="0">
                  <c:v>ioi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'Base(c)'!$Z$41:$Z$69</c:f>
              <c:numCache>
                <c:formatCode>General</c:formatCode>
                <c:ptCount val="29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</c:numCache>
            </c:numRef>
          </c:xVal>
          <c:yVal>
            <c:numRef>
              <c:f>'Base(c)'!$AI$41:$AI$69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0.4713671724730073</c:v>
                </c:pt>
                <c:pt idx="7">
                  <c:v>0.41185302196246387</c:v>
                </c:pt>
                <c:pt idx="8">
                  <c:v>0.35514456006279049</c:v>
                </c:pt>
                <c:pt idx="9">
                  <c:v>0.30277590921120279</c:v>
                </c:pt>
                <c:pt idx="10">
                  <c:v>0.25613162807393652</c:v>
                </c:pt>
                <c:pt idx="11">
                  <c:v>0.21639775380201298</c:v>
                </c:pt>
                <c:pt idx="12">
                  <c:v>0.18453559448662871</c:v>
                </c:pt>
                <c:pt idx="13">
                  <c:v>0.16127469861980037</c:v>
                </c:pt>
                <c:pt idx="14">
                  <c:v>0.14712135558584527</c:v>
                </c:pt>
                <c:pt idx="15">
                  <c:v>0.14237123674430463</c:v>
                </c:pt>
                <c:pt idx="16">
                  <c:v>0.14712135558584527</c:v>
                </c:pt>
                <c:pt idx="17">
                  <c:v>0.16127469861980037</c:v>
                </c:pt>
                <c:pt idx="18">
                  <c:v>0.18453559448662871</c:v>
                </c:pt>
                <c:pt idx="19">
                  <c:v>0.21639775380201298</c:v>
                </c:pt>
                <c:pt idx="20">
                  <c:v>0.25613162807393675</c:v>
                </c:pt>
                <c:pt idx="21">
                  <c:v>0.30277590921120301</c:v>
                </c:pt>
                <c:pt idx="22">
                  <c:v>0.35514456006279094</c:v>
                </c:pt>
                <c:pt idx="23">
                  <c:v>0.41185302196246409</c:v>
                </c:pt>
                <c:pt idx="24">
                  <c:v>0.47136717247300775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</c:ser>
        <c:ser>
          <c:idx val="8"/>
          <c:order val="8"/>
          <c:tx>
            <c:strRef>
              <c:f>'Base(c)'!$AL$40</c:f>
              <c:strCache>
                <c:ptCount val="1"/>
                <c:pt idx="0">
                  <c:v>Early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'Base(c)'!$AL$41:$AL$69</c:f>
              <c:numCache>
                <c:formatCode>General</c:formatCode>
                <c:ptCount val="29"/>
                <c:pt idx="0">
                  <c:v>-0.30499999999999999</c:v>
                </c:pt>
                <c:pt idx="1">
                  <c:v>-0.255</c:v>
                </c:pt>
                <c:pt idx="2">
                  <c:v>-0.20500000000000002</c:v>
                </c:pt>
                <c:pt idx="3">
                  <c:v>-0.15500000000000003</c:v>
                </c:pt>
                <c:pt idx="4">
                  <c:v>-0.10500000000000001</c:v>
                </c:pt>
                <c:pt idx="5">
                  <c:v>-5.5E-2</c:v>
                </c:pt>
                <c:pt idx="6">
                  <c:v>-4.9999999999999975E-3</c:v>
                </c:pt>
                <c:pt idx="7">
                  <c:v>4.5000000000000005E-2</c:v>
                </c:pt>
                <c:pt idx="8">
                  <c:v>9.5000000000000029E-2</c:v>
                </c:pt>
                <c:pt idx="9">
                  <c:v>0.14500000000000002</c:v>
                </c:pt>
                <c:pt idx="10">
                  <c:v>0.19500000000000001</c:v>
                </c:pt>
                <c:pt idx="11">
                  <c:v>0.245</c:v>
                </c:pt>
                <c:pt idx="12">
                  <c:v>0.29499999999999998</c:v>
                </c:pt>
                <c:pt idx="13">
                  <c:v>0.34499999999999997</c:v>
                </c:pt>
                <c:pt idx="14">
                  <c:v>0.39499999999999996</c:v>
                </c:pt>
                <c:pt idx="15">
                  <c:v>0.44499999999999995</c:v>
                </c:pt>
                <c:pt idx="16">
                  <c:v>0.49499999999999994</c:v>
                </c:pt>
                <c:pt idx="17">
                  <c:v>0.54499999999999993</c:v>
                </c:pt>
                <c:pt idx="18">
                  <c:v>0.59499999999999997</c:v>
                </c:pt>
                <c:pt idx="19">
                  <c:v>0.64500000000000002</c:v>
                </c:pt>
                <c:pt idx="20">
                  <c:v>0.69500000000000006</c:v>
                </c:pt>
                <c:pt idx="21">
                  <c:v>0.74500000000000011</c:v>
                </c:pt>
                <c:pt idx="22">
                  <c:v>0.79500000000000015</c:v>
                </c:pt>
                <c:pt idx="23">
                  <c:v>0.8450000000000002</c:v>
                </c:pt>
                <c:pt idx="24">
                  <c:v>0.89500000000000024</c:v>
                </c:pt>
                <c:pt idx="25">
                  <c:v>0.94500000000000017</c:v>
                </c:pt>
                <c:pt idx="26">
                  <c:v>0.99500000000000022</c:v>
                </c:pt>
                <c:pt idx="27">
                  <c:v>1.0450000000000004</c:v>
                </c:pt>
                <c:pt idx="28">
                  <c:v>1.0950000000000004</c:v>
                </c:pt>
              </c:numCache>
            </c:numRef>
          </c:xVal>
          <c:yVal>
            <c:numRef>
              <c:f>'Base(c)'!$AF$41:$AF$69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0.5286328275269927</c:v>
                </c:pt>
                <c:pt idx="7">
                  <c:v>0.58814697803753613</c:v>
                </c:pt>
                <c:pt idx="8">
                  <c:v>0.64485543993720951</c:v>
                </c:pt>
                <c:pt idx="9">
                  <c:v>0.69722409078879721</c:v>
                </c:pt>
                <c:pt idx="10">
                  <c:v>0.74386837192606348</c:v>
                </c:pt>
                <c:pt idx="11">
                  <c:v>0.78360224619798702</c:v>
                </c:pt>
                <c:pt idx="12">
                  <c:v>0.81546440551337129</c:v>
                </c:pt>
                <c:pt idx="13">
                  <c:v>0.83872530138019963</c:v>
                </c:pt>
                <c:pt idx="14">
                  <c:v>0.85287864441415473</c:v>
                </c:pt>
                <c:pt idx="15">
                  <c:v>0.85762876325569537</c:v>
                </c:pt>
                <c:pt idx="16">
                  <c:v>0.85287864441415473</c:v>
                </c:pt>
                <c:pt idx="17">
                  <c:v>0.83872530138019963</c:v>
                </c:pt>
                <c:pt idx="18">
                  <c:v>0.81546440551337129</c:v>
                </c:pt>
                <c:pt idx="19">
                  <c:v>0.78360224619798702</c:v>
                </c:pt>
                <c:pt idx="20">
                  <c:v>0.74386837192606325</c:v>
                </c:pt>
                <c:pt idx="21">
                  <c:v>0.69722409078879699</c:v>
                </c:pt>
                <c:pt idx="22">
                  <c:v>0.64485543993720906</c:v>
                </c:pt>
                <c:pt idx="23">
                  <c:v>0.58814697803753591</c:v>
                </c:pt>
                <c:pt idx="24">
                  <c:v>0.52863282752699225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</c:ser>
        <c:ser>
          <c:idx val="9"/>
          <c:order val="9"/>
          <c:tx>
            <c:strRef>
              <c:f>'Base(c)'!$AO$40</c:f>
              <c:strCache>
                <c:ptCount val="1"/>
                <c:pt idx="0">
                  <c:v>Eye mask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'Base(c)'!$AN$41:$AN$47</c:f>
              <c:numCache>
                <c:formatCode>General</c:formatCode>
                <c:ptCount val="7"/>
                <c:pt idx="0">
                  <c:v>0.3</c:v>
                </c:pt>
                <c:pt idx="1">
                  <c:v>0.4</c:v>
                </c:pt>
                <c:pt idx="2">
                  <c:v>0.6</c:v>
                </c:pt>
                <c:pt idx="3">
                  <c:v>0.7</c:v>
                </c:pt>
                <c:pt idx="4">
                  <c:v>0.6</c:v>
                </c:pt>
                <c:pt idx="5">
                  <c:v>0.4</c:v>
                </c:pt>
                <c:pt idx="6">
                  <c:v>0.3</c:v>
                </c:pt>
              </c:numCache>
            </c:numRef>
          </c:xVal>
          <c:yVal>
            <c:numRef>
              <c:f>'Base(c)'!$AO$41:$AO$47</c:f>
              <c:numCache>
                <c:formatCode>General</c:formatCode>
                <c:ptCount val="7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  <c:pt idx="3">
                  <c:v>0.5</c:v>
                </c:pt>
                <c:pt idx="4">
                  <c:v>0.75</c:v>
                </c:pt>
                <c:pt idx="5">
                  <c:v>0.75</c:v>
                </c:pt>
                <c:pt idx="6">
                  <c:v>0.5</c:v>
                </c:pt>
              </c:numCache>
            </c:numRef>
          </c:yVal>
        </c:ser>
        <c:ser>
          <c:idx val="10"/>
          <c:order val="10"/>
          <c:tx>
            <c:strRef>
              <c:f>'Base(c)'!$AM$40</c:f>
              <c:strCache>
                <c:ptCount val="1"/>
                <c:pt idx="0">
                  <c:v>Late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'Base(c)'!$AM$41:$AM$69</c:f>
              <c:numCache>
                <c:formatCode>General</c:formatCode>
                <c:ptCount val="29"/>
                <c:pt idx="0">
                  <c:v>-0.19500000000000001</c:v>
                </c:pt>
                <c:pt idx="1">
                  <c:v>-0.14500000000000002</c:v>
                </c:pt>
                <c:pt idx="2">
                  <c:v>-9.5000000000000029E-2</c:v>
                </c:pt>
                <c:pt idx="3">
                  <c:v>-4.5000000000000019E-2</c:v>
                </c:pt>
                <c:pt idx="4">
                  <c:v>4.9999999999999836E-3</c:v>
                </c:pt>
                <c:pt idx="5">
                  <c:v>5.5E-2</c:v>
                </c:pt>
                <c:pt idx="6">
                  <c:v>0.10500000000000001</c:v>
                </c:pt>
                <c:pt idx="7">
                  <c:v>0.155</c:v>
                </c:pt>
                <c:pt idx="8">
                  <c:v>0.20500000000000002</c:v>
                </c:pt>
                <c:pt idx="9">
                  <c:v>0.255</c:v>
                </c:pt>
                <c:pt idx="10">
                  <c:v>0.30499999999999999</c:v>
                </c:pt>
                <c:pt idx="11">
                  <c:v>0.35499999999999998</c:v>
                </c:pt>
                <c:pt idx="12">
                  <c:v>0.40499999999999997</c:v>
                </c:pt>
                <c:pt idx="13">
                  <c:v>0.45499999999999996</c:v>
                </c:pt>
                <c:pt idx="14">
                  <c:v>0.505</c:v>
                </c:pt>
                <c:pt idx="15">
                  <c:v>0.55499999999999994</c:v>
                </c:pt>
                <c:pt idx="16">
                  <c:v>0.60499999999999998</c:v>
                </c:pt>
                <c:pt idx="17">
                  <c:v>0.65500000000000003</c:v>
                </c:pt>
                <c:pt idx="18">
                  <c:v>0.70500000000000007</c:v>
                </c:pt>
                <c:pt idx="19">
                  <c:v>0.75500000000000012</c:v>
                </c:pt>
                <c:pt idx="20">
                  <c:v>0.80500000000000016</c:v>
                </c:pt>
                <c:pt idx="21">
                  <c:v>0.8550000000000002</c:v>
                </c:pt>
                <c:pt idx="22">
                  <c:v>0.90500000000000025</c:v>
                </c:pt>
                <c:pt idx="23">
                  <c:v>0.95500000000000029</c:v>
                </c:pt>
                <c:pt idx="24">
                  <c:v>1.0050000000000003</c:v>
                </c:pt>
                <c:pt idx="25">
                  <c:v>1.0550000000000002</c:v>
                </c:pt>
                <c:pt idx="26">
                  <c:v>1.1050000000000002</c:v>
                </c:pt>
                <c:pt idx="27">
                  <c:v>1.1550000000000002</c:v>
                </c:pt>
                <c:pt idx="28">
                  <c:v>1.2050000000000003</c:v>
                </c:pt>
              </c:numCache>
            </c:numRef>
          </c:xVal>
          <c:yVal>
            <c:numRef>
              <c:f>'Base(c)'!$AF$41:$AF$69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0.5286328275269927</c:v>
                </c:pt>
                <c:pt idx="7">
                  <c:v>0.58814697803753613</c:v>
                </c:pt>
                <c:pt idx="8">
                  <c:v>0.64485543993720951</c:v>
                </c:pt>
                <c:pt idx="9">
                  <c:v>0.69722409078879721</c:v>
                </c:pt>
                <c:pt idx="10">
                  <c:v>0.74386837192606348</c:v>
                </c:pt>
                <c:pt idx="11">
                  <c:v>0.78360224619798702</c:v>
                </c:pt>
                <c:pt idx="12">
                  <c:v>0.81546440551337129</c:v>
                </c:pt>
                <c:pt idx="13">
                  <c:v>0.83872530138019963</c:v>
                </c:pt>
                <c:pt idx="14">
                  <c:v>0.85287864441415473</c:v>
                </c:pt>
                <c:pt idx="15">
                  <c:v>0.85762876325569537</c:v>
                </c:pt>
                <c:pt idx="16">
                  <c:v>0.85287864441415473</c:v>
                </c:pt>
                <c:pt idx="17">
                  <c:v>0.83872530138019963</c:v>
                </c:pt>
                <c:pt idx="18">
                  <c:v>0.81546440551337129</c:v>
                </c:pt>
                <c:pt idx="19">
                  <c:v>0.78360224619798702</c:v>
                </c:pt>
                <c:pt idx="20">
                  <c:v>0.74386837192606325</c:v>
                </c:pt>
                <c:pt idx="21">
                  <c:v>0.69722409078879699</c:v>
                </c:pt>
                <c:pt idx="22">
                  <c:v>0.64485543993720906</c:v>
                </c:pt>
                <c:pt idx="23">
                  <c:v>0.58814697803753591</c:v>
                </c:pt>
                <c:pt idx="24">
                  <c:v>0.52863282752699225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</c:ser>
        <c:ser>
          <c:idx val="11"/>
          <c:order val="11"/>
          <c:tx>
            <c:strRef>
              <c:f>'Base(c)'!$AL$40</c:f>
              <c:strCache>
                <c:ptCount val="1"/>
                <c:pt idx="0">
                  <c:v>Early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'Base(c)'!$AL$41:$AL$69</c:f>
              <c:numCache>
                <c:formatCode>General</c:formatCode>
                <c:ptCount val="29"/>
                <c:pt idx="0">
                  <c:v>-0.30499999999999999</c:v>
                </c:pt>
                <c:pt idx="1">
                  <c:v>-0.255</c:v>
                </c:pt>
                <c:pt idx="2">
                  <c:v>-0.20500000000000002</c:v>
                </c:pt>
                <c:pt idx="3">
                  <c:v>-0.15500000000000003</c:v>
                </c:pt>
                <c:pt idx="4">
                  <c:v>-0.10500000000000001</c:v>
                </c:pt>
                <c:pt idx="5">
                  <c:v>-5.5E-2</c:v>
                </c:pt>
                <c:pt idx="6">
                  <c:v>-4.9999999999999975E-3</c:v>
                </c:pt>
                <c:pt idx="7">
                  <c:v>4.5000000000000005E-2</c:v>
                </c:pt>
                <c:pt idx="8">
                  <c:v>9.5000000000000029E-2</c:v>
                </c:pt>
                <c:pt idx="9">
                  <c:v>0.14500000000000002</c:v>
                </c:pt>
                <c:pt idx="10">
                  <c:v>0.19500000000000001</c:v>
                </c:pt>
                <c:pt idx="11">
                  <c:v>0.245</c:v>
                </c:pt>
                <c:pt idx="12">
                  <c:v>0.29499999999999998</c:v>
                </c:pt>
                <c:pt idx="13">
                  <c:v>0.34499999999999997</c:v>
                </c:pt>
                <c:pt idx="14">
                  <c:v>0.39499999999999996</c:v>
                </c:pt>
                <c:pt idx="15">
                  <c:v>0.44499999999999995</c:v>
                </c:pt>
                <c:pt idx="16">
                  <c:v>0.49499999999999994</c:v>
                </c:pt>
                <c:pt idx="17">
                  <c:v>0.54499999999999993</c:v>
                </c:pt>
                <c:pt idx="18">
                  <c:v>0.59499999999999997</c:v>
                </c:pt>
                <c:pt idx="19">
                  <c:v>0.64500000000000002</c:v>
                </c:pt>
                <c:pt idx="20">
                  <c:v>0.69500000000000006</c:v>
                </c:pt>
                <c:pt idx="21">
                  <c:v>0.74500000000000011</c:v>
                </c:pt>
                <c:pt idx="22">
                  <c:v>0.79500000000000015</c:v>
                </c:pt>
                <c:pt idx="23">
                  <c:v>0.8450000000000002</c:v>
                </c:pt>
                <c:pt idx="24">
                  <c:v>0.89500000000000024</c:v>
                </c:pt>
                <c:pt idx="25">
                  <c:v>0.94500000000000017</c:v>
                </c:pt>
                <c:pt idx="26">
                  <c:v>0.99500000000000022</c:v>
                </c:pt>
                <c:pt idx="27">
                  <c:v>1.0450000000000004</c:v>
                </c:pt>
                <c:pt idx="28">
                  <c:v>1.0950000000000004</c:v>
                </c:pt>
              </c:numCache>
            </c:numRef>
          </c:xVal>
          <c:yVal>
            <c:numRef>
              <c:f>'Base(c)'!$AI$41:$AI$69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0.4713671724730073</c:v>
                </c:pt>
                <c:pt idx="7">
                  <c:v>0.41185302196246387</c:v>
                </c:pt>
                <c:pt idx="8">
                  <c:v>0.35514456006279049</c:v>
                </c:pt>
                <c:pt idx="9">
                  <c:v>0.30277590921120279</c:v>
                </c:pt>
                <c:pt idx="10">
                  <c:v>0.25613162807393652</c:v>
                </c:pt>
                <c:pt idx="11">
                  <c:v>0.21639775380201298</c:v>
                </c:pt>
                <c:pt idx="12">
                  <c:v>0.18453559448662871</c:v>
                </c:pt>
                <c:pt idx="13">
                  <c:v>0.16127469861980037</c:v>
                </c:pt>
                <c:pt idx="14">
                  <c:v>0.14712135558584527</c:v>
                </c:pt>
                <c:pt idx="15">
                  <c:v>0.14237123674430463</c:v>
                </c:pt>
                <c:pt idx="16">
                  <c:v>0.14712135558584527</c:v>
                </c:pt>
                <c:pt idx="17">
                  <c:v>0.16127469861980037</c:v>
                </c:pt>
                <c:pt idx="18">
                  <c:v>0.18453559448662871</c:v>
                </c:pt>
                <c:pt idx="19">
                  <c:v>0.21639775380201298</c:v>
                </c:pt>
                <c:pt idx="20">
                  <c:v>0.25613162807393675</c:v>
                </c:pt>
                <c:pt idx="21">
                  <c:v>0.30277590921120301</c:v>
                </c:pt>
                <c:pt idx="22">
                  <c:v>0.35514456006279094</c:v>
                </c:pt>
                <c:pt idx="23">
                  <c:v>0.41185302196246409</c:v>
                </c:pt>
                <c:pt idx="24">
                  <c:v>0.47136717247300775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</c:ser>
        <c:ser>
          <c:idx val="12"/>
          <c:order val="12"/>
          <c:tx>
            <c:strRef>
              <c:f>'Base(c)'!$AM$40</c:f>
              <c:strCache>
                <c:ptCount val="1"/>
                <c:pt idx="0">
                  <c:v>Late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'Base(c)'!$AM$41:$AM$69</c:f>
              <c:numCache>
                <c:formatCode>General</c:formatCode>
                <c:ptCount val="29"/>
                <c:pt idx="0">
                  <c:v>-0.19500000000000001</c:v>
                </c:pt>
                <c:pt idx="1">
                  <c:v>-0.14500000000000002</c:v>
                </c:pt>
                <c:pt idx="2">
                  <c:v>-9.5000000000000029E-2</c:v>
                </c:pt>
                <c:pt idx="3">
                  <c:v>-4.5000000000000019E-2</c:v>
                </c:pt>
                <c:pt idx="4">
                  <c:v>4.9999999999999836E-3</c:v>
                </c:pt>
                <c:pt idx="5">
                  <c:v>5.5E-2</c:v>
                </c:pt>
                <c:pt idx="6">
                  <c:v>0.10500000000000001</c:v>
                </c:pt>
                <c:pt idx="7">
                  <c:v>0.155</c:v>
                </c:pt>
                <c:pt idx="8">
                  <c:v>0.20500000000000002</c:v>
                </c:pt>
                <c:pt idx="9">
                  <c:v>0.255</c:v>
                </c:pt>
                <c:pt idx="10">
                  <c:v>0.30499999999999999</c:v>
                </c:pt>
                <c:pt idx="11">
                  <c:v>0.35499999999999998</c:v>
                </c:pt>
                <c:pt idx="12">
                  <c:v>0.40499999999999997</c:v>
                </c:pt>
                <c:pt idx="13">
                  <c:v>0.45499999999999996</c:v>
                </c:pt>
                <c:pt idx="14">
                  <c:v>0.505</c:v>
                </c:pt>
                <c:pt idx="15">
                  <c:v>0.55499999999999994</c:v>
                </c:pt>
                <c:pt idx="16">
                  <c:v>0.60499999999999998</c:v>
                </c:pt>
                <c:pt idx="17">
                  <c:v>0.65500000000000003</c:v>
                </c:pt>
                <c:pt idx="18">
                  <c:v>0.70500000000000007</c:v>
                </c:pt>
                <c:pt idx="19">
                  <c:v>0.75500000000000012</c:v>
                </c:pt>
                <c:pt idx="20">
                  <c:v>0.80500000000000016</c:v>
                </c:pt>
                <c:pt idx="21">
                  <c:v>0.8550000000000002</c:v>
                </c:pt>
                <c:pt idx="22">
                  <c:v>0.90500000000000025</c:v>
                </c:pt>
                <c:pt idx="23">
                  <c:v>0.95500000000000029</c:v>
                </c:pt>
                <c:pt idx="24">
                  <c:v>1.0050000000000003</c:v>
                </c:pt>
                <c:pt idx="25">
                  <c:v>1.0550000000000002</c:v>
                </c:pt>
                <c:pt idx="26">
                  <c:v>1.1050000000000002</c:v>
                </c:pt>
                <c:pt idx="27">
                  <c:v>1.1550000000000002</c:v>
                </c:pt>
                <c:pt idx="28">
                  <c:v>1.2050000000000003</c:v>
                </c:pt>
              </c:numCache>
            </c:numRef>
          </c:xVal>
          <c:yVal>
            <c:numRef>
              <c:f>'Base(c)'!$AI$41:$AI$69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0.4713671724730073</c:v>
                </c:pt>
                <c:pt idx="7">
                  <c:v>0.41185302196246387</c:v>
                </c:pt>
                <c:pt idx="8">
                  <c:v>0.35514456006279049</c:v>
                </c:pt>
                <c:pt idx="9">
                  <c:v>0.30277590921120279</c:v>
                </c:pt>
                <c:pt idx="10">
                  <c:v>0.25613162807393652</c:v>
                </c:pt>
                <c:pt idx="11">
                  <c:v>0.21639775380201298</c:v>
                </c:pt>
                <c:pt idx="12">
                  <c:v>0.18453559448662871</c:v>
                </c:pt>
                <c:pt idx="13">
                  <c:v>0.16127469861980037</c:v>
                </c:pt>
                <c:pt idx="14">
                  <c:v>0.14712135558584527</c:v>
                </c:pt>
                <c:pt idx="15">
                  <c:v>0.14237123674430463</c:v>
                </c:pt>
                <c:pt idx="16">
                  <c:v>0.14712135558584527</c:v>
                </c:pt>
                <c:pt idx="17">
                  <c:v>0.16127469861980037</c:v>
                </c:pt>
                <c:pt idx="18">
                  <c:v>0.18453559448662871</c:v>
                </c:pt>
                <c:pt idx="19">
                  <c:v>0.21639775380201298</c:v>
                </c:pt>
                <c:pt idx="20">
                  <c:v>0.25613162807393675</c:v>
                </c:pt>
                <c:pt idx="21">
                  <c:v>0.30277590921120301</c:v>
                </c:pt>
                <c:pt idx="22">
                  <c:v>0.35514456006279094</c:v>
                </c:pt>
                <c:pt idx="23">
                  <c:v>0.41185302196246409</c:v>
                </c:pt>
                <c:pt idx="24">
                  <c:v>0.47136717247300775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</c:ser>
        <c:ser>
          <c:idx val="13"/>
          <c:order val="13"/>
          <c:tx>
            <c:strRef>
              <c:f>'Base(c)'!$AT$39:$AT$40</c:f>
              <c:strCache>
                <c:ptCount val="1"/>
                <c:pt idx="0">
                  <c:v>Txvr/link oio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'Base(c)'!$AL$55:$AL$69</c:f>
              <c:numCache>
                <c:formatCode>General</c:formatCode>
                <c:ptCount val="15"/>
                <c:pt idx="0">
                  <c:v>0.39499999999999996</c:v>
                </c:pt>
                <c:pt idx="1">
                  <c:v>0.44499999999999995</c:v>
                </c:pt>
                <c:pt idx="2">
                  <c:v>0.49499999999999994</c:v>
                </c:pt>
                <c:pt idx="3">
                  <c:v>0.54499999999999993</c:v>
                </c:pt>
                <c:pt idx="4">
                  <c:v>0.59499999999999997</c:v>
                </c:pt>
                <c:pt idx="5">
                  <c:v>0.64500000000000002</c:v>
                </c:pt>
                <c:pt idx="6">
                  <c:v>0.69500000000000006</c:v>
                </c:pt>
                <c:pt idx="7">
                  <c:v>0.74500000000000011</c:v>
                </c:pt>
                <c:pt idx="8">
                  <c:v>0.79500000000000015</c:v>
                </c:pt>
                <c:pt idx="9">
                  <c:v>0.8450000000000002</c:v>
                </c:pt>
                <c:pt idx="10">
                  <c:v>0.89500000000000024</c:v>
                </c:pt>
                <c:pt idx="11">
                  <c:v>0.94500000000000017</c:v>
                </c:pt>
                <c:pt idx="12">
                  <c:v>0.99500000000000022</c:v>
                </c:pt>
                <c:pt idx="13">
                  <c:v>1.0450000000000004</c:v>
                </c:pt>
                <c:pt idx="14">
                  <c:v>1.0950000000000004</c:v>
                </c:pt>
              </c:numCache>
            </c:numRef>
          </c:xVal>
          <c:yVal>
            <c:numRef>
              <c:f>'Base(c)'!$AT$55:$AT$69</c:f>
              <c:numCache>
                <c:formatCode>0%</c:formatCode>
                <c:ptCount val="15"/>
                <c:pt idx="0">
                  <c:v>0.84351092595446842</c:v>
                </c:pt>
                <c:pt idx="1">
                  <c:v>0.84816177590074737</c:v>
                </c:pt>
                <c:pt idx="2">
                  <c:v>0.84351092595446842</c:v>
                </c:pt>
                <c:pt idx="3">
                  <c:v>0.82965922755077037</c:v>
                </c:pt>
                <c:pt idx="4">
                  <c:v>0.80691212111305965</c:v>
                </c:pt>
                <c:pt idx="5">
                  <c:v>0.7757859186320073</c:v>
                </c:pt>
                <c:pt idx="6">
                  <c:v>0.73701494218847685</c:v>
                </c:pt>
                <c:pt idx="7">
                  <c:v>0.69155151272672288</c:v>
                </c:pt>
                <c:pt idx="8">
                  <c:v>0.64055414385357423</c:v>
                </c:pt>
                <c:pt idx="9">
                  <c:v>0.58535887772428374</c:v>
                </c:pt>
                <c:pt idx="10">
                  <c:v>0.52743198066615737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14"/>
          <c:order val="14"/>
          <c:tx>
            <c:strRef>
              <c:f>'Base(c)'!$AT$39:$AT$40</c:f>
              <c:strCache>
                <c:ptCount val="1"/>
                <c:pt idx="0">
                  <c:v>Txvr/link oio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'Base(c)'!$AM$43:$AM$57</c:f>
              <c:numCache>
                <c:formatCode>General</c:formatCode>
                <c:ptCount val="15"/>
                <c:pt idx="0">
                  <c:v>-9.5000000000000029E-2</c:v>
                </c:pt>
                <c:pt idx="1">
                  <c:v>-4.5000000000000019E-2</c:v>
                </c:pt>
                <c:pt idx="2">
                  <c:v>4.9999999999999836E-3</c:v>
                </c:pt>
                <c:pt idx="3">
                  <c:v>5.5E-2</c:v>
                </c:pt>
                <c:pt idx="4">
                  <c:v>0.10500000000000001</c:v>
                </c:pt>
                <c:pt idx="5">
                  <c:v>0.155</c:v>
                </c:pt>
                <c:pt idx="6">
                  <c:v>0.20500000000000002</c:v>
                </c:pt>
                <c:pt idx="7">
                  <c:v>0.255</c:v>
                </c:pt>
                <c:pt idx="8">
                  <c:v>0.30499999999999999</c:v>
                </c:pt>
                <c:pt idx="9">
                  <c:v>0.35499999999999998</c:v>
                </c:pt>
                <c:pt idx="10">
                  <c:v>0.40499999999999997</c:v>
                </c:pt>
                <c:pt idx="11">
                  <c:v>0.45499999999999996</c:v>
                </c:pt>
                <c:pt idx="12">
                  <c:v>0.505</c:v>
                </c:pt>
                <c:pt idx="13">
                  <c:v>0.55499999999999994</c:v>
                </c:pt>
                <c:pt idx="14">
                  <c:v>0.60499999999999998</c:v>
                </c:pt>
              </c:numCache>
            </c:numRef>
          </c:xVal>
          <c:yVal>
            <c:numRef>
              <c:f>'Base(c)'!$AT$43:$AT$57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0.5274319806661576</c:v>
                </c:pt>
                <c:pt idx="5">
                  <c:v>0.58535887772428397</c:v>
                </c:pt>
                <c:pt idx="6">
                  <c:v>0.64055414385357445</c:v>
                </c:pt>
                <c:pt idx="7">
                  <c:v>0.69155151272672288</c:v>
                </c:pt>
                <c:pt idx="8">
                  <c:v>0.73701494218847707</c:v>
                </c:pt>
                <c:pt idx="9">
                  <c:v>0.7757859186320073</c:v>
                </c:pt>
                <c:pt idx="10">
                  <c:v>0.80691212111305965</c:v>
                </c:pt>
                <c:pt idx="11">
                  <c:v>0.82965922755077037</c:v>
                </c:pt>
                <c:pt idx="12">
                  <c:v>0.84351092595446842</c:v>
                </c:pt>
                <c:pt idx="13">
                  <c:v>0.84816177590074737</c:v>
                </c:pt>
                <c:pt idx="14">
                  <c:v>0.84351092595446842</c:v>
                </c:pt>
              </c:numCache>
            </c:numRef>
          </c:yVal>
        </c:ser>
        <c:ser>
          <c:idx val="15"/>
          <c:order val="15"/>
          <c:tx>
            <c:strRef>
              <c:f>'Base(c)'!$AW$39:$AW$40</c:f>
              <c:strCache>
                <c:ptCount val="1"/>
                <c:pt idx="0">
                  <c:v>Txvr/link ioi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'Base(c)'!$AL$55:$AL$69</c:f>
              <c:numCache>
                <c:formatCode>General</c:formatCode>
                <c:ptCount val="15"/>
                <c:pt idx="0">
                  <c:v>0.39499999999999996</c:v>
                </c:pt>
                <c:pt idx="1">
                  <c:v>0.44499999999999995</c:v>
                </c:pt>
                <c:pt idx="2">
                  <c:v>0.49499999999999994</c:v>
                </c:pt>
                <c:pt idx="3">
                  <c:v>0.54499999999999993</c:v>
                </c:pt>
                <c:pt idx="4">
                  <c:v>0.59499999999999997</c:v>
                </c:pt>
                <c:pt idx="5">
                  <c:v>0.64500000000000002</c:v>
                </c:pt>
                <c:pt idx="6">
                  <c:v>0.69500000000000006</c:v>
                </c:pt>
                <c:pt idx="7">
                  <c:v>0.74500000000000011</c:v>
                </c:pt>
                <c:pt idx="8">
                  <c:v>0.79500000000000015</c:v>
                </c:pt>
                <c:pt idx="9">
                  <c:v>0.8450000000000002</c:v>
                </c:pt>
                <c:pt idx="10">
                  <c:v>0.89500000000000024</c:v>
                </c:pt>
                <c:pt idx="11">
                  <c:v>0.94500000000000017</c:v>
                </c:pt>
                <c:pt idx="12">
                  <c:v>0.99500000000000022</c:v>
                </c:pt>
                <c:pt idx="13">
                  <c:v>1.0450000000000004</c:v>
                </c:pt>
                <c:pt idx="14">
                  <c:v>1.0950000000000004</c:v>
                </c:pt>
              </c:numCache>
            </c:numRef>
          </c:xVal>
          <c:yVal>
            <c:numRef>
              <c:f>'Base(c)'!$AW$55:$AW$69</c:f>
              <c:numCache>
                <c:formatCode>0%</c:formatCode>
                <c:ptCount val="15"/>
                <c:pt idx="0">
                  <c:v>0.15648907404553158</c:v>
                </c:pt>
                <c:pt idx="1">
                  <c:v>0.15183822409925263</c:v>
                </c:pt>
                <c:pt idx="2">
                  <c:v>0.15648907404553158</c:v>
                </c:pt>
                <c:pt idx="3">
                  <c:v>0.17034077244922963</c:v>
                </c:pt>
                <c:pt idx="4">
                  <c:v>0.19308787888694035</c:v>
                </c:pt>
                <c:pt idx="5">
                  <c:v>0.2242140813679927</c:v>
                </c:pt>
                <c:pt idx="6">
                  <c:v>0.26298505781152315</c:v>
                </c:pt>
                <c:pt idx="7">
                  <c:v>0.30844848727327712</c:v>
                </c:pt>
                <c:pt idx="8">
                  <c:v>0.35944585614642577</c:v>
                </c:pt>
                <c:pt idx="9">
                  <c:v>0.41464112227571626</c:v>
                </c:pt>
                <c:pt idx="10">
                  <c:v>0.47256801933384263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16"/>
          <c:order val="16"/>
          <c:tx>
            <c:strRef>
              <c:f>'Base(c)'!$AW$39:$AW$40</c:f>
              <c:strCache>
                <c:ptCount val="1"/>
                <c:pt idx="0">
                  <c:v>Txvr/link ioi</c:v>
                </c:pt>
              </c:strCache>
            </c:strRef>
          </c:tx>
          <c:spPr>
            <a:ln w="25400">
              <a:solidFill>
                <a:srgbClr val="3366FF"/>
              </a:solidFill>
              <a:prstDash val="lgDash"/>
            </a:ln>
          </c:spPr>
          <c:marker>
            <c:symbol val="none"/>
          </c:marker>
          <c:xVal>
            <c:numRef>
              <c:f>'Base(c)'!$AM$43:$AM$57</c:f>
              <c:numCache>
                <c:formatCode>General</c:formatCode>
                <c:ptCount val="15"/>
                <c:pt idx="0">
                  <c:v>-9.5000000000000029E-2</c:v>
                </c:pt>
                <c:pt idx="1">
                  <c:v>-4.5000000000000019E-2</c:v>
                </c:pt>
                <c:pt idx="2">
                  <c:v>4.9999999999999836E-3</c:v>
                </c:pt>
                <c:pt idx="3">
                  <c:v>5.5E-2</c:v>
                </c:pt>
                <c:pt idx="4">
                  <c:v>0.10500000000000001</c:v>
                </c:pt>
                <c:pt idx="5">
                  <c:v>0.155</c:v>
                </c:pt>
                <c:pt idx="6">
                  <c:v>0.20500000000000002</c:v>
                </c:pt>
                <c:pt idx="7">
                  <c:v>0.255</c:v>
                </c:pt>
                <c:pt idx="8">
                  <c:v>0.30499999999999999</c:v>
                </c:pt>
                <c:pt idx="9">
                  <c:v>0.35499999999999998</c:v>
                </c:pt>
                <c:pt idx="10">
                  <c:v>0.40499999999999997</c:v>
                </c:pt>
                <c:pt idx="11">
                  <c:v>0.45499999999999996</c:v>
                </c:pt>
                <c:pt idx="12">
                  <c:v>0.505</c:v>
                </c:pt>
                <c:pt idx="13">
                  <c:v>0.55499999999999994</c:v>
                </c:pt>
                <c:pt idx="14">
                  <c:v>0.60499999999999998</c:v>
                </c:pt>
              </c:numCache>
            </c:numRef>
          </c:xVal>
          <c:yVal>
            <c:numRef>
              <c:f>'Base(c)'!$AW$43:$AW$57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0.4725680193338424</c:v>
                </c:pt>
                <c:pt idx="5">
                  <c:v>0.41464112227571603</c:v>
                </c:pt>
                <c:pt idx="6">
                  <c:v>0.35944585614642555</c:v>
                </c:pt>
                <c:pt idx="7">
                  <c:v>0.30844848727327712</c:v>
                </c:pt>
                <c:pt idx="8">
                  <c:v>0.26298505781152293</c:v>
                </c:pt>
                <c:pt idx="9">
                  <c:v>0.2242140813679927</c:v>
                </c:pt>
                <c:pt idx="10">
                  <c:v>0.19308787888694035</c:v>
                </c:pt>
                <c:pt idx="11">
                  <c:v>0.17034077244922963</c:v>
                </c:pt>
                <c:pt idx="12">
                  <c:v>0.15648907404553158</c:v>
                </c:pt>
                <c:pt idx="13">
                  <c:v>0.15183822409925263</c:v>
                </c:pt>
                <c:pt idx="14">
                  <c:v>0.15648907404553158</c:v>
                </c:pt>
              </c:numCache>
            </c:numRef>
          </c:yVal>
        </c:ser>
        <c:ser>
          <c:idx val="17"/>
          <c:order val="17"/>
          <c:tx>
            <c:strRef>
              <c:f>'Base(c)'!$AI$8</c:f>
              <c:strCache>
                <c:ptCount val="1"/>
                <c:pt idx="0">
                  <c:v>3.6 dB ISI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ash"/>
            <c:size val="10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'Base(c)'!$AJ$8:$AJ$9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'Base(c)'!$AK$8:$AK$9</c:f>
              <c:numCache>
                <c:formatCode>0.00</c:formatCode>
                <c:ptCount val="2"/>
                <c:pt idx="0">
                  <c:v>0.71825791612008294</c:v>
                </c:pt>
                <c:pt idx="1">
                  <c:v>0.28174208387991706</c:v>
                </c:pt>
              </c:numCache>
            </c:numRef>
          </c:yVal>
        </c:ser>
        <c:axId val="94055424"/>
        <c:axId val="94078464"/>
      </c:scatterChart>
      <c:valAx>
        <c:axId val="94055424"/>
        <c:scaling>
          <c:orientation val="minMax"/>
          <c:max val="1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(UI)</a:t>
                </a:r>
              </a:p>
            </c:rich>
          </c:tx>
          <c:layout>
            <c:manualLayout>
              <c:xMode val="edge"/>
              <c:yMode val="edge"/>
              <c:x val="0.47008677797470499"/>
              <c:y val="0.906978215483245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078464"/>
        <c:crosses val="autoZero"/>
        <c:crossBetween val="midCat"/>
      </c:valAx>
      <c:valAx>
        <c:axId val="94078464"/>
        <c:scaling>
          <c:orientation val="minMax"/>
          <c:max val="1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0554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55" r="0.7500000000000045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Power penalties vs. distance</a:t>
            </a:r>
          </a:p>
        </c:rich>
      </c:tx>
      <c:layout>
        <c:manualLayout>
          <c:xMode val="edge"/>
          <c:yMode val="edge"/>
          <c:x val="0.35599315532161518"/>
          <c:y val="3.654490978137639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33461969495936"/>
          <c:y val="0.11960152292086752"/>
          <c:w val="0.6118073322612686"/>
          <c:h val="0.69767555037173046"/>
        </c:manualLayout>
      </c:layout>
      <c:scatterChart>
        <c:scatterStyle val="lineMarker"/>
        <c:ser>
          <c:idx val="1"/>
          <c:order val="0"/>
          <c:tx>
            <c:strRef>
              <c:f>'1310S'!$B$15</c:f>
              <c:strCache>
                <c:ptCount val="1"/>
                <c:pt idx="0">
                  <c:v>Patt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'1310S'!$A$18:$A$38</c:f>
              <c:numCache>
                <c:formatCode>0.00#</c:formatCode>
                <c:ptCount val="21"/>
                <c:pt idx="0">
                  <c:v>7.5</c:v>
                </c:pt>
                <c:pt idx="1">
                  <c:v>7.75</c:v>
                </c:pt>
                <c:pt idx="2">
                  <c:v>8</c:v>
                </c:pt>
                <c:pt idx="3">
                  <c:v>8.25</c:v>
                </c:pt>
                <c:pt idx="4">
                  <c:v>8.5</c:v>
                </c:pt>
                <c:pt idx="5">
                  <c:v>8.75</c:v>
                </c:pt>
                <c:pt idx="6">
                  <c:v>9</c:v>
                </c:pt>
                <c:pt idx="7">
                  <c:v>9.25</c:v>
                </c:pt>
                <c:pt idx="8">
                  <c:v>9.5</c:v>
                </c:pt>
                <c:pt idx="9">
                  <c:v>9.75</c:v>
                </c:pt>
                <c:pt idx="10">
                  <c:v>10</c:v>
                </c:pt>
                <c:pt idx="11">
                  <c:v>10.25</c:v>
                </c:pt>
                <c:pt idx="12">
                  <c:v>10.5</c:v>
                </c:pt>
                <c:pt idx="13">
                  <c:v>10.75</c:v>
                </c:pt>
                <c:pt idx="14">
                  <c:v>11</c:v>
                </c:pt>
                <c:pt idx="15">
                  <c:v>11.25</c:v>
                </c:pt>
                <c:pt idx="16">
                  <c:v>11.5</c:v>
                </c:pt>
                <c:pt idx="17">
                  <c:v>11.75</c:v>
                </c:pt>
                <c:pt idx="18">
                  <c:v>12</c:v>
                </c:pt>
                <c:pt idx="19">
                  <c:v>12.25</c:v>
                </c:pt>
                <c:pt idx="20">
                  <c:v>12.5</c:v>
                </c:pt>
              </c:numCache>
            </c:numRef>
          </c:xVal>
          <c:yVal>
            <c:numRef>
              <c:f>'1310S'!$B$18:$B$38</c:f>
              <c:numCache>
                <c:formatCode>0.00</c:formatCode>
                <c:ptCount val="21"/>
                <c:pt idx="0">
                  <c:v>3.1486601181471277</c:v>
                </c:pt>
                <c:pt idx="1">
                  <c:v>3.2536154554186987</c:v>
                </c:pt>
                <c:pt idx="2">
                  <c:v>3.3585707926902697</c:v>
                </c:pt>
                <c:pt idx="3">
                  <c:v>3.4635261299618407</c:v>
                </c:pt>
                <c:pt idx="4">
                  <c:v>3.5684814672334118</c:v>
                </c:pt>
                <c:pt idx="5">
                  <c:v>3.6734368045049828</c:v>
                </c:pt>
                <c:pt idx="6">
                  <c:v>3.7783921417765534</c:v>
                </c:pt>
                <c:pt idx="7">
                  <c:v>3.8833474790481244</c:v>
                </c:pt>
                <c:pt idx="8">
                  <c:v>3.9883028163196954</c:v>
                </c:pt>
                <c:pt idx="9">
                  <c:v>4.0932581535912664</c:v>
                </c:pt>
                <c:pt idx="10">
                  <c:v>4.1982134908628375</c:v>
                </c:pt>
                <c:pt idx="11">
                  <c:v>4.3031688281344085</c:v>
                </c:pt>
                <c:pt idx="12">
                  <c:v>4.4081241654059795</c:v>
                </c:pt>
                <c:pt idx="13">
                  <c:v>4.5130795026775505</c:v>
                </c:pt>
                <c:pt idx="14">
                  <c:v>4.6180348399491216</c:v>
                </c:pt>
                <c:pt idx="15">
                  <c:v>4.7229901772206917</c:v>
                </c:pt>
                <c:pt idx="16">
                  <c:v>4.8279455144922627</c:v>
                </c:pt>
                <c:pt idx="17">
                  <c:v>4.9329008517638337</c:v>
                </c:pt>
                <c:pt idx="18">
                  <c:v>5.0378561890354039</c:v>
                </c:pt>
                <c:pt idx="19">
                  <c:v>5.1428115263069749</c:v>
                </c:pt>
                <c:pt idx="20">
                  <c:v>5.2477668635785459</c:v>
                </c:pt>
              </c:numCache>
            </c:numRef>
          </c:yVal>
        </c:ser>
        <c:ser>
          <c:idx val="0"/>
          <c:order val="1"/>
          <c:tx>
            <c:strRef>
              <c:f>'1310S'!$J$14:$J$15</c:f>
              <c:strCache>
                <c:ptCount val="1"/>
                <c:pt idx="0">
                  <c:v>Pisi central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'1310S'!$A$18:$A$38</c:f>
              <c:numCache>
                <c:formatCode>0.00#</c:formatCode>
                <c:ptCount val="21"/>
                <c:pt idx="0">
                  <c:v>7.5</c:v>
                </c:pt>
                <c:pt idx="1">
                  <c:v>7.75</c:v>
                </c:pt>
                <c:pt idx="2">
                  <c:v>8</c:v>
                </c:pt>
                <c:pt idx="3">
                  <c:v>8.25</c:v>
                </c:pt>
                <c:pt idx="4">
                  <c:v>8.5</c:v>
                </c:pt>
                <c:pt idx="5">
                  <c:v>8.75</c:v>
                </c:pt>
                <c:pt idx="6">
                  <c:v>9</c:v>
                </c:pt>
                <c:pt idx="7">
                  <c:v>9.25</c:v>
                </c:pt>
                <c:pt idx="8">
                  <c:v>9.5</c:v>
                </c:pt>
                <c:pt idx="9">
                  <c:v>9.75</c:v>
                </c:pt>
                <c:pt idx="10">
                  <c:v>10</c:v>
                </c:pt>
                <c:pt idx="11">
                  <c:v>10.25</c:v>
                </c:pt>
                <c:pt idx="12">
                  <c:v>10.5</c:v>
                </c:pt>
                <c:pt idx="13">
                  <c:v>10.75</c:v>
                </c:pt>
                <c:pt idx="14">
                  <c:v>11</c:v>
                </c:pt>
                <c:pt idx="15">
                  <c:v>11.25</c:v>
                </c:pt>
                <c:pt idx="16">
                  <c:v>11.5</c:v>
                </c:pt>
                <c:pt idx="17">
                  <c:v>11.75</c:v>
                </c:pt>
                <c:pt idx="18">
                  <c:v>12</c:v>
                </c:pt>
                <c:pt idx="19">
                  <c:v>12.25</c:v>
                </c:pt>
                <c:pt idx="20">
                  <c:v>12.5</c:v>
                </c:pt>
              </c:numCache>
            </c:numRef>
          </c:xVal>
          <c:yVal>
            <c:numRef>
              <c:f>'1310S'!$J$18:$J$38</c:f>
              <c:numCache>
                <c:formatCode>0.00</c:formatCode>
                <c:ptCount val="21"/>
                <c:pt idx="0">
                  <c:v>1.9747393054017199</c:v>
                </c:pt>
                <c:pt idx="1">
                  <c:v>1.9940443661808505</c:v>
                </c:pt>
                <c:pt idx="2">
                  <c:v>2.0139923005062998</c:v>
                </c:pt>
                <c:pt idx="3">
                  <c:v>2.0345838871975457</c:v>
                </c:pt>
                <c:pt idx="4">
                  <c:v>2.0558199147557992</c:v>
                </c:pt>
                <c:pt idx="5">
                  <c:v>2.077701182469943</c:v>
                </c:pt>
                <c:pt idx="6">
                  <c:v>2.1002285018297733</c:v>
                </c:pt>
                <c:pt idx="7">
                  <c:v>2.1234026982533267</c:v>
                </c:pt>
                <c:pt idx="8">
                  <c:v>2.1472246131337682</c:v>
                </c:pt>
                <c:pt idx="9">
                  <c:v>2.1716951062102394</c:v>
                </c:pt>
                <c:pt idx="10">
                  <c:v>2.1968144761266282</c:v>
                </c:pt>
                <c:pt idx="11">
                  <c:v>2.2225847506458414</c:v>
                </c:pt>
                <c:pt idx="12">
                  <c:v>2.2490063177328379</c:v>
                </c:pt>
                <c:pt idx="13">
                  <c:v>2.2760801404790918</c:v>
                </c:pt>
                <c:pt idx="14">
                  <c:v>2.3038072170877681</c:v>
                </c:pt>
                <c:pt idx="15">
                  <c:v>2.3321885852216244</c:v>
                </c:pt>
                <c:pt idx="16">
                  <c:v>2.3612253266792456</c:v>
                </c:pt>
                <c:pt idx="17">
                  <c:v>2.3909179310108888</c:v>
                </c:pt>
                <c:pt idx="18">
                  <c:v>2.4212688158396607</c:v>
                </c:pt>
                <c:pt idx="19">
                  <c:v>2.4522786313759037</c:v>
                </c:pt>
                <c:pt idx="20">
                  <c:v>2.4839486888183542</c:v>
                </c:pt>
              </c:numCache>
            </c:numRef>
          </c:yVal>
        </c:ser>
        <c:ser>
          <c:idx val="6"/>
          <c:order val="2"/>
          <c:tx>
            <c:strRef>
              <c:f>'1310S'!$L$14:$L$15</c:f>
              <c:strCache>
                <c:ptCount val="1"/>
                <c:pt idx="0">
                  <c:v>P_DJ central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'1310S'!$A$18:$A$38</c:f>
              <c:numCache>
                <c:formatCode>0.00#</c:formatCode>
                <c:ptCount val="21"/>
                <c:pt idx="0">
                  <c:v>7.5</c:v>
                </c:pt>
                <c:pt idx="1">
                  <c:v>7.75</c:v>
                </c:pt>
                <c:pt idx="2">
                  <c:v>8</c:v>
                </c:pt>
                <c:pt idx="3">
                  <c:v>8.25</c:v>
                </c:pt>
                <c:pt idx="4">
                  <c:v>8.5</c:v>
                </c:pt>
                <c:pt idx="5">
                  <c:v>8.75</c:v>
                </c:pt>
                <c:pt idx="6">
                  <c:v>9</c:v>
                </c:pt>
                <c:pt idx="7">
                  <c:v>9.25</c:v>
                </c:pt>
                <c:pt idx="8">
                  <c:v>9.5</c:v>
                </c:pt>
                <c:pt idx="9">
                  <c:v>9.75</c:v>
                </c:pt>
                <c:pt idx="10">
                  <c:v>10</c:v>
                </c:pt>
                <c:pt idx="11">
                  <c:v>10.25</c:v>
                </c:pt>
                <c:pt idx="12">
                  <c:v>10.5</c:v>
                </c:pt>
                <c:pt idx="13">
                  <c:v>10.75</c:v>
                </c:pt>
                <c:pt idx="14">
                  <c:v>11</c:v>
                </c:pt>
                <c:pt idx="15">
                  <c:v>11.25</c:v>
                </c:pt>
                <c:pt idx="16">
                  <c:v>11.5</c:v>
                </c:pt>
                <c:pt idx="17">
                  <c:v>11.75</c:v>
                </c:pt>
                <c:pt idx="18">
                  <c:v>12</c:v>
                </c:pt>
                <c:pt idx="19">
                  <c:v>12.25</c:v>
                </c:pt>
                <c:pt idx="20">
                  <c:v>12.5</c:v>
                </c:pt>
              </c:numCache>
            </c:numRef>
          </c:xVal>
          <c:yVal>
            <c:numRef>
              <c:f>'1310S'!$L$18:$L$38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</c:ser>
        <c:ser>
          <c:idx val="3"/>
          <c:order val="3"/>
          <c:tx>
            <c:strRef>
              <c:f>'1310S'!$R$15</c:f>
              <c:strCache>
                <c:ptCount val="1"/>
                <c:pt idx="0">
                  <c:v>Prin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'1310S'!$A$18:$A$38</c:f>
              <c:numCache>
                <c:formatCode>0.00#</c:formatCode>
                <c:ptCount val="21"/>
                <c:pt idx="0">
                  <c:v>7.5</c:v>
                </c:pt>
                <c:pt idx="1">
                  <c:v>7.75</c:v>
                </c:pt>
                <c:pt idx="2">
                  <c:v>8</c:v>
                </c:pt>
                <c:pt idx="3">
                  <c:v>8.25</c:v>
                </c:pt>
                <c:pt idx="4">
                  <c:v>8.5</c:v>
                </c:pt>
                <c:pt idx="5">
                  <c:v>8.75</c:v>
                </c:pt>
                <c:pt idx="6">
                  <c:v>9</c:v>
                </c:pt>
                <c:pt idx="7">
                  <c:v>9.25</c:v>
                </c:pt>
                <c:pt idx="8">
                  <c:v>9.5</c:v>
                </c:pt>
                <c:pt idx="9">
                  <c:v>9.75</c:v>
                </c:pt>
                <c:pt idx="10">
                  <c:v>10</c:v>
                </c:pt>
                <c:pt idx="11">
                  <c:v>10.25</c:v>
                </c:pt>
                <c:pt idx="12">
                  <c:v>10.5</c:v>
                </c:pt>
                <c:pt idx="13">
                  <c:v>10.75</c:v>
                </c:pt>
                <c:pt idx="14">
                  <c:v>11</c:v>
                </c:pt>
                <c:pt idx="15">
                  <c:v>11.25</c:v>
                </c:pt>
                <c:pt idx="16">
                  <c:v>11.5</c:v>
                </c:pt>
                <c:pt idx="17">
                  <c:v>11.75</c:v>
                </c:pt>
                <c:pt idx="18">
                  <c:v>12</c:v>
                </c:pt>
                <c:pt idx="19">
                  <c:v>12.25</c:v>
                </c:pt>
                <c:pt idx="20">
                  <c:v>12.5</c:v>
                </c:pt>
              </c:numCache>
            </c:numRef>
          </c:xVal>
          <c:yVal>
            <c:numRef>
              <c:f>'1310S'!$R$18:$R$38</c:f>
              <c:numCache>
                <c:formatCode>0.00</c:formatCode>
                <c:ptCount val="21"/>
                <c:pt idx="0">
                  <c:v>0.23818350051633286</c:v>
                </c:pt>
                <c:pt idx="1">
                  <c:v>0.23673513539383817</c:v>
                </c:pt>
                <c:pt idx="2">
                  <c:v>0.23537546110293023</c:v>
                </c:pt>
                <c:pt idx="3">
                  <c:v>0.23410442010653967</c:v>
                </c:pt>
                <c:pt idx="4">
                  <c:v>0.23292198190859828</c:v>
                </c:pt>
                <c:pt idx="5">
                  <c:v>0.23182814338505439</c:v>
                </c:pt>
                <c:pt idx="6">
                  <c:v>0.23082292992132691</c:v>
                </c:pt>
                <c:pt idx="7">
                  <c:v>0.22990639723692929</c:v>
                </c:pt>
                <c:pt idx="8">
                  <c:v>0.22907863379227256</c:v>
                </c:pt>
                <c:pt idx="9">
                  <c:v>0.22833976368628112</c:v>
                </c:pt>
                <c:pt idx="10">
                  <c:v>0.227689879625046</c:v>
                </c:pt>
                <c:pt idx="11">
                  <c:v>0.22712932326730978</c:v>
                </c:pt>
                <c:pt idx="12">
                  <c:v>0.2266582807287309</c:v>
                </c:pt>
                <c:pt idx="13">
                  <c:v>0.22627705491384206</c:v>
                </c:pt>
                <c:pt idx="14">
                  <c:v>0.22598600386687404</c:v>
                </c:pt>
                <c:pt idx="15">
                  <c:v>0.2257855453555932</c:v>
                </c:pt>
                <c:pt idx="16">
                  <c:v>0.22567616161850437</c:v>
                </c:pt>
                <c:pt idx="17">
                  <c:v>0.22565832832994426</c:v>
                </c:pt>
                <c:pt idx="18">
                  <c:v>0.22573281747779481</c:v>
                </c:pt>
                <c:pt idx="19">
                  <c:v>0.22590026409120006</c:v>
                </c:pt>
                <c:pt idx="20">
                  <c:v>0.22616145867540821</c:v>
                </c:pt>
              </c:numCache>
            </c:numRef>
          </c:yVal>
        </c:ser>
        <c:ser>
          <c:idx val="5"/>
          <c:order val="4"/>
          <c:tx>
            <c:strRef>
              <c:f>'1310S'!$N$14:$N$15</c:f>
              <c:strCache>
                <c:ptCount val="1"/>
                <c:pt idx="0">
                  <c:v>Preflection central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'1310S'!$A$18:$A$38</c:f>
              <c:numCache>
                <c:formatCode>0.00#</c:formatCode>
                <c:ptCount val="21"/>
                <c:pt idx="0">
                  <c:v>7.5</c:v>
                </c:pt>
                <c:pt idx="1">
                  <c:v>7.75</c:v>
                </c:pt>
                <c:pt idx="2">
                  <c:v>8</c:v>
                </c:pt>
                <c:pt idx="3">
                  <c:v>8.25</c:v>
                </c:pt>
                <c:pt idx="4">
                  <c:v>8.5</c:v>
                </c:pt>
                <c:pt idx="5">
                  <c:v>8.75</c:v>
                </c:pt>
                <c:pt idx="6">
                  <c:v>9</c:v>
                </c:pt>
                <c:pt idx="7">
                  <c:v>9.25</c:v>
                </c:pt>
                <c:pt idx="8">
                  <c:v>9.5</c:v>
                </c:pt>
                <c:pt idx="9">
                  <c:v>9.75</c:v>
                </c:pt>
                <c:pt idx="10">
                  <c:v>10</c:v>
                </c:pt>
                <c:pt idx="11">
                  <c:v>10.25</c:v>
                </c:pt>
                <c:pt idx="12">
                  <c:v>10.5</c:v>
                </c:pt>
                <c:pt idx="13">
                  <c:v>10.75</c:v>
                </c:pt>
                <c:pt idx="14">
                  <c:v>11</c:v>
                </c:pt>
                <c:pt idx="15">
                  <c:v>11.25</c:v>
                </c:pt>
                <c:pt idx="16">
                  <c:v>11.5</c:v>
                </c:pt>
                <c:pt idx="17">
                  <c:v>11.75</c:v>
                </c:pt>
                <c:pt idx="18">
                  <c:v>12</c:v>
                </c:pt>
                <c:pt idx="19">
                  <c:v>12.25</c:v>
                </c:pt>
                <c:pt idx="20">
                  <c:v>12.5</c:v>
                </c:pt>
              </c:numCache>
            </c:numRef>
          </c:xVal>
          <c:yVal>
            <c:numRef>
              <c:f>'1310S'!$N$18:$N$38</c:f>
              <c:numCache>
                <c:formatCode>0.00</c:formatCode>
                <c:ptCount val="21"/>
                <c:pt idx="0">
                  <c:v>0.52709013205986888</c:v>
                </c:pt>
                <c:pt idx="1">
                  <c:v>0.5158990568453391</c:v>
                </c:pt>
                <c:pt idx="2">
                  <c:v>0.505031373342401</c:v>
                </c:pt>
                <c:pt idx="3">
                  <c:v>0.49447619187589065</c:v>
                </c:pt>
                <c:pt idx="4">
                  <c:v>0.48422306100117934</c:v>
                </c:pt>
                <c:pt idx="5">
                  <c:v>0.47426194677318517</c:v>
                </c:pt>
                <c:pt idx="6">
                  <c:v>0.46458321320804696</c:v>
                </c:pt>
                <c:pt idx="7">
                  <c:v>0.45517760385749445</c:v>
                </c:pt>
                <c:pt idx="8">
                  <c:v>0.44603622442202506</c:v>
                </c:pt>
                <c:pt idx="9">
                  <c:v>0.43715052633457091</c:v>
                </c:pt>
                <c:pt idx="10">
                  <c:v>0.42851223710399156</c:v>
                </c:pt>
                <c:pt idx="11">
                  <c:v>0.4201135595583611</c:v>
                </c:pt>
                <c:pt idx="12">
                  <c:v>0.41194684095319956</c:v>
                </c:pt>
                <c:pt idx="13">
                  <c:v>0.40400476876675023</c:v>
                </c:pt>
                <c:pt idx="14">
                  <c:v>0.39628030662802238</c:v>
                </c:pt>
                <c:pt idx="15">
                  <c:v>0.38876668254722468</c:v>
                </c:pt>
                <c:pt idx="16">
                  <c:v>0.3814573777604281</c:v>
                </c:pt>
                <c:pt idx="17">
                  <c:v>0.37434606415458482</c:v>
                </c:pt>
                <c:pt idx="18">
                  <c:v>0.36742679916680188</c:v>
                </c:pt>
                <c:pt idx="19">
                  <c:v>0.36069371320314636</c:v>
                </c:pt>
                <c:pt idx="20">
                  <c:v>0.35414119986614478</c:v>
                </c:pt>
              </c:numCache>
            </c:numRef>
          </c:yVal>
        </c:ser>
        <c:ser>
          <c:idx val="2"/>
          <c:order val="5"/>
          <c:tx>
            <c:strRef>
              <c:f>'1310S'!$Q$15</c:f>
              <c:strCache>
                <c:ptCount val="1"/>
                <c:pt idx="0">
                  <c:v>Pmpn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'1310S'!$A$18:$A$38</c:f>
              <c:numCache>
                <c:formatCode>0.00#</c:formatCode>
                <c:ptCount val="21"/>
                <c:pt idx="0">
                  <c:v>7.5</c:v>
                </c:pt>
                <c:pt idx="1">
                  <c:v>7.75</c:v>
                </c:pt>
                <c:pt idx="2">
                  <c:v>8</c:v>
                </c:pt>
                <c:pt idx="3">
                  <c:v>8.25</c:v>
                </c:pt>
                <c:pt idx="4">
                  <c:v>8.5</c:v>
                </c:pt>
                <c:pt idx="5">
                  <c:v>8.75</c:v>
                </c:pt>
                <c:pt idx="6">
                  <c:v>9</c:v>
                </c:pt>
                <c:pt idx="7">
                  <c:v>9.25</c:v>
                </c:pt>
                <c:pt idx="8">
                  <c:v>9.5</c:v>
                </c:pt>
                <c:pt idx="9">
                  <c:v>9.75</c:v>
                </c:pt>
                <c:pt idx="10">
                  <c:v>10</c:v>
                </c:pt>
                <c:pt idx="11">
                  <c:v>10.25</c:v>
                </c:pt>
                <c:pt idx="12">
                  <c:v>10.5</c:v>
                </c:pt>
                <c:pt idx="13">
                  <c:v>10.75</c:v>
                </c:pt>
                <c:pt idx="14">
                  <c:v>11</c:v>
                </c:pt>
                <c:pt idx="15">
                  <c:v>11.25</c:v>
                </c:pt>
                <c:pt idx="16">
                  <c:v>11.5</c:v>
                </c:pt>
                <c:pt idx="17">
                  <c:v>11.75</c:v>
                </c:pt>
                <c:pt idx="18">
                  <c:v>12</c:v>
                </c:pt>
                <c:pt idx="19">
                  <c:v>12.25</c:v>
                </c:pt>
                <c:pt idx="20">
                  <c:v>12.5</c:v>
                </c:pt>
              </c:numCache>
            </c:numRef>
          </c:xVal>
          <c:yVal>
            <c:numRef>
              <c:f>'1310S'!$Q$18:$Q$38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</c:ser>
        <c:ser>
          <c:idx val="4"/>
          <c:order val="6"/>
          <c:tx>
            <c:strRef>
              <c:f>'1310S'!$S$14</c:f>
              <c:strCache>
                <c:ptCount val="1"/>
                <c:pt idx="0">
                  <c:v>Pcross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'1310S'!$A$18:$A$38</c:f>
              <c:numCache>
                <c:formatCode>0.00#</c:formatCode>
                <c:ptCount val="21"/>
                <c:pt idx="0">
                  <c:v>7.5</c:v>
                </c:pt>
                <c:pt idx="1">
                  <c:v>7.75</c:v>
                </c:pt>
                <c:pt idx="2">
                  <c:v>8</c:v>
                </c:pt>
                <c:pt idx="3">
                  <c:v>8.25</c:v>
                </c:pt>
                <c:pt idx="4">
                  <c:v>8.5</c:v>
                </c:pt>
                <c:pt idx="5">
                  <c:v>8.75</c:v>
                </c:pt>
                <c:pt idx="6">
                  <c:v>9</c:v>
                </c:pt>
                <c:pt idx="7">
                  <c:v>9.25</c:v>
                </c:pt>
                <c:pt idx="8">
                  <c:v>9.5</c:v>
                </c:pt>
                <c:pt idx="9">
                  <c:v>9.75</c:v>
                </c:pt>
                <c:pt idx="10">
                  <c:v>10</c:v>
                </c:pt>
                <c:pt idx="11">
                  <c:v>10.25</c:v>
                </c:pt>
                <c:pt idx="12">
                  <c:v>10.5</c:v>
                </c:pt>
                <c:pt idx="13">
                  <c:v>10.75</c:v>
                </c:pt>
                <c:pt idx="14">
                  <c:v>11</c:v>
                </c:pt>
                <c:pt idx="15">
                  <c:v>11.25</c:v>
                </c:pt>
                <c:pt idx="16">
                  <c:v>11.5</c:v>
                </c:pt>
                <c:pt idx="17">
                  <c:v>11.75</c:v>
                </c:pt>
                <c:pt idx="18">
                  <c:v>12</c:v>
                </c:pt>
                <c:pt idx="19">
                  <c:v>12.25</c:v>
                </c:pt>
                <c:pt idx="20">
                  <c:v>12.5</c:v>
                </c:pt>
              </c:numCache>
            </c:numRef>
          </c:xVal>
          <c:yVal>
            <c:numRef>
              <c:f>'1310S'!$S$18:$S$38</c:f>
              <c:numCache>
                <c:formatCode>0.00</c:formatCode>
                <c:ptCount val="21"/>
                <c:pt idx="0">
                  <c:v>0.17840689609911431</c:v>
                </c:pt>
                <c:pt idx="1">
                  <c:v>0.17922634167874429</c:v>
                </c:pt>
                <c:pt idx="2">
                  <c:v>0.18017901753327376</c:v>
                </c:pt>
                <c:pt idx="3">
                  <c:v>0.18126523790030433</c:v>
                </c:pt>
                <c:pt idx="4">
                  <c:v>0.18248558023922293</c:v>
                </c:pt>
                <c:pt idx="5">
                  <c:v>0.18384088281900643</c:v>
                </c:pt>
                <c:pt idx="6">
                  <c:v>0.18533224358019051</c:v>
                </c:pt>
                <c:pt idx="7">
                  <c:v>0.18696102022991673</c:v>
                </c:pt>
                <c:pt idx="8">
                  <c:v>0.18872883154103182</c:v>
                </c:pt>
                <c:pt idx="9">
                  <c:v>0.19063755983745334</c:v>
                </c:pt>
                <c:pt idx="10">
                  <c:v>0.19268926270317038</c:v>
                </c:pt>
                <c:pt idx="11">
                  <c:v>0.19488653844728243</c:v>
                </c:pt>
                <c:pt idx="12">
                  <c:v>0.19723200130474744</c:v>
                </c:pt>
                <c:pt idx="13">
                  <c:v>0.19972863628444057</c:v>
                </c:pt>
                <c:pt idx="14">
                  <c:v>0.20237972228405068</c:v>
                </c:pt>
                <c:pt idx="15">
                  <c:v>0.20518884191357528</c:v>
                </c:pt>
                <c:pt idx="16">
                  <c:v>0.20815989267702259</c:v>
                </c:pt>
                <c:pt idx="17">
                  <c:v>0.21129699198446827</c:v>
                </c:pt>
                <c:pt idx="18">
                  <c:v>0.21460491188832045</c:v>
                </c:pt>
                <c:pt idx="19">
                  <c:v>0.21808847746360099</c:v>
                </c:pt>
                <c:pt idx="20">
                  <c:v>0.22175298729938481</c:v>
                </c:pt>
              </c:numCache>
            </c:numRef>
          </c:yVal>
        </c:ser>
        <c:ser>
          <c:idx val="8"/>
          <c:order val="7"/>
          <c:tx>
            <c:strRef>
              <c:f>'1310S'!$T$14</c:f>
              <c:strCache>
                <c:ptCount val="1"/>
                <c:pt idx="0">
                  <c:v>Ptotal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'1310S'!$A$18:$A$38</c:f>
              <c:numCache>
                <c:formatCode>0.00#</c:formatCode>
                <c:ptCount val="21"/>
                <c:pt idx="0">
                  <c:v>7.5</c:v>
                </c:pt>
                <c:pt idx="1">
                  <c:v>7.75</c:v>
                </c:pt>
                <c:pt idx="2">
                  <c:v>8</c:v>
                </c:pt>
                <c:pt idx="3">
                  <c:v>8.25</c:v>
                </c:pt>
                <c:pt idx="4">
                  <c:v>8.5</c:v>
                </c:pt>
                <c:pt idx="5">
                  <c:v>8.75</c:v>
                </c:pt>
                <c:pt idx="6">
                  <c:v>9</c:v>
                </c:pt>
                <c:pt idx="7">
                  <c:v>9.25</c:v>
                </c:pt>
                <c:pt idx="8">
                  <c:v>9.5</c:v>
                </c:pt>
                <c:pt idx="9">
                  <c:v>9.75</c:v>
                </c:pt>
                <c:pt idx="10">
                  <c:v>10</c:v>
                </c:pt>
                <c:pt idx="11">
                  <c:v>10.25</c:v>
                </c:pt>
                <c:pt idx="12">
                  <c:v>10.5</c:v>
                </c:pt>
                <c:pt idx="13">
                  <c:v>10.75</c:v>
                </c:pt>
                <c:pt idx="14">
                  <c:v>11</c:v>
                </c:pt>
                <c:pt idx="15">
                  <c:v>11.25</c:v>
                </c:pt>
                <c:pt idx="16">
                  <c:v>11.5</c:v>
                </c:pt>
                <c:pt idx="17">
                  <c:v>11.75</c:v>
                </c:pt>
                <c:pt idx="18">
                  <c:v>12</c:v>
                </c:pt>
                <c:pt idx="19">
                  <c:v>12.25</c:v>
                </c:pt>
                <c:pt idx="20">
                  <c:v>12.5</c:v>
                </c:pt>
              </c:numCache>
            </c:numRef>
          </c:xVal>
          <c:yVal>
            <c:numRef>
              <c:f>'1310S'!$T$18:$T$38</c:f>
              <c:numCache>
                <c:formatCode>0.0</c:formatCode>
                <c:ptCount val="21"/>
                <c:pt idx="0">
                  <c:v>6.0670799522241641</c:v>
                </c:pt>
                <c:pt idx="1">
                  <c:v>6.1795203555174698</c:v>
                </c:pt>
                <c:pt idx="2">
                  <c:v>6.293148945175175</c:v>
                </c:pt>
                <c:pt idx="3">
                  <c:v>6.4079558670421219</c:v>
                </c:pt>
                <c:pt idx="4">
                  <c:v>6.523932005138211</c:v>
                </c:pt>
                <c:pt idx="5">
                  <c:v>6.6410689599521717</c:v>
                </c:pt>
                <c:pt idx="6">
                  <c:v>6.759359030315891</c:v>
                </c:pt>
                <c:pt idx="7">
                  <c:v>6.8787951986257916</c:v>
                </c:pt>
                <c:pt idx="8">
                  <c:v>6.9993711192087931</c:v>
                </c:pt>
                <c:pt idx="9">
                  <c:v>7.1210811096598112</c:v>
                </c:pt>
                <c:pt idx="10">
                  <c:v>7.2439193464216727</c:v>
                </c:pt>
                <c:pt idx="11">
                  <c:v>7.3678830000532036</c:v>
                </c:pt>
                <c:pt idx="12">
                  <c:v>7.4929676061254948</c:v>
                </c:pt>
                <c:pt idx="13">
                  <c:v>7.6191701031216752</c:v>
                </c:pt>
                <c:pt idx="14">
                  <c:v>7.7464880898158368</c:v>
                </c:pt>
                <c:pt idx="15">
                  <c:v>7.8749198322587084</c:v>
                </c:pt>
                <c:pt idx="16">
                  <c:v>8.0044642732274642</c:v>
                </c:pt>
                <c:pt idx="17">
                  <c:v>8.1351201672437199</c:v>
                </c:pt>
                <c:pt idx="18">
                  <c:v>8.2668895334079817</c:v>
                </c:pt>
                <c:pt idx="19">
                  <c:v>8.3997726124408274</c:v>
                </c:pt>
                <c:pt idx="20">
                  <c:v>8.5337711982378366</c:v>
                </c:pt>
              </c:numCache>
            </c:numRef>
          </c:yVal>
        </c:ser>
        <c:ser>
          <c:idx val="7"/>
          <c:order val="8"/>
          <c:tx>
            <c:strRef>
              <c:f>'1310S'!$AL$15</c:f>
              <c:strCache>
                <c:ptCount val="1"/>
                <c:pt idx="0">
                  <c:v>P-C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'1310S'!$A$18:$A$38</c:f>
              <c:numCache>
                <c:formatCode>0.00#</c:formatCode>
                <c:ptCount val="21"/>
                <c:pt idx="0">
                  <c:v>7.5</c:v>
                </c:pt>
                <c:pt idx="1">
                  <c:v>7.75</c:v>
                </c:pt>
                <c:pt idx="2">
                  <c:v>8</c:v>
                </c:pt>
                <c:pt idx="3">
                  <c:v>8.25</c:v>
                </c:pt>
                <c:pt idx="4">
                  <c:v>8.5</c:v>
                </c:pt>
                <c:pt idx="5">
                  <c:v>8.75</c:v>
                </c:pt>
                <c:pt idx="6">
                  <c:v>9</c:v>
                </c:pt>
                <c:pt idx="7">
                  <c:v>9.25</c:v>
                </c:pt>
                <c:pt idx="8">
                  <c:v>9.5</c:v>
                </c:pt>
                <c:pt idx="9">
                  <c:v>9.75</c:v>
                </c:pt>
                <c:pt idx="10">
                  <c:v>10</c:v>
                </c:pt>
                <c:pt idx="11">
                  <c:v>10.25</c:v>
                </c:pt>
                <c:pt idx="12">
                  <c:v>10.5</c:v>
                </c:pt>
                <c:pt idx="13">
                  <c:v>10.75</c:v>
                </c:pt>
                <c:pt idx="14">
                  <c:v>11</c:v>
                </c:pt>
                <c:pt idx="15">
                  <c:v>11.25</c:v>
                </c:pt>
                <c:pt idx="16">
                  <c:v>11.5</c:v>
                </c:pt>
                <c:pt idx="17">
                  <c:v>11.75</c:v>
                </c:pt>
                <c:pt idx="18">
                  <c:v>12</c:v>
                </c:pt>
                <c:pt idx="19">
                  <c:v>12.25</c:v>
                </c:pt>
                <c:pt idx="20">
                  <c:v>12.5</c:v>
                </c:pt>
              </c:numCache>
            </c:numRef>
          </c:xVal>
          <c:yVal>
            <c:numRef>
              <c:f>'1310S'!$AL$18:$AL$38</c:f>
              <c:numCache>
                <c:formatCode>General</c:formatCode>
                <c:ptCount val="21"/>
                <c:pt idx="0">
                  <c:v>7.3900000000000006</c:v>
                </c:pt>
                <c:pt idx="1">
                  <c:v>7.3900000000000006</c:v>
                </c:pt>
                <c:pt idx="2">
                  <c:v>7.3900000000000006</c:v>
                </c:pt>
                <c:pt idx="3">
                  <c:v>7.3900000000000006</c:v>
                </c:pt>
                <c:pt idx="4">
                  <c:v>7.3900000000000006</c:v>
                </c:pt>
                <c:pt idx="5">
                  <c:v>7.3900000000000006</c:v>
                </c:pt>
                <c:pt idx="6">
                  <c:v>7.3900000000000006</c:v>
                </c:pt>
                <c:pt idx="7">
                  <c:v>7.3900000000000006</c:v>
                </c:pt>
                <c:pt idx="8">
                  <c:v>7.3900000000000006</c:v>
                </c:pt>
                <c:pt idx="9">
                  <c:v>7.3900000000000006</c:v>
                </c:pt>
                <c:pt idx="10">
                  <c:v>7.3900000000000006</c:v>
                </c:pt>
                <c:pt idx="11">
                  <c:v>7.3900000000000006</c:v>
                </c:pt>
                <c:pt idx="12">
                  <c:v>7.3900000000000006</c:v>
                </c:pt>
                <c:pt idx="13">
                  <c:v>7.3900000000000006</c:v>
                </c:pt>
                <c:pt idx="14">
                  <c:v>7.3900000000000006</c:v>
                </c:pt>
                <c:pt idx="15">
                  <c:v>7.3900000000000006</c:v>
                </c:pt>
                <c:pt idx="16">
                  <c:v>7.3900000000000006</c:v>
                </c:pt>
                <c:pt idx="17">
                  <c:v>7.3900000000000006</c:v>
                </c:pt>
                <c:pt idx="18">
                  <c:v>7.3900000000000006</c:v>
                </c:pt>
                <c:pt idx="19">
                  <c:v>7.3900000000000006</c:v>
                </c:pt>
                <c:pt idx="20">
                  <c:v>7.3900000000000006</c:v>
                </c:pt>
              </c:numCache>
            </c:numRef>
          </c:yVal>
        </c:ser>
        <c:ser>
          <c:idx val="9"/>
          <c:order val="9"/>
          <c:tx>
            <c:strRef>
              <c:f>'1310S'!$AN$14</c:f>
              <c:strCache>
                <c:ptCount val="1"/>
                <c:pt idx="0">
                  <c:v>Target</c:v>
                </c:pt>
              </c:strCache>
            </c:strRef>
          </c:tx>
          <c:spPr>
            <a:ln w="38100"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'1310S'!$AM$18:$AM$38</c:f>
              <c:numCache>
                <c:formatCode>General</c:formatCode>
                <c:ptCount val="2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</c:numCache>
            </c:numRef>
          </c:xVal>
          <c:yVal>
            <c:numRef>
              <c:f>'1310S'!$AN$18:$AN$38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</c:numCache>
            </c:numRef>
          </c:yVal>
        </c:ser>
        <c:ser>
          <c:idx val="10"/>
          <c:order val="10"/>
          <c:tx>
            <c:strRef>
              <c:f>'1310S'!$M$14:$M$15</c:f>
              <c:strCache>
                <c:ptCount val="1"/>
                <c:pt idx="0">
                  <c:v>P_DJ corners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'1310S'!$A$18:$A$38</c:f>
              <c:numCache>
                <c:formatCode>0.00#</c:formatCode>
                <c:ptCount val="21"/>
                <c:pt idx="0">
                  <c:v>7.5</c:v>
                </c:pt>
                <c:pt idx="1">
                  <c:v>7.75</c:v>
                </c:pt>
                <c:pt idx="2">
                  <c:v>8</c:v>
                </c:pt>
                <c:pt idx="3">
                  <c:v>8.25</c:v>
                </c:pt>
                <c:pt idx="4">
                  <c:v>8.5</c:v>
                </c:pt>
                <c:pt idx="5">
                  <c:v>8.75</c:v>
                </c:pt>
                <c:pt idx="6">
                  <c:v>9</c:v>
                </c:pt>
                <c:pt idx="7">
                  <c:v>9.25</c:v>
                </c:pt>
                <c:pt idx="8">
                  <c:v>9.5</c:v>
                </c:pt>
                <c:pt idx="9">
                  <c:v>9.75</c:v>
                </c:pt>
                <c:pt idx="10">
                  <c:v>10</c:v>
                </c:pt>
                <c:pt idx="11">
                  <c:v>10.25</c:v>
                </c:pt>
                <c:pt idx="12">
                  <c:v>10.5</c:v>
                </c:pt>
                <c:pt idx="13">
                  <c:v>10.75</c:v>
                </c:pt>
                <c:pt idx="14">
                  <c:v>11</c:v>
                </c:pt>
                <c:pt idx="15">
                  <c:v>11.25</c:v>
                </c:pt>
                <c:pt idx="16">
                  <c:v>11.5</c:v>
                </c:pt>
                <c:pt idx="17">
                  <c:v>11.75</c:v>
                </c:pt>
                <c:pt idx="18">
                  <c:v>12</c:v>
                </c:pt>
                <c:pt idx="19">
                  <c:v>12.25</c:v>
                </c:pt>
                <c:pt idx="20">
                  <c:v>12.5</c:v>
                </c:pt>
              </c:numCache>
            </c:numRef>
          </c:xVal>
          <c:yVal>
            <c:numRef>
              <c:f>'1310S'!$M$18:$M$38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</c:ser>
        <c:axId val="95246208"/>
        <c:axId val="95265152"/>
      </c:scatterChart>
      <c:valAx>
        <c:axId val="95246208"/>
        <c:scaling>
          <c:orientation val="minMax"/>
          <c:max val="12.5"/>
          <c:min val="7.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 (km)</a:t>
                </a:r>
              </a:p>
            </c:rich>
          </c:tx>
          <c:layout>
            <c:manualLayout>
              <c:xMode val="edge"/>
              <c:yMode val="edge"/>
              <c:x val="0.37746007926061159"/>
              <c:y val="0.90697821548324564"/>
            </c:manualLayout>
          </c:layout>
          <c:spPr>
            <a:noFill/>
            <a:ln w="25400">
              <a:noFill/>
            </a:ln>
          </c:spPr>
        </c:title>
        <c:numFmt formatCode="0.00#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65152"/>
        <c:crosses val="autoZero"/>
        <c:crossBetween val="midCat"/>
      </c:valAx>
      <c:valAx>
        <c:axId val="95265152"/>
        <c:scaling>
          <c:orientation val="minMax"/>
          <c:max val="9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Penalty (dB)</a:t>
                </a:r>
              </a:p>
            </c:rich>
          </c:tx>
          <c:layout>
            <c:manualLayout>
              <c:xMode val="edge"/>
              <c:yMode val="edge"/>
              <c:x val="1.4311282625994496E-2"/>
              <c:y val="0.35548230423702554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4620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97560687997155"/>
          <c:y val="0.19601360700919948"/>
          <c:w val="0.2468696252984065"/>
          <c:h val="0.6976755503717304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&amp;CSpreadsheet by Agilent Technologies</c:oddHeader>
      <c:oddFooter>&amp;L&amp;F tab &amp;A&amp;RPrinted &amp;T &amp;D</c:oddFooter>
    </c:headerFooter>
    <c:pageMargins b="1" l="0.75000000000000322" r="0.750000000000003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Tx eye diagram (no noise)
Black: Test Rx    Blue: target link &amp; Rx</a:t>
            </a:r>
          </a:p>
        </c:rich>
      </c:tx>
      <c:layout>
        <c:manualLayout>
          <c:xMode val="edge"/>
          <c:yMode val="edge"/>
          <c:x val="0.21082679739471319"/>
          <c:y val="3.654490978137639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6866366370544785E-2"/>
          <c:y val="0.22923625226499644"/>
          <c:w val="0.84900521113006433"/>
          <c:h val="0.62126346628339846"/>
        </c:manualLayout>
      </c:layout>
      <c:scatterChart>
        <c:scatterStyle val="lineMarker"/>
        <c:ser>
          <c:idx val="0"/>
          <c:order val="0"/>
          <c:tx>
            <c:strRef>
              <c:f>'1310S'!$AE$40</c:f>
              <c:strCache>
                <c:ptCount val="1"/>
                <c:pt idx="0">
                  <c:v>erf 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'1310S'!$AL$41:$AL$69</c:f>
              <c:numCache>
                <c:formatCode>General</c:formatCode>
                <c:ptCount val="29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</c:numCache>
            </c:numRef>
          </c:xVal>
          <c:yVal>
            <c:numRef>
              <c:f>'1310S'!$AE$41:$AE$69</c:f>
              <c:numCache>
                <c:formatCode>0%</c:formatCode>
                <c:ptCount val="29"/>
                <c:pt idx="0">
                  <c:v>0.99984804444058373</c:v>
                </c:pt>
                <c:pt idx="1">
                  <c:v>0.99973369775879584</c:v>
                </c:pt>
                <c:pt idx="2">
                  <c:v>0.99954285625118389</c:v>
                </c:pt>
                <c:pt idx="3">
                  <c:v>0.9992312486973528</c:v>
                </c:pt>
                <c:pt idx="4">
                  <c:v>0.99873347846170257</c:v>
                </c:pt>
                <c:pt idx="5">
                  <c:v>0.99795555681163806</c:v>
                </c:pt>
                <c:pt idx="6">
                  <c:v>0.99676615494574039</c:v>
                </c:pt>
                <c:pt idx="7">
                  <c:v>0.99498702612316414</c:v>
                </c:pt>
                <c:pt idx="8">
                  <c:v>0.99238343961491005</c:v>
                </c:pt>
                <c:pt idx="9">
                  <c:v>0.98865589590331715</c:v>
                </c:pt>
                <c:pt idx="10">
                  <c:v>0.98343482889087253</c:v>
                </c:pt>
                <c:pt idx="11">
                  <c:v>0.97628028624654972</c:v>
                </c:pt>
                <c:pt idx="12">
                  <c:v>0.96668869809770186</c:v>
                </c:pt>
                <c:pt idx="13">
                  <c:v>0.95410857264242699</c:v>
                </c:pt>
                <c:pt idx="14">
                  <c:v>0.93796626306758923</c:v>
                </c:pt>
                <c:pt idx="15">
                  <c:v>0.91770191952509572</c:v>
                </c:pt>
                <c:pt idx="16">
                  <c:v>0.89281420941870115</c:v>
                </c:pt>
                <c:pt idx="17">
                  <c:v>0.86291055569003694</c:v>
                </c:pt>
                <c:pt idx="18">
                  <c:v>0.82775881948169316</c:v>
                </c:pt>
                <c:pt idx="19">
                  <c:v>0.78733299688393377</c:v>
                </c:pt>
                <c:pt idx="20">
                  <c:v>0.74184930234328006</c:v>
                </c:pt>
                <c:pt idx="21">
                  <c:v>0.69178379336449281</c:v>
                </c:pt>
                <c:pt idx="22">
                  <c:v>0.63786904232808528</c:v>
                </c:pt>
                <c:pt idx="23">
                  <c:v>0.58106717153116383</c:v>
                </c:pt>
                <c:pt idx="24">
                  <c:v>0.52252029187710369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</c:ser>
        <c:ser>
          <c:idx val="1"/>
          <c:order val="1"/>
          <c:tx>
            <c:strRef>
              <c:f>'1310S'!$AD$40</c:f>
              <c:strCache>
                <c:ptCount val="1"/>
                <c:pt idx="0">
                  <c:v>erf 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'1310S'!$AM$41:$AM$69</c:f>
              <c:numCache>
                <c:formatCode>General</c:formatCode>
                <c:ptCount val="29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</c:numCache>
            </c:numRef>
          </c:xVal>
          <c:yVal>
            <c:numRef>
              <c:f>'1310S'!$AD$41:$AD$69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0.52252029187710403</c:v>
                </c:pt>
                <c:pt idx="7">
                  <c:v>0.58106717153116405</c:v>
                </c:pt>
                <c:pt idx="8">
                  <c:v>0.6378690423280855</c:v>
                </c:pt>
                <c:pt idx="9">
                  <c:v>0.69178379336449303</c:v>
                </c:pt>
                <c:pt idx="10">
                  <c:v>0.74184930234328028</c:v>
                </c:pt>
                <c:pt idx="11">
                  <c:v>0.78733299688393377</c:v>
                </c:pt>
                <c:pt idx="12">
                  <c:v>0.82775881948169316</c:v>
                </c:pt>
                <c:pt idx="13">
                  <c:v>0.86291055569003694</c:v>
                </c:pt>
                <c:pt idx="14">
                  <c:v>0.89281420941870104</c:v>
                </c:pt>
                <c:pt idx="15">
                  <c:v>0.91770191952509561</c:v>
                </c:pt>
                <c:pt idx="16">
                  <c:v>0.93796626306758912</c:v>
                </c:pt>
                <c:pt idx="17">
                  <c:v>0.95410857264242699</c:v>
                </c:pt>
                <c:pt idx="18">
                  <c:v>0.96668869809770186</c:v>
                </c:pt>
                <c:pt idx="19">
                  <c:v>0.97628028624654983</c:v>
                </c:pt>
                <c:pt idx="20">
                  <c:v>0.98343482889087253</c:v>
                </c:pt>
                <c:pt idx="21">
                  <c:v>0.98865589590331715</c:v>
                </c:pt>
                <c:pt idx="22">
                  <c:v>0.99238343961491005</c:v>
                </c:pt>
                <c:pt idx="23">
                  <c:v>0.99498702612316414</c:v>
                </c:pt>
                <c:pt idx="24">
                  <c:v>0.99676615494574039</c:v>
                </c:pt>
                <c:pt idx="25">
                  <c:v>0.99795555681163806</c:v>
                </c:pt>
                <c:pt idx="26">
                  <c:v>0.99873347846170257</c:v>
                </c:pt>
                <c:pt idx="27">
                  <c:v>0.9992312486973528</c:v>
                </c:pt>
                <c:pt idx="28">
                  <c:v>0.99954285625118389</c:v>
                </c:pt>
              </c:numCache>
            </c:numRef>
          </c:yVal>
        </c:ser>
        <c:ser>
          <c:idx val="2"/>
          <c:order val="2"/>
          <c:tx>
            <c:strRef>
              <c:f>'1310S'!$AD$40</c:f>
              <c:strCache>
                <c:ptCount val="1"/>
                <c:pt idx="0">
                  <c:v>erf 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'1310S'!$Z$41:$Z$69</c:f>
              <c:numCache>
                <c:formatCode>General</c:formatCode>
                <c:ptCount val="29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</c:numCache>
            </c:numRef>
          </c:xVal>
          <c:yVal>
            <c:numRef>
              <c:f>'1310S'!$AD$41:$AD$69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0.52252029187710403</c:v>
                </c:pt>
                <c:pt idx="7">
                  <c:v>0.58106717153116405</c:v>
                </c:pt>
                <c:pt idx="8">
                  <c:v>0.6378690423280855</c:v>
                </c:pt>
                <c:pt idx="9">
                  <c:v>0.69178379336449303</c:v>
                </c:pt>
                <c:pt idx="10">
                  <c:v>0.74184930234328028</c:v>
                </c:pt>
                <c:pt idx="11">
                  <c:v>0.78733299688393377</c:v>
                </c:pt>
                <c:pt idx="12">
                  <c:v>0.82775881948169316</c:v>
                </c:pt>
                <c:pt idx="13">
                  <c:v>0.86291055569003694</c:v>
                </c:pt>
                <c:pt idx="14">
                  <c:v>0.89281420941870104</c:v>
                </c:pt>
                <c:pt idx="15">
                  <c:v>0.91770191952509561</c:v>
                </c:pt>
                <c:pt idx="16">
                  <c:v>0.93796626306758912</c:v>
                </c:pt>
                <c:pt idx="17">
                  <c:v>0.95410857264242699</c:v>
                </c:pt>
                <c:pt idx="18">
                  <c:v>0.96668869809770186</c:v>
                </c:pt>
                <c:pt idx="19">
                  <c:v>0.97628028624654983</c:v>
                </c:pt>
                <c:pt idx="20">
                  <c:v>0.98343482889087253</c:v>
                </c:pt>
                <c:pt idx="21">
                  <c:v>0.98865589590331715</c:v>
                </c:pt>
                <c:pt idx="22">
                  <c:v>0.99238343961491005</c:v>
                </c:pt>
                <c:pt idx="23">
                  <c:v>0.99498702612316414</c:v>
                </c:pt>
                <c:pt idx="24">
                  <c:v>0.99676615494574039</c:v>
                </c:pt>
                <c:pt idx="25">
                  <c:v>0.99795555681163806</c:v>
                </c:pt>
                <c:pt idx="26">
                  <c:v>0.99873347846170257</c:v>
                </c:pt>
                <c:pt idx="27">
                  <c:v>0.9992312486973528</c:v>
                </c:pt>
                <c:pt idx="28">
                  <c:v>0.99954285625118389</c:v>
                </c:pt>
              </c:numCache>
            </c:numRef>
          </c:yVal>
        </c:ser>
        <c:ser>
          <c:idx val="3"/>
          <c:order val="3"/>
          <c:tx>
            <c:strRef>
              <c:f>'1310S'!$AE$40</c:f>
              <c:strCache>
                <c:ptCount val="1"/>
                <c:pt idx="0">
                  <c:v>erf 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'1310S'!$Z$41:$Z$69</c:f>
              <c:numCache>
                <c:formatCode>General</c:formatCode>
                <c:ptCount val="29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</c:numCache>
            </c:numRef>
          </c:xVal>
          <c:yVal>
            <c:numRef>
              <c:f>'1310S'!$AE$41:$AE$69</c:f>
              <c:numCache>
                <c:formatCode>0%</c:formatCode>
                <c:ptCount val="29"/>
                <c:pt idx="0">
                  <c:v>0.99984804444058373</c:v>
                </c:pt>
                <c:pt idx="1">
                  <c:v>0.99973369775879584</c:v>
                </c:pt>
                <c:pt idx="2">
                  <c:v>0.99954285625118389</c:v>
                </c:pt>
                <c:pt idx="3">
                  <c:v>0.9992312486973528</c:v>
                </c:pt>
                <c:pt idx="4">
                  <c:v>0.99873347846170257</c:v>
                </c:pt>
                <c:pt idx="5">
                  <c:v>0.99795555681163806</c:v>
                </c:pt>
                <c:pt idx="6">
                  <c:v>0.99676615494574039</c:v>
                </c:pt>
                <c:pt idx="7">
                  <c:v>0.99498702612316414</c:v>
                </c:pt>
                <c:pt idx="8">
                  <c:v>0.99238343961491005</c:v>
                </c:pt>
                <c:pt idx="9">
                  <c:v>0.98865589590331715</c:v>
                </c:pt>
                <c:pt idx="10">
                  <c:v>0.98343482889087253</c:v>
                </c:pt>
                <c:pt idx="11">
                  <c:v>0.97628028624654972</c:v>
                </c:pt>
                <c:pt idx="12">
                  <c:v>0.96668869809770186</c:v>
                </c:pt>
                <c:pt idx="13">
                  <c:v>0.95410857264242699</c:v>
                </c:pt>
                <c:pt idx="14">
                  <c:v>0.93796626306758923</c:v>
                </c:pt>
                <c:pt idx="15">
                  <c:v>0.91770191952509572</c:v>
                </c:pt>
                <c:pt idx="16">
                  <c:v>0.89281420941870115</c:v>
                </c:pt>
                <c:pt idx="17">
                  <c:v>0.86291055569003694</c:v>
                </c:pt>
                <c:pt idx="18">
                  <c:v>0.82775881948169316</c:v>
                </c:pt>
                <c:pt idx="19">
                  <c:v>0.78733299688393377</c:v>
                </c:pt>
                <c:pt idx="20">
                  <c:v>0.74184930234328006</c:v>
                </c:pt>
                <c:pt idx="21">
                  <c:v>0.69178379336449281</c:v>
                </c:pt>
                <c:pt idx="22">
                  <c:v>0.63786904232808528</c:v>
                </c:pt>
                <c:pt idx="23">
                  <c:v>0.58106717153116383</c:v>
                </c:pt>
                <c:pt idx="24">
                  <c:v>0.52252029187710369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</c:ser>
        <c:ser>
          <c:idx val="4"/>
          <c:order val="4"/>
          <c:tx>
            <c:strRef>
              <c:f>'1310S'!$AF$40</c:f>
              <c:strCache>
                <c:ptCount val="1"/>
                <c:pt idx="0">
                  <c:v>oio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'1310S'!$Z$41:$Z$69</c:f>
              <c:numCache>
                <c:formatCode>General</c:formatCode>
                <c:ptCount val="29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</c:numCache>
            </c:numRef>
          </c:xVal>
          <c:yVal>
            <c:numRef>
              <c:f>'1310S'!$AF$41:$AF$69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0.51928644682284442</c:v>
                </c:pt>
                <c:pt idx="7">
                  <c:v>0.57605419765432808</c:v>
                </c:pt>
                <c:pt idx="8">
                  <c:v>0.63025248194299555</c:v>
                </c:pt>
                <c:pt idx="9">
                  <c:v>0.68043968926781018</c:v>
                </c:pt>
                <c:pt idx="10">
                  <c:v>0.7252841312341527</c:v>
                </c:pt>
                <c:pt idx="11">
                  <c:v>0.76361328313048338</c:v>
                </c:pt>
                <c:pt idx="12">
                  <c:v>0.79444751757939502</c:v>
                </c:pt>
                <c:pt idx="13">
                  <c:v>0.81701912833246393</c:v>
                </c:pt>
                <c:pt idx="14">
                  <c:v>0.83078047248629039</c:v>
                </c:pt>
                <c:pt idx="15">
                  <c:v>0.83540383905019144</c:v>
                </c:pt>
                <c:pt idx="16">
                  <c:v>0.83078047248629039</c:v>
                </c:pt>
                <c:pt idx="17">
                  <c:v>0.81701912833246393</c:v>
                </c:pt>
                <c:pt idx="18">
                  <c:v>0.79444751757939502</c:v>
                </c:pt>
                <c:pt idx="19">
                  <c:v>0.7636132831304836</c:v>
                </c:pt>
                <c:pt idx="20">
                  <c:v>0.7252841312341527</c:v>
                </c:pt>
                <c:pt idx="21">
                  <c:v>0.68043968926780996</c:v>
                </c:pt>
                <c:pt idx="22">
                  <c:v>0.63025248194299532</c:v>
                </c:pt>
                <c:pt idx="23">
                  <c:v>0.57605419765432808</c:v>
                </c:pt>
                <c:pt idx="24">
                  <c:v>0.51928644682284419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</c:ser>
        <c:ser>
          <c:idx val="5"/>
          <c:order val="5"/>
          <c:tx>
            <c:strRef>
              <c:f>'1310S'!$AG$40</c:f>
              <c:strCache>
                <c:ptCount val="1"/>
                <c:pt idx="0">
                  <c:v>erf1'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'1310S'!$Z$41:$Z$69</c:f>
              <c:numCache>
                <c:formatCode>General</c:formatCode>
                <c:ptCount val="29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</c:numCache>
            </c:numRef>
          </c:xVal>
          <c:yVal>
            <c:numRef>
              <c:f>'1310S'!$AG$41:$AG$69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0.47747970812289597</c:v>
                </c:pt>
                <c:pt idx="7">
                  <c:v>0.41893282846883595</c:v>
                </c:pt>
                <c:pt idx="8">
                  <c:v>0.3621309576719145</c:v>
                </c:pt>
                <c:pt idx="9">
                  <c:v>0.30821620663550697</c:v>
                </c:pt>
                <c:pt idx="10">
                  <c:v>0.25815069765671972</c:v>
                </c:pt>
                <c:pt idx="11">
                  <c:v>0.21266700311606623</c:v>
                </c:pt>
                <c:pt idx="12">
                  <c:v>0.17224118051830684</c:v>
                </c:pt>
                <c:pt idx="13">
                  <c:v>0.13708944430996306</c:v>
                </c:pt>
                <c:pt idx="14">
                  <c:v>0.10718579058129896</c:v>
                </c:pt>
                <c:pt idx="15">
                  <c:v>8.2298080474904389E-2</c:v>
                </c:pt>
                <c:pt idx="16">
                  <c:v>6.2033736932410877E-2</c:v>
                </c:pt>
                <c:pt idx="17">
                  <c:v>4.5891427357573011E-2</c:v>
                </c:pt>
                <c:pt idx="18">
                  <c:v>3.331130190229814E-2</c:v>
                </c:pt>
                <c:pt idx="19">
                  <c:v>2.3719713753450167E-2</c:v>
                </c:pt>
                <c:pt idx="20">
                  <c:v>1.6565171109127474E-2</c:v>
                </c:pt>
                <c:pt idx="21">
                  <c:v>1.134410409668285E-2</c:v>
                </c:pt>
                <c:pt idx="22">
                  <c:v>7.6165603850899544E-3</c:v>
                </c:pt>
                <c:pt idx="23">
                  <c:v>5.0129738768358578E-3</c:v>
                </c:pt>
                <c:pt idx="24">
                  <c:v>3.2338450542596098E-3</c:v>
                </c:pt>
                <c:pt idx="25">
                  <c:v>2.0444431883619441E-3</c:v>
                </c:pt>
                <c:pt idx="26">
                  <c:v>1.2665215382974271E-3</c:v>
                </c:pt>
                <c:pt idx="27">
                  <c:v>7.6875130264719704E-4</c:v>
                </c:pt>
                <c:pt idx="28">
                  <c:v>4.5714374881611342E-4</c:v>
                </c:pt>
              </c:numCache>
            </c:numRef>
          </c:yVal>
        </c:ser>
        <c:ser>
          <c:idx val="6"/>
          <c:order val="6"/>
          <c:tx>
            <c:strRef>
              <c:f>'1310S'!$AH$40</c:f>
              <c:strCache>
                <c:ptCount val="1"/>
                <c:pt idx="0">
                  <c:v>erf2'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'1310S'!$Z$41:$Z$69</c:f>
              <c:numCache>
                <c:formatCode>General</c:formatCode>
                <c:ptCount val="29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</c:numCache>
            </c:numRef>
          </c:xVal>
          <c:yVal>
            <c:numRef>
              <c:f>'1310S'!$AH$41:$AH$69</c:f>
              <c:numCache>
                <c:formatCode>0%</c:formatCode>
                <c:ptCount val="29"/>
                <c:pt idx="0">
                  <c:v>1.5195555941627248E-4</c:v>
                </c:pt>
                <c:pt idx="1">
                  <c:v>2.6630224120416379E-4</c:v>
                </c:pt>
                <c:pt idx="2">
                  <c:v>4.5714374881611342E-4</c:v>
                </c:pt>
                <c:pt idx="3">
                  <c:v>7.6875130264719704E-4</c:v>
                </c:pt>
                <c:pt idx="4">
                  <c:v>1.2665215382974271E-3</c:v>
                </c:pt>
                <c:pt idx="5">
                  <c:v>2.0444431883619441E-3</c:v>
                </c:pt>
                <c:pt idx="6">
                  <c:v>3.2338450542596098E-3</c:v>
                </c:pt>
                <c:pt idx="7">
                  <c:v>5.0129738768358578E-3</c:v>
                </c:pt>
                <c:pt idx="8">
                  <c:v>7.6165603850899544E-3</c:v>
                </c:pt>
                <c:pt idx="9">
                  <c:v>1.134410409668285E-2</c:v>
                </c:pt>
                <c:pt idx="10">
                  <c:v>1.6565171109127474E-2</c:v>
                </c:pt>
                <c:pt idx="11">
                  <c:v>2.3719713753450278E-2</c:v>
                </c:pt>
                <c:pt idx="12">
                  <c:v>3.331130190229814E-2</c:v>
                </c:pt>
                <c:pt idx="13">
                  <c:v>4.5891427357573011E-2</c:v>
                </c:pt>
                <c:pt idx="14">
                  <c:v>6.2033736932410766E-2</c:v>
                </c:pt>
                <c:pt idx="15">
                  <c:v>8.2298080474904278E-2</c:v>
                </c:pt>
                <c:pt idx="16">
                  <c:v>0.10718579058129885</c:v>
                </c:pt>
                <c:pt idx="17">
                  <c:v>0.13708944430996306</c:v>
                </c:pt>
                <c:pt idx="18">
                  <c:v>0.17224118051830684</c:v>
                </c:pt>
                <c:pt idx="19">
                  <c:v>0.21266700311606623</c:v>
                </c:pt>
                <c:pt idx="20">
                  <c:v>0.25815069765671994</c:v>
                </c:pt>
                <c:pt idx="21">
                  <c:v>0.30821620663550719</c:v>
                </c:pt>
                <c:pt idx="22">
                  <c:v>0.36213095767191472</c:v>
                </c:pt>
                <c:pt idx="23">
                  <c:v>0.41893282846883617</c:v>
                </c:pt>
                <c:pt idx="24">
                  <c:v>0.47747970812289631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</c:ser>
        <c:ser>
          <c:idx val="7"/>
          <c:order val="7"/>
          <c:tx>
            <c:strRef>
              <c:f>'1310S'!$AI$40</c:f>
              <c:strCache>
                <c:ptCount val="1"/>
                <c:pt idx="0">
                  <c:v>ioi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'1310S'!$Z$41:$Z$69</c:f>
              <c:numCache>
                <c:formatCode>General</c:formatCode>
                <c:ptCount val="29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</c:numCache>
            </c:numRef>
          </c:xVal>
          <c:yVal>
            <c:numRef>
              <c:f>'1310S'!$AI$41:$AI$69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0.48071355317715558</c:v>
                </c:pt>
                <c:pt idx="7">
                  <c:v>0.42394580234567192</c:v>
                </c:pt>
                <c:pt idx="8">
                  <c:v>0.36974751805700445</c:v>
                </c:pt>
                <c:pt idx="9">
                  <c:v>0.31956031073218982</c:v>
                </c:pt>
                <c:pt idx="10">
                  <c:v>0.2747158687658473</c:v>
                </c:pt>
                <c:pt idx="11">
                  <c:v>0.23638671686951662</c:v>
                </c:pt>
                <c:pt idx="12">
                  <c:v>0.20555248242060498</c:v>
                </c:pt>
                <c:pt idx="13">
                  <c:v>0.18298087166753607</c:v>
                </c:pt>
                <c:pt idx="14">
                  <c:v>0.16921952751370961</c:v>
                </c:pt>
                <c:pt idx="15">
                  <c:v>0.16459616094980856</c:v>
                </c:pt>
                <c:pt idx="16">
                  <c:v>0.16921952751370961</c:v>
                </c:pt>
                <c:pt idx="17">
                  <c:v>0.18298087166753607</c:v>
                </c:pt>
                <c:pt idx="18">
                  <c:v>0.20555248242060498</c:v>
                </c:pt>
                <c:pt idx="19">
                  <c:v>0.2363867168695164</c:v>
                </c:pt>
                <c:pt idx="20">
                  <c:v>0.2747158687658473</c:v>
                </c:pt>
                <c:pt idx="21">
                  <c:v>0.31956031073219004</c:v>
                </c:pt>
                <c:pt idx="22">
                  <c:v>0.36974751805700468</c:v>
                </c:pt>
                <c:pt idx="23">
                  <c:v>0.42394580234567192</c:v>
                </c:pt>
                <c:pt idx="24">
                  <c:v>0.48071355317715581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</c:ser>
        <c:ser>
          <c:idx val="8"/>
          <c:order val="8"/>
          <c:tx>
            <c:strRef>
              <c:f>'1310S'!$AL$40</c:f>
              <c:strCache>
                <c:ptCount val="1"/>
                <c:pt idx="0">
                  <c:v>Early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'1310S'!$AL$41:$AL$69</c:f>
              <c:numCache>
                <c:formatCode>General</c:formatCode>
                <c:ptCount val="29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</c:numCache>
            </c:numRef>
          </c:xVal>
          <c:yVal>
            <c:numRef>
              <c:f>'1310S'!$AF$41:$AF$69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0.51928644682284442</c:v>
                </c:pt>
                <c:pt idx="7">
                  <c:v>0.57605419765432808</c:v>
                </c:pt>
                <c:pt idx="8">
                  <c:v>0.63025248194299555</c:v>
                </c:pt>
                <c:pt idx="9">
                  <c:v>0.68043968926781018</c:v>
                </c:pt>
                <c:pt idx="10">
                  <c:v>0.7252841312341527</c:v>
                </c:pt>
                <c:pt idx="11">
                  <c:v>0.76361328313048338</c:v>
                </c:pt>
                <c:pt idx="12">
                  <c:v>0.79444751757939502</c:v>
                </c:pt>
                <c:pt idx="13">
                  <c:v>0.81701912833246393</c:v>
                </c:pt>
                <c:pt idx="14">
                  <c:v>0.83078047248629039</c:v>
                </c:pt>
                <c:pt idx="15">
                  <c:v>0.83540383905019144</c:v>
                </c:pt>
                <c:pt idx="16">
                  <c:v>0.83078047248629039</c:v>
                </c:pt>
                <c:pt idx="17">
                  <c:v>0.81701912833246393</c:v>
                </c:pt>
                <c:pt idx="18">
                  <c:v>0.79444751757939502</c:v>
                </c:pt>
                <c:pt idx="19">
                  <c:v>0.7636132831304836</c:v>
                </c:pt>
                <c:pt idx="20">
                  <c:v>0.7252841312341527</c:v>
                </c:pt>
                <c:pt idx="21">
                  <c:v>0.68043968926780996</c:v>
                </c:pt>
                <c:pt idx="22">
                  <c:v>0.63025248194299532</c:v>
                </c:pt>
                <c:pt idx="23">
                  <c:v>0.57605419765432808</c:v>
                </c:pt>
                <c:pt idx="24">
                  <c:v>0.51928644682284419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</c:ser>
        <c:ser>
          <c:idx val="9"/>
          <c:order val="9"/>
          <c:tx>
            <c:strRef>
              <c:f>'1310S'!$AO$40</c:f>
              <c:strCache>
                <c:ptCount val="1"/>
                <c:pt idx="0">
                  <c:v>Eye mask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'1310S'!$AN$41:$AN$47</c:f>
              <c:numCache>
                <c:formatCode>General</c:formatCode>
                <c:ptCount val="7"/>
                <c:pt idx="0">
                  <c:v>0.3</c:v>
                </c:pt>
                <c:pt idx="1">
                  <c:v>0.4</c:v>
                </c:pt>
                <c:pt idx="2">
                  <c:v>0.6</c:v>
                </c:pt>
                <c:pt idx="3">
                  <c:v>0.7</c:v>
                </c:pt>
                <c:pt idx="4">
                  <c:v>0.6</c:v>
                </c:pt>
                <c:pt idx="5">
                  <c:v>0.4</c:v>
                </c:pt>
                <c:pt idx="6">
                  <c:v>0.3</c:v>
                </c:pt>
              </c:numCache>
            </c:numRef>
          </c:xVal>
          <c:yVal>
            <c:numRef>
              <c:f>'1310S'!$AO$41:$AO$47</c:f>
              <c:numCache>
                <c:formatCode>General</c:formatCode>
                <c:ptCount val="7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  <c:pt idx="3">
                  <c:v>0.5</c:v>
                </c:pt>
                <c:pt idx="4">
                  <c:v>0.75</c:v>
                </c:pt>
                <c:pt idx="5">
                  <c:v>0.75</c:v>
                </c:pt>
                <c:pt idx="6">
                  <c:v>0.5</c:v>
                </c:pt>
              </c:numCache>
            </c:numRef>
          </c:yVal>
        </c:ser>
        <c:ser>
          <c:idx val="10"/>
          <c:order val="10"/>
          <c:tx>
            <c:strRef>
              <c:f>'1310S'!$AM$40</c:f>
              <c:strCache>
                <c:ptCount val="1"/>
                <c:pt idx="0">
                  <c:v>Late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'1310S'!$AM$41:$AM$69</c:f>
              <c:numCache>
                <c:formatCode>General</c:formatCode>
                <c:ptCount val="29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</c:numCache>
            </c:numRef>
          </c:xVal>
          <c:yVal>
            <c:numRef>
              <c:f>'1310S'!$AF$41:$AF$69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0.51928644682284442</c:v>
                </c:pt>
                <c:pt idx="7">
                  <c:v>0.57605419765432808</c:v>
                </c:pt>
                <c:pt idx="8">
                  <c:v>0.63025248194299555</c:v>
                </c:pt>
                <c:pt idx="9">
                  <c:v>0.68043968926781018</c:v>
                </c:pt>
                <c:pt idx="10">
                  <c:v>0.7252841312341527</c:v>
                </c:pt>
                <c:pt idx="11">
                  <c:v>0.76361328313048338</c:v>
                </c:pt>
                <c:pt idx="12">
                  <c:v>0.79444751757939502</c:v>
                </c:pt>
                <c:pt idx="13">
                  <c:v>0.81701912833246393</c:v>
                </c:pt>
                <c:pt idx="14">
                  <c:v>0.83078047248629039</c:v>
                </c:pt>
                <c:pt idx="15">
                  <c:v>0.83540383905019144</c:v>
                </c:pt>
                <c:pt idx="16">
                  <c:v>0.83078047248629039</c:v>
                </c:pt>
                <c:pt idx="17">
                  <c:v>0.81701912833246393</c:v>
                </c:pt>
                <c:pt idx="18">
                  <c:v>0.79444751757939502</c:v>
                </c:pt>
                <c:pt idx="19">
                  <c:v>0.7636132831304836</c:v>
                </c:pt>
                <c:pt idx="20">
                  <c:v>0.7252841312341527</c:v>
                </c:pt>
                <c:pt idx="21">
                  <c:v>0.68043968926780996</c:v>
                </c:pt>
                <c:pt idx="22">
                  <c:v>0.63025248194299532</c:v>
                </c:pt>
                <c:pt idx="23">
                  <c:v>0.57605419765432808</c:v>
                </c:pt>
                <c:pt idx="24">
                  <c:v>0.51928644682284419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</c:ser>
        <c:ser>
          <c:idx val="11"/>
          <c:order val="11"/>
          <c:tx>
            <c:strRef>
              <c:f>'1310S'!$AL$40</c:f>
              <c:strCache>
                <c:ptCount val="1"/>
                <c:pt idx="0">
                  <c:v>Early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'1310S'!$AL$41:$AL$69</c:f>
              <c:numCache>
                <c:formatCode>General</c:formatCode>
                <c:ptCount val="29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</c:numCache>
            </c:numRef>
          </c:xVal>
          <c:yVal>
            <c:numRef>
              <c:f>'1310S'!$AI$41:$AI$69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0.48071355317715558</c:v>
                </c:pt>
                <c:pt idx="7">
                  <c:v>0.42394580234567192</c:v>
                </c:pt>
                <c:pt idx="8">
                  <c:v>0.36974751805700445</c:v>
                </c:pt>
                <c:pt idx="9">
                  <c:v>0.31956031073218982</c:v>
                </c:pt>
                <c:pt idx="10">
                  <c:v>0.2747158687658473</c:v>
                </c:pt>
                <c:pt idx="11">
                  <c:v>0.23638671686951662</c:v>
                </c:pt>
                <c:pt idx="12">
                  <c:v>0.20555248242060498</c:v>
                </c:pt>
                <c:pt idx="13">
                  <c:v>0.18298087166753607</c:v>
                </c:pt>
                <c:pt idx="14">
                  <c:v>0.16921952751370961</c:v>
                </c:pt>
                <c:pt idx="15">
                  <c:v>0.16459616094980856</c:v>
                </c:pt>
                <c:pt idx="16">
                  <c:v>0.16921952751370961</c:v>
                </c:pt>
                <c:pt idx="17">
                  <c:v>0.18298087166753607</c:v>
                </c:pt>
                <c:pt idx="18">
                  <c:v>0.20555248242060498</c:v>
                </c:pt>
                <c:pt idx="19">
                  <c:v>0.2363867168695164</c:v>
                </c:pt>
                <c:pt idx="20">
                  <c:v>0.2747158687658473</c:v>
                </c:pt>
                <c:pt idx="21">
                  <c:v>0.31956031073219004</c:v>
                </c:pt>
                <c:pt idx="22">
                  <c:v>0.36974751805700468</c:v>
                </c:pt>
                <c:pt idx="23">
                  <c:v>0.42394580234567192</c:v>
                </c:pt>
                <c:pt idx="24">
                  <c:v>0.48071355317715581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</c:ser>
        <c:ser>
          <c:idx val="12"/>
          <c:order val="12"/>
          <c:tx>
            <c:strRef>
              <c:f>'1310S'!$AM$40</c:f>
              <c:strCache>
                <c:ptCount val="1"/>
                <c:pt idx="0">
                  <c:v>Late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'1310S'!$AM$41:$AM$69</c:f>
              <c:numCache>
                <c:formatCode>General</c:formatCode>
                <c:ptCount val="29"/>
                <c:pt idx="0">
                  <c:v>-0.25</c:v>
                </c:pt>
                <c:pt idx="1">
                  <c:v>-0.2</c:v>
                </c:pt>
                <c:pt idx="2">
                  <c:v>-0.15000000000000002</c:v>
                </c:pt>
                <c:pt idx="3">
                  <c:v>-0.10000000000000002</c:v>
                </c:pt>
                <c:pt idx="4">
                  <c:v>-5.0000000000000017E-2</c:v>
                </c:pt>
                <c:pt idx="5">
                  <c:v>0</c:v>
                </c:pt>
                <c:pt idx="6">
                  <c:v>0.05</c:v>
                </c:pt>
                <c:pt idx="7">
                  <c:v>0.1</c:v>
                </c:pt>
                <c:pt idx="8">
                  <c:v>0.15000000000000002</c:v>
                </c:pt>
                <c:pt idx="9">
                  <c:v>0.2</c:v>
                </c:pt>
                <c:pt idx="10">
                  <c:v>0.25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</c:numCache>
            </c:numRef>
          </c:xVal>
          <c:yVal>
            <c:numRef>
              <c:f>'1310S'!$AI$41:$AI$69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0.48071355317715558</c:v>
                </c:pt>
                <c:pt idx="7">
                  <c:v>0.42394580234567192</c:v>
                </c:pt>
                <c:pt idx="8">
                  <c:v>0.36974751805700445</c:v>
                </c:pt>
                <c:pt idx="9">
                  <c:v>0.31956031073218982</c:v>
                </c:pt>
                <c:pt idx="10">
                  <c:v>0.2747158687658473</c:v>
                </c:pt>
                <c:pt idx="11">
                  <c:v>0.23638671686951662</c:v>
                </c:pt>
                <c:pt idx="12">
                  <c:v>0.20555248242060498</c:v>
                </c:pt>
                <c:pt idx="13">
                  <c:v>0.18298087166753607</c:v>
                </c:pt>
                <c:pt idx="14">
                  <c:v>0.16921952751370961</c:v>
                </c:pt>
                <c:pt idx="15">
                  <c:v>0.16459616094980856</c:v>
                </c:pt>
                <c:pt idx="16">
                  <c:v>0.16921952751370961</c:v>
                </c:pt>
                <c:pt idx="17">
                  <c:v>0.18298087166753607</c:v>
                </c:pt>
                <c:pt idx="18">
                  <c:v>0.20555248242060498</c:v>
                </c:pt>
                <c:pt idx="19">
                  <c:v>0.2363867168695164</c:v>
                </c:pt>
                <c:pt idx="20">
                  <c:v>0.2747158687658473</c:v>
                </c:pt>
                <c:pt idx="21">
                  <c:v>0.31956031073219004</c:v>
                </c:pt>
                <c:pt idx="22">
                  <c:v>0.36974751805700468</c:v>
                </c:pt>
                <c:pt idx="23">
                  <c:v>0.42394580234567192</c:v>
                </c:pt>
                <c:pt idx="24">
                  <c:v>0.48071355317715581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</c:ser>
        <c:ser>
          <c:idx val="13"/>
          <c:order val="13"/>
          <c:tx>
            <c:strRef>
              <c:f>'1310S'!$AT$39:$AT$40</c:f>
              <c:strCache>
                <c:ptCount val="1"/>
                <c:pt idx="0">
                  <c:v>Txvr/link oio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'1310S'!$AL$55:$AL$69</c:f>
              <c:numCache>
                <c:formatCode>General</c:formatCode>
                <c:ptCount val="15"/>
                <c:pt idx="0">
                  <c:v>0.44999999999999996</c:v>
                </c:pt>
                <c:pt idx="1">
                  <c:v>0.49999999999999994</c:v>
                </c:pt>
                <c:pt idx="2">
                  <c:v>0.54999999999999993</c:v>
                </c:pt>
                <c:pt idx="3">
                  <c:v>0.6</c:v>
                </c:pt>
                <c:pt idx="4">
                  <c:v>0.65</c:v>
                </c:pt>
                <c:pt idx="5">
                  <c:v>0.70000000000000007</c:v>
                </c:pt>
                <c:pt idx="6">
                  <c:v>0.75000000000000011</c:v>
                </c:pt>
                <c:pt idx="7">
                  <c:v>0.80000000000000016</c:v>
                </c:pt>
                <c:pt idx="8">
                  <c:v>0.8500000000000002</c:v>
                </c:pt>
                <c:pt idx="9">
                  <c:v>0.90000000000000024</c:v>
                </c:pt>
                <c:pt idx="10">
                  <c:v>0.95000000000000029</c:v>
                </c:pt>
                <c:pt idx="11">
                  <c:v>1.0000000000000002</c:v>
                </c:pt>
                <c:pt idx="12">
                  <c:v>1.0500000000000003</c:v>
                </c:pt>
                <c:pt idx="13">
                  <c:v>1.1000000000000003</c:v>
                </c:pt>
                <c:pt idx="14">
                  <c:v>1.1500000000000004</c:v>
                </c:pt>
              </c:numCache>
            </c:numRef>
          </c:xVal>
          <c:yVal>
            <c:numRef>
              <c:f>'1310S'!$AT$55:$AT$69</c:f>
              <c:numCache>
                <c:formatCode>0%</c:formatCode>
                <c:ptCount val="15"/>
                <c:pt idx="0">
                  <c:v>0.79729350719623193</c:v>
                </c:pt>
                <c:pt idx="1">
                  <c:v>0.80150086101729601</c:v>
                </c:pt>
                <c:pt idx="2">
                  <c:v>0.79729350719623193</c:v>
                </c:pt>
                <c:pt idx="3">
                  <c:v>0.78477788368494661</c:v>
                </c:pt>
                <c:pt idx="4">
                  <c:v>0.76427134783434503</c:v>
                </c:pt>
                <c:pt idx="5">
                  <c:v>0.73629554028300537</c:v>
                </c:pt>
                <c:pt idx="6">
                  <c:v>0.70156600741890363</c:v>
                </c:pt>
                <c:pt idx="7">
                  <c:v>0.66097364713611695</c:v>
                </c:pt>
                <c:pt idx="8">
                  <c:v>0.61555905680659651</c:v>
                </c:pt>
                <c:pt idx="9">
                  <c:v>0.56647823435990308</c:v>
                </c:pt>
                <c:pt idx="10">
                  <c:v>0.51496026784891091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14"/>
          <c:order val="14"/>
          <c:tx>
            <c:strRef>
              <c:f>'1310S'!$AT$39:$AT$40</c:f>
              <c:strCache>
                <c:ptCount val="1"/>
                <c:pt idx="0">
                  <c:v>Txvr/link oio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'1310S'!$AM$43:$AM$57</c:f>
              <c:numCache>
                <c:formatCode>General</c:formatCode>
                <c:ptCount val="15"/>
                <c:pt idx="0">
                  <c:v>-0.15000000000000002</c:v>
                </c:pt>
                <c:pt idx="1">
                  <c:v>-0.10000000000000002</c:v>
                </c:pt>
                <c:pt idx="2">
                  <c:v>-5.0000000000000017E-2</c:v>
                </c:pt>
                <c:pt idx="3">
                  <c:v>0</c:v>
                </c:pt>
                <c:pt idx="4">
                  <c:v>0.05</c:v>
                </c:pt>
                <c:pt idx="5">
                  <c:v>0.1</c:v>
                </c:pt>
                <c:pt idx="6">
                  <c:v>0.15000000000000002</c:v>
                </c:pt>
                <c:pt idx="7">
                  <c:v>0.2</c:v>
                </c:pt>
                <c:pt idx="8">
                  <c:v>0.25</c:v>
                </c:pt>
                <c:pt idx="9">
                  <c:v>0.3</c:v>
                </c:pt>
                <c:pt idx="10">
                  <c:v>0.35</c:v>
                </c:pt>
                <c:pt idx="11">
                  <c:v>0.39999999999999997</c:v>
                </c:pt>
                <c:pt idx="12">
                  <c:v>0.44999999999999996</c:v>
                </c:pt>
                <c:pt idx="13">
                  <c:v>0.49999999999999994</c:v>
                </c:pt>
                <c:pt idx="14">
                  <c:v>0.54999999999999993</c:v>
                </c:pt>
              </c:numCache>
            </c:numRef>
          </c:xVal>
          <c:yVal>
            <c:numRef>
              <c:f>'1310S'!$AT$43:$AT$57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0.51496026784891114</c:v>
                </c:pt>
                <c:pt idx="5">
                  <c:v>0.56647823435990308</c:v>
                </c:pt>
                <c:pt idx="6">
                  <c:v>0.61555905680659673</c:v>
                </c:pt>
                <c:pt idx="7">
                  <c:v>0.66097364713611739</c:v>
                </c:pt>
                <c:pt idx="8">
                  <c:v>0.70156600741890385</c:v>
                </c:pt>
                <c:pt idx="9">
                  <c:v>0.73629554028300537</c:v>
                </c:pt>
                <c:pt idx="10">
                  <c:v>0.76427134783434503</c:v>
                </c:pt>
                <c:pt idx="11">
                  <c:v>0.78477788368494661</c:v>
                </c:pt>
                <c:pt idx="12">
                  <c:v>0.79729350719623193</c:v>
                </c:pt>
                <c:pt idx="13">
                  <c:v>0.80150086101729601</c:v>
                </c:pt>
                <c:pt idx="14">
                  <c:v>0.79729350719623193</c:v>
                </c:pt>
              </c:numCache>
            </c:numRef>
          </c:yVal>
        </c:ser>
        <c:ser>
          <c:idx val="15"/>
          <c:order val="15"/>
          <c:tx>
            <c:strRef>
              <c:f>'1310S'!$AW$39:$AW$40</c:f>
              <c:strCache>
                <c:ptCount val="1"/>
                <c:pt idx="0">
                  <c:v>Txvr/link ioi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'1310S'!$AL$55:$AL$69</c:f>
              <c:numCache>
                <c:formatCode>General</c:formatCode>
                <c:ptCount val="15"/>
                <c:pt idx="0">
                  <c:v>0.44999999999999996</c:v>
                </c:pt>
                <c:pt idx="1">
                  <c:v>0.49999999999999994</c:v>
                </c:pt>
                <c:pt idx="2">
                  <c:v>0.54999999999999993</c:v>
                </c:pt>
                <c:pt idx="3">
                  <c:v>0.6</c:v>
                </c:pt>
                <c:pt idx="4">
                  <c:v>0.65</c:v>
                </c:pt>
                <c:pt idx="5">
                  <c:v>0.70000000000000007</c:v>
                </c:pt>
                <c:pt idx="6">
                  <c:v>0.75000000000000011</c:v>
                </c:pt>
                <c:pt idx="7">
                  <c:v>0.80000000000000016</c:v>
                </c:pt>
                <c:pt idx="8">
                  <c:v>0.8500000000000002</c:v>
                </c:pt>
                <c:pt idx="9">
                  <c:v>0.90000000000000024</c:v>
                </c:pt>
                <c:pt idx="10">
                  <c:v>0.95000000000000029</c:v>
                </c:pt>
                <c:pt idx="11">
                  <c:v>1.0000000000000002</c:v>
                </c:pt>
                <c:pt idx="12">
                  <c:v>1.0500000000000003</c:v>
                </c:pt>
                <c:pt idx="13">
                  <c:v>1.1000000000000003</c:v>
                </c:pt>
                <c:pt idx="14">
                  <c:v>1.1500000000000004</c:v>
                </c:pt>
              </c:numCache>
            </c:numRef>
          </c:xVal>
          <c:yVal>
            <c:numRef>
              <c:f>'1310S'!$AW$55:$AW$69</c:f>
              <c:numCache>
                <c:formatCode>0%</c:formatCode>
                <c:ptCount val="15"/>
                <c:pt idx="0">
                  <c:v>0.20270649280376807</c:v>
                </c:pt>
                <c:pt idx="1">
                  <c:v>0.19849913898270399</c:v>
                </c:pt>
                <c:pt idx="2">
                  <c:v>0.20270649280376807</c:v>
                </c:pt>
                <c:pt idx="3">
                  <c:v>0.21522211631505339</c:v>
                </c:pt>
                <c:pt idx="4">
                  <c:v>0.23572865216565497</c:v>
                </c:pt>
                <c:pt idx="5">
                  <c:v>0.26370445971699463</c:v>
                </c:pt>
                <c:pt idx="6">
                  <c:v>0.29843399258109637</c:v>
                </c:pt>
                <c:pt idx="7">
                  <c:v>0.33902635286388305</c:v>
                </c:pt>
                <c:pt idx="8">
                  <c:v>0.38444094319340349</c:v>
                </c:pt>
                <c:pt idx="9">
                  <c:v>0.43352176564009692</c:v>
                </c:pt>
                <c:pt idx="10">
                  <c:v>0.48503973215108909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16"/>
          <c:order val="16"/>
          <c:tx>
            <c:strRef>
              <c:f>'1310S'!$AW$39:$AW$40</c:f>
              <c:strCache>
                <c:ptCount val="1"/>
                <c:pt idx="0">
                  <c:v>Txvr/link ioi</c:v>
                </c:pt>
              </c:strCache>
            </c:strRef>
          </c:tx>
          <c:spPr>
            <a:ln w="25400">
              <a:solidFill>
                <a:srgbClr val="3366FF"/>
              </a:solidFill>
              <a:prstDash val="lgDash"/>
            </a:ln>
          </c:spPr>
          <c:marker>
            <c:symbol val="none"/>
          </c:marker>
          <c:xVal>
            <c:numRef>
              <c:f>'1310S'!$AM$43:$AM$57</c:f>
              <c:numCache>
                <c:formatCode>General</c:formatCode>
                <c:ptCount val="15"/>
                <c:pt idx="0">
                  <c:v>-0.15000000000000002</c:v>
                </c:pt>
                <c:pt idx="1">
                  <c:v>-0.10000000000000002</c:v>
                </c:pt>
                <c:pt idx="2">
                  <c:v>-5.0000000000000017E-2</c:v>
                </c:pt>
                <c:pt idx="3">
                  <c:v>0</c:v>
                </c:pt>
                <c:pt idx="4">
                  <c:v>0.05</c:v>
                </c:pt>
                <c:pt idx="5">
                  <c:v>0.1</c:v>
                </c:pt>
                <c:pt idx="6">
                  <c:v>0.15000000000000002</c:v>
                </c:pt>
                <c:pt idx="7">
                  <c:v>0.2</c:v>
                </c:pt>
                <c:pt idx="8">
                  <c:v>0.25</c:v>
                </c:pt>
                <c:pt idx="9">
                  <c:v>0.3</c:v>
                </c:pt>
                <c:pt idx="10">
                  <c:v>0.35</c:v>
                </c:pt>
                <c:pt idx="11">
                  <c:v>0.39999999999999997</c:v>
                </c:pt>
                <c:pt idx="12">
                  <c:v>0.44999999999999996</c:v>
                </c:pt>
                <c:pt idx="13">
                  <c:v>0.49999999999999994</c:v>
                </c:pt>
                <c:pt idx="14">
                  <c:v>0.54999999999999993</c:v>
                </c:pt>
              </c:numCache>
            </c:numRef>
          </c:xVal>
          <c:yVal>
            <c:numRef>
              <c:f>'1310S'!$AW$43:$AW$57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0.48503973215108886</c:v>
                </c:pt>
                <c:pt idx="5">
                  <c:v>0.43352176564009692</c:v>
                </c:pt>
                <c:pt idx="6">
                  <c:v>0.38444094319340327</c:v>
                </c:pt>
                <c:pt idx="7">
                  <c:v>0.33902635286388261</c:v>
                </c:pt>
                <c:pt idx="8">
                  <c:v>0.29843399258109615</c:v>
                </c:pt>
                <c:pt idx="9">
                  <c:v>0.26370445971699463</c:v>
                </c:pt>
                <c:pt idx="10">
                  <c:v>0.23572865216565497</c:v>
                </c:pt>
                <c:pt idx="11">
                  <c:v>0.21522211631505339</c:v>
                </c:pt>
                <c:pt idx="12">
                  <c:v>0.20270649280376807</c:v>
                </c:pt>
                <c:pt idx="13">
                  <c:v>0.19849913898270399</c:v>
                </c:pt>
                <c:pt idx="14">
                  <c:v>0.20270649280376807</c:v>
                </c:pt>
              </c:numCache>
            </c:numRef>
          </c:yVal>
        </c:ser>
        <c:ser>
          <c:idx val="17"/>
          <c:order val="17"/>
          <c:tx>
            <c:strRef>
              <c:f>'1310S'!$AI$8</c:f>
              <c:strCache>
                <c:ptCount val="1"/>
                <c:pt idx="0">
                  <c:v>3.6 dB ISI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ash"/>
            <c:size val="10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'1310S'!$AJ$8:$AJ$9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'1310S'!$AK$8:$AK$9</c:f>
              <c:numCache>
                <c:formatCode>0.00</c:formatCode>
                <c:ptCount val="2"/>
                <c:pt idx="0">
                  <c:v>0.71825791612008294</c:v>
                </c:pt>
                <c:pt idx="1">
                  <c:v>0.28174208387991706</c:v>
                </c:pt>
              </c:numCache>
            </c:numRef>
          </c:yVal>
        </c:ser>
        <c:axId val="96948992"/>
        <c:axId val="96951296"/>
      </c:scatterChart>
      <c:valAx>
        <c:axId val="96948992"/>
        <c:scaling>
          <c:orientation val="minMax"/>
          <c:max val="1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(UI)</a:t>
                </a:r>
              </a:p>
            </c:rich>
          </c:tx>
          <c:layout>
            <c:manualLayout>
              <c:xMode val="edge"/>
              <c:yMode val="edge"/>
              <c:x val="0.470086777974703"/>
              <c:y val="0.906978215483245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951296"/>
        <c:crosses val="autoZero"/>
        <c:crossBetween val="midCat"/>
      </c:valAx>
      <c:valAx>
        <c:axId val="96951296"/>
        <c:scaling>
          <c:orientation val="minMax"/>
          <c:max val="1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94899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22" r="0.75000000000000322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258536</xdr:colOff>
      <xdr:row>37</xdr:row>
      <xdr:rowOff>189139</xdr:rowOff>
    </xdr:from>
    <xdr:to>
      <xdr:col>23</xdr:col>
      <xdr:colOff>517070</xdr:colOff>
      <xdr:row>53</xdr:row>
      <xdr:rowOff>8164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23131</xdr:colOff>
      <xdr:row>37</xdr:row>
      <xdr:rowOff>189139</xdr:rowOff>
    </xdr:from>
    <xdr:to>
      <xdr:col>16</xdr:col>
      <xdr:colOff>262618</xdr:colOff>
      <xdr:row>53</xdr:row>
      <xdr:rowOff>8164</xdr:rowOff>
    </xdr:to>
    <xdr:graphicFrame macro="">
      <xdr:nvGraphicFramePr>
        <xdr:cNvPr id="3" name="Chart 3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258536</xdr:colOff>
      <xdr:row>37</xdr:row>
      <xdr:rowOff>189139</xdr:rowOff>
    </xdr:from>
    <xdr:to>
      <xdr:col>23</xdr:col>
      <xdr:colOff>517070</xdr:colOff>
      <xdr:row>53</xdr:row>
      <xdr:rowOff>8164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23131</xdr:colOff>
      <xdr:row>37</xdr:row>
      <xdr:rowOff>189139</xdr:rowOff>
    </xdr:from>
    <xdr:to>
      <xdr:col>16</xdr:col>
      <xdr:colOff>262618</xdr:colOff>
      <xdr:row>53</xdr:row>
      <xdr:rowOff>8164</xdr:rowOff>
    </xdr:to>
    <xdr:graphicFrame macro="">
      <xdr:nvGraphicFramePr>
        <xdr:cNvPr id="3" name="Chart 3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36</xdr:row>
      <xdr:rowOff>161925</xdr:rowOff>
    </xdr:from>
    <xdr:to>
      <xdr:col>24</xdr:col>
      <xdr:colOff>0</xdr:colOff>
      <xdr:row>51</xdr:row>
      <xdr:rowOff>171450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36</xdr:row>
      <xdr:rowOff>161925</xdr:rowOff>
    </xdr:from>
    <xdr:to>
      <xdr:col>14</xdr:col>
      <xdr:colOff>85725</xdr:colOff>
      <xdr:row>51</xdr:row>
      <xdr:rowOff>171450</xdr:rowOff>
    </xdr:to>
    <xdr:graphicFrame macro="">
      <xdr:nvGraphicFramePr>
        <xdr:cNvPr id="1359" name="Chart 3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eee802.org/3/efm/public/sep01/dawe_1_0901.pdf" TargetMode="External"/><Relationship Id="rId3" Type="http://schemas.openxmlformats.org/officeDocument/2006/relationships/hyperlink" Target="http://grouper.ieee.org/groups/802/3/10G_study/public/email_attach/All_1250v2.xls" TargetMode="External"/><Relationship Id="rId7" Type="http://schemas.openxmlformats.org/officeDocument/2006/relationships/hyperlink" Target="http://www.ieee802.org/3/efm/public/sep01/dawe_1_0901.pdf" TargetMode="External"/><Relationship Id="rId2" Type="http://schemas.openxmlformats.org/officeDocument/2006/relationships/hyperlink" Target="http://grouper.ieee.org/groups/802/3/10G_study/public/email_attach/All_1250.xls" TargetMode="External"/><Relationship Id="rId1" Type="http://schemas.openxmlformats.org/officeDocument/2006/relationships/hyperlink" Target="http://grouper.ieee.org/groups/802/3/10G_study/public/email_attach/All_1250.xls" TargetMode="External"/><Relationship Id="rId6" Type="http://schemas.openxmlformats.org/officeDocument/2006/relationships/hyperlink" Target="http://www.ieee802.org/3/ae/public/oct01/dawe_1_1001.pdf" TargetMode="External"/><Relationship Id="rId5" Type="http://schemas.openxmlformats.org/officeDocument/2006/relationships/hyperlink" Target="http://www.ieee802.org/3/z/public/presentations/mar1997/DCwpaper.pdf" TargetMode="External"/><Relationship Id="rId4" Type="http://schemas.openxmlformats.org/officeDocument/2006/relationships/hyperlink" Target="http://www.ieee802.org/3/ae/public/adhoc/serial_pmd/documents/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A3" sqref="A3"/>
    </sheetView>
  </sheetViews>
  <sheetFormatPr defaultRowHeight="12.75"/>
  <cols>
    <col min="1" max="16384" width="9.140625" style="428"/>
  </cols>
  <sheetData>
    <row r="1" spans="1:7" ht="13.5">
      <c r="A1" s="709" t="s">
        <v>465</v>
      </c>
      <c r="B1" s="709"/>
      <c r="C1" s="709"/>
      <c r="D1" s="710"/>
      <c r="E1" s="429">
        <v>41218</v>
      </c>
      <c r="F1" s="709"/>
      <c r="G1" s="709"/>
    </row>
    <row r="2" spans="1:7" ht="13.5">
      <c r="A2" s="709"/>
      <c r="B2" s="709"/>
      <c r="C2" s="709"/>
      <c r="D2" s="710"/>
      <c r="E2" s="806"/>
      <c r="F2" s="709"/>
      <c r="G2" s="709"/>
    </row>
    <row r="3" spans="1:7" ht="13.5">
      <c r="A3" s="429">
        <v>41218</v>
      </c>
      <c r="B3" s="709" t="s">
        <v>468</v>
      </c>
      <c r="C3" s="709"/>
      <c r="D3" s="710"/>
      <c r="E3" s="710"/>
      <c r="F3" s="710"/>
      <c r="G3" s="710"/>
    </row>
    <row r="4" spans="1:7" ht="13.5">
      <c r="A4" s="429"/>
      <c r="B4" s="709" t="s">
        <v>457</v>
      </c>
      <c r="C4" s="709"/>
      <c r="D4" s="710"/>
      <c r="E4" s="710"/>
      <c r="F4" s="710"/>
      <c r="G4" s="710"/>
    </row>
    <row r="5" spans="1:7" ht="13.5">
      <c r="A5" s="429"/>
      <c r="B5" s="709" t="s">
        <v>458</v>
      </c>
      <c r="C5" s="709"/>
      <c r="D5" s="710"/>
      <c r="E5" s="710"/>
      <c r="F5" s="710"/>
      <c r="G5" s="710"/>
    </row>
    <row r="6" spans="1:7" ht="13.5">
      <c r="A6" s="429"/>
      <c r="B6" s="709" t="s">
        <v>459</v>
      </c>
      <c r="C6" s="709"/>
      <c r="D6" s="710"/>
      <c r="E6" s="710"/>
      <c r="F6" s="710"/>
      <c r="G6" s="710"/>
    </row>
    <row r="7" spans="1:7" ht="13.5">
      <c r="A7" s="429"/>
      <c r="B7" s="709" t="s">
        <v>460</v>
      </c>
      <c r="C7" s="709"/>
      <c r="D7" s="710"/>
      <c r="E7" s="710"/>
      <c r="F7" s="710"/>
      <c r="G7" s="710"/>
    </row>
    <row r="8" spans="1:7" ht="13.5">
      <c r="A8" s="429"/>
      <c r="B8" s="709" t="s">
        <v>461</v>
      </c>
      <c r="C8" s="709"/>
      <c r="D8" s="710"/>
      <c r="E8" s="710"/>
      <c r="F8" s="710"/>
      <c r="G8" s="710"/>
    </row>
    <row r="9" spans="1:7" ht="13.5">
      <c r="A9" s="429"/>
      <c r="B9" s="709" t="s">
        <v>462</v>
      </c>
      <c r="C9" s="709"/>
      <c r="D9" s="710"/>
      <c r="E9" s="710"/>
      <c r="F9" s="710"/>
      <c r="G9" s="710"/>
    </row>
    <row r="10" spans="1:7" ht="13.5">
      <c r="A10" s="429"/>
      <c r="B10" s="709" t="s">
        <v>466</v>
      </c>
      <c r="C10" s="709"/>
      <c r="D10" s="710"/>
      <c r="E10" s="710"/>
      <c r="F10" s="710"/>
      <c r="G10" s="710"/>
    </row>
    <row r="11" spans="1:7" ht="13.5">
      <c r="A11" s="429"/>
      <c r="B11" s="709" t="s">
        <v>463</v>
      </c>
      <c r="C11" s="709"/>
      <c r="D11" s="710"/>
      <c r="E11" s="710"/>
      <c r="F11" s="710"/>
      <c r="G11" s="710"/>
    </row>
    <row r="12" spans="1:7" ht="13.5">
      <c r="A12" s="429"/>
      <c r="B12" s="807" t="s">
        <v>464</v>
      </c>
      <c r="C12" s="709"/>
      <c r="D12" s="710"/>
      <c r="E12" s="710"/>
      <c r="F12" s="710"/>
      <c r="G12" s="710"/>
    </row>
    <row r="13" spans="1:7" ht="13.5">
      <c r="A13" s="429"/>
      <c r="B13" s="807" t="s">
        <v>467</v>
      </c>
      <c r="C13" s="709"/>
      <c r="D13" s="710"/>
      <c r="E13" s="710"/>
      <c r="F13" s="710"/>
      <c r="G13" s="710"/>
    </row>
    <row r="14" spans="1:7" ht="13.5">
      <c r="A14" s="429"/>
      <c r="B14" s="807"/>
      <c r="C14" s="709"/>
      <c r="D14" s="710"/>
      <c r="E14" s="710"/>
      <c r="F14" s="710"/>
      <c r="G14" s="710"/>
    </row>
    <row r="15" spans="1:7" ht="13.5">
      <c r="A15" s="429"/>
      <c r="B15" s="807"/>
      <c r="C15" s="709"/>
      <c r="D15" s="710"/>
      <c r="E15" s="710"/>
      <c r="F15" s="710"/>
      <c r="G15" s="710"/>
    </row>
  </sheetData>
  <pageMargins left="0.45" right="0.45" top="0.5" bottom="0.5" header="0.3" footer="0.3"/>
  <pageSetup orientation="landscape" r:id="rId1"/>
  <headerFooter>
    <oddFooter>&amp;L&amp;"Arial Narrow,Regular"&amp;F &amp;A&amp;C&amp;"Arial Narrow,Regular"Avago Technologies &amp;R&amp;"Arial Narrow,Regular"&amp;D &amp;T 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AW131"/>
  <sheetViews>
    <sheetView showGridLines="0" tabSelected="1" showOutlineSymbols="0" zoomScale="67" zoomScaleNormal="67" workbookViewId="0">
      <pane ySplit="3315" topLeftCell="A28" activePane="bottomLeft"/>
      <selection activeCell="P8" sqref="P8"/>
      <selection pane="bottomLeft" activeCell="W28" sqref="W28"/>
    </sheetView>
  </sheetViews>
  <sheetFormatPr defaultColWidth="11.140625" defaultRowHeight="15.75"/>
  <cols>
    <col min="1" max="1" width="8.5703125" style="71" customWidth="1"/>
    <col min="2" max="2" width="8.28515625" style="13" customWidth="1"/>
    <col min="3" max="3" width="9.5703125" style="13" customWidth="1"/>
    <col min="4" max="4" width="7.28515625" style="13" bestFit="1" customWidth="1"/>
    <col min="5" max="5" width="6.28515625" style="13" customWidth="1"/>
    <col min="6" max="6" width="8.5703125" style="13" customWidth="1"/>
    <col min="7" max="7" width="9" style="13" customWidth="1"/>
    <col min="8" max="9" width="6.5703125" style="13" customWidth="1"/>
    <col min="10" max="10" width="7.5703125" style="13" customWidth="1"/>
    <col min="11" max="11" width="7.28515625" style="13" customWidth="1"/>
    <col min="12" max="12" width="7.7109375" style="13" bestFit="1" customWidth="1"/>
    <col min="13" max="13" width="7.42578125" style="13" customWidth="1"/>
    <col min="14" max="14" width="7" style="13" customWidth="1"/>
    <col min="15" max="15" width="8.85546875" style="13" customWidth="1"/>
    <col min="16" max="16" width="9" style="13" customWidth="1"/>
    <col min="17" max="17" width="7" style="13" customWidth="1"/>
    <col min="18" max="18" width="8" style="98" customWidth="1"/>
    <col min="19" max="19" width="8" style="13" customWidth="1"/>
    <col min="20" max="20" width="7.7109375" style="95" customWidth="1"/>
    <col min="21" max="21" width="7.140625" style="95" customWidth="1"/>
    <col min="22" max="22" width="10.28515625" style="13" customWidth="1"/>
    <col min="23" max="23" width="7.7109375" style="13" customWidth="1"/>
    <col min="24" max="24" width="8.140625" style="19" customWidth="1"/>
    <col min="25" max="25" width="8.85546875" style="19" customWidth="1"/>
    <col min="26" max="26" width="8.140625" style="13" customWidth="1"/>
    <col min="27" max="27" width="8.5703125" style="13" customWidth="1"/>
    <col min="28" max="37" width="8.7109375" style="13" customWidth="1"/>
    <col min="38" max="38" width="5.85546875" style="13" customWidth="1"/>
    <col min="39" max="39" width="6.140625" style="13" customWidth="1"/>
    <col min="40" max="40" width="6.85546875" style="13" customWidth="1"/>
    <col min="41" max="41" width="7.140625" style="13" customWidth="1"/>
    <col min="42" max="42" width="8.28515625" style="13" customWidth="1"/>
    <col min="43" max="43" width="8.7109375" style="13" customWidth="1"/>
    <col min="44" max="45" width="8.7109375" style="13" bestFit="1" customWidth="1"/>
    <col min="46" max="46" width="9.7109375" style="13" bestFit="1" customWidth="1"/>
    <col min="47" max="47" width="8.7109375" style="13" bestFit="1" customWidth="1"/>
    <col min="48" max="48" width="5.85546875" style="13" bestFit="1" customWidth="1"/>
    <col min="49" max="49" width="9.5703125" style="13" bestFit="1" customWidth="1"/>
    <col min="50" max="16384" width="11.140625" style="13"/>
  </cols>
  <sheetData>
    <row r="1" spans="1:49" s="7" customFormat="1">
      <c r="A1" s="460" t="s">
        <v>0</v>
      </c>
      <c r="B1" s="461"/>
      <c r="C1" s="461"/>
      <c r="D1" s="461"/>
      <c r="E1" s="3"/>
      <c r="F1" s="3"/>
      <c r="G1" s="3"/>
      <c r="H1" s="3"/>
      <c r="I1" s="5"/>
      <c r="J1" s="5"/>
      <c r="K1" s="5"/>
      <c r="L1" s="5"/>
      <c r="M1" s="5"/>
      <c r="N1" s="462" t="s">
        <v>3</v>
      </c>
      <c r="O1" s="99" t="str">
        <f>'10GbE Notes'!G2</f>
        <v>3.2/3</v>
      </c>
      <c r="P1" s="5"/>
      <c r="Q1" s="463" t="s">
        <v>151</v>
      </c>
      <c r="R1" s="819" t="str">
        <f>'10GbE Notes'!A1</f>
        <v>10GEPBud3_1_16a.xls</v>
      </c>
      <c r="S1" s="820"/>
      <c r="T1" s="820"/>
      <c r="U1" s="820"/>
      <c r="V1" s="166" t="s">
        <v>12</v>
      </c>
      <c r="W1" s="821">
        <f>'10GbE Notes'!E2</f>
        <v>37181</v>
      </c>
      <c r="X1" s="822"/>
      <c r="Y1" s="515"/>
      <c r="AA1" s="133"/>
      <c r="AB1" s="26"/>
      <c r="AD1" s="191"/>
      <c r="AF1" s="123"/>
      <c r="AG1" s="314"/>
      <c r="AH1" s="5"/>
      <c r="AJ1" s="118" t="s">
        <v>298</v>
      </c>
      <c r="AK1" s="367">
        <f>MAX(MIN(B_1*Tb_eff*($G$9+1)/(SQRT(8)*AG9),10),-10)</f>
        <v>1.2881655558426883</v>
      </c>
    </row>
    <row r="2" spans="1:49">
      <c r="A2" s="114" t="s">
        <v>128</v>
      </c>
      <c r="B2" s="464" t="s">
        <v>6</v>
      </c>
      <c r="C2" s="465" t="s">
        <v>7</v>
      </c>
      <c r="D2" s="466"/>
      <c r="E2" s="5"/>
      <c r="F2" s="464" t="s">
        <v>132</v>
      </c>
      <c r="G2" s="813">
        <v>18</v>
      </c>
      <c r="H2" s="466" t="s">
        <v>10</v>
      </c>
      <c r="I2" s="341" t="s">
        <v>1</v>
      </c>
      <c r="J2" s="823" t="s">
        <v>149</v>
      </c>
      <c r="K2" s="823"/>
      <c r="L2" s="824" t="s">
        <v>2</v>
      </c>
      <c r="M2" s="825"/>
      <c r="N2" s="140"/>
      <c r="O2" s="463" t="s">
        <v>139</v>
      </c>
      <c r="P2" s="148">
        <v>0.42399999999999999</v>
      </c>
      <c r="Q2" s="127" t="s">
        <v>140</v>
      </c>
      <c r="R2" s="107"/>
      <c r="S2" s="352"/>
      <c r="T2" s="145" t="s">
        <v>11</v>
      </c>
      <c r="U2" s="146" t="str">
        <f>'10GbE Notes'!F16</f>
        <v>3.1.16a</v>
      </c>
      <c r="V2" s="248" t="s">
        <v>12</v>
      </c>
      <c r="W2" s="826">
        <f>'10GbE Notes'!D16</f>
        <v>37195</v>
      </c>
      <c r="X2" s="827"/>
      <c r="Y2" s="94"/>
      <c r="Z2" s="352"/>
      <c r="AA2" s="123"/>
      <c r="AB2" s="352"/>
      <c r="AC2" s="71"/>
      <c r="AD2" s="191"/>
      <c r="AE2" s="71"/>
      <c r="AF2" s="123"/>
      <c r="AG2" s="377"/>
      <c r="AH2" s="71"/>
      <c r="AI2" s="83"/>
      <c r="AJ2" s="118" t="s">
        <v>299</v>
      </c>
      <c r="AK2" s="368">
        <f>MAX(MIN(B_1*Tb_eff*(1-$G$9)/(SQRT(8)*AG9),10),-10)</f>
        <v>0.78651104520195003</v>
      </c>
    </row>
    <row r="3" spans="1:49" ht="15" customHeight="1">
      <c r="A3" s="117"/>
      <c r="B3" s="195" t="s">
        <v>28</v>
      </c>
      <c r="C3" s="725">
        <v>4.0266099999999998</v>
      </c>
      <c r="D3" s="119"/>
      <c r="E3" s="7"/>
      <c r="F3" s="195" t="s">
        <v>133</v>
      </c>
      <c r="G3" s="613">
        <f>G2*1.518</f>
        <v>27.324000000000002</v>
      </c>
      <c r="H3" s="468" t="s">
        <v>10</v>
      </c>
      <c r="I3" s="240" t="s">
        <v>99</v>
      </c>
      <c r="J3" s="5"/>
      <c r="K3" s="463" t="s">
        <v>8</v>
      </c>
      <c r="L3" s="600">
        <f>L4+10*L5</f>
        <v>2</v>
      </c>
      <c r="M3" s="127" t="s">
        <v>9</v>
      </c>
      <c r="N3" s="149" t="s">
        <v>138</v>
      </c>
      <c r="O3" s="133" t="s">
        <v>141</v>
      </c>
      <c r="P3" s="7">
        <f>IF(Uc&lt;1000,850,1310)</f>
        <v>1310</v>
      </c>
      <c r="Q3" s="119" t="s">
        <v>125</v>
      </c>
      <c r="R3" s="469"/>
      <c r="S3" s="365" t="s">
        <v>297</v>
      </c>
      <c r="T3" s="750">
        <v>-9.3000000000000007</v>
      </c>
      <c r="U3" s="470" t="s">
        <v>117</v>
      </c>
      <c r="V3" s="167" t="s">
        <v>33</v>
      </c>
      <c r="W3" s="168">
        <f>AO39</f>
        <v>-2.8287067714849456E-5</v>
      </c>
      <c r="X3" s="127" t="s">
        <v>152</v>
      </c>
      <c r="Y3" s="94"/>
      <c r="AA3" s="33" t="s">
        <v>41</v>
      </c>
      <c r="AB3" s="21">
        <v>2.5630000000000002</v>
      </c>
      <c r="AC3" s="20" t="s">
        <v>30</v>
      </c>
      <c r="AD3" s="191"/>
      <c r="AE3" s="71"/>
      <c r="AF3" s="33" t="s">
        <v>31</v>
      </c>
      <c r="AG3" s="198">
        <f>B_1*Tb_eff/(SQRT(8)*$T$7)</f>
        <v>1.9624228109863968</v>
      </c>
      <c r="AH3" s="20" t="s">
        <v>30</v>
      </c>
      <c r="AI3" s="83"/>
      <c r="AJ3" s="123" t="s">
        <v>300</v>
      </c>
      <c r="AK3" s="368">
        <f>ERF(AK1)+ERF(AK2)-1</f>
        <v>0.66549403880530966</v>
      </c>
    </row>
    <row r="4" spans="1:49" ht="15" customHeight="1">
      <c r="A4" s="11"/>
      <c r="B4" s="471" t="s">
        <v>38</v>
      </c>
      <c r="C4" s="748">
        <f>2.5*10312.5</f>
        <v>25781.25</v>
      </c>
      <c r="D4" s="472" t="s">
        <v>39</v>
      </c>
      <c r="E4" s="7"/>
      <c r="F4" s="133" t="s">
        <v>131</v>
      </c>
      <c r="G4" s="343">
        <v>-128</v>
      </c>
      <c r="H4" s="473" t="s">
        <v>37</v>
      </c>
      <c r="I4" s="474" t="s">
        <v>135</v>
      </c>
      <c r="J4" s="7"/>
      <c r="K4" s="195" t="s">
        <v>17</v>
      </c>
      <c r="L4" s="735">
        <v>1</v>
      </c>
      <c r="M4" s="468" t="s">
        <v>9</v>
      </c>
      <c r="N4" s="117"/>
      <c r="O4" s="195" t="s">
        <v>18</v>
      </c>
      <c r="P4" s="196">
        <f>IF(Uc&gt;1000,$P$2/1.4846,$P$2/3.5)</f>
        <v>0.28559881449548702</v>
      </c>
      <c r="Q4" s="119"/>
      <c r="R4" s="366" t="s">
        <v>57</v>
      </c>
      <c r="S4" s="197" t="s">
        <v>27</v>
      </c>
      <c r="T4" s="811">
        <v>-12</v>
      </c>
      <c r="U4" s="475" t="s">
        <v>23</v>
      </c>
      <c r="V4" s="169" t="s">
        <v>147</v>
      </c>
      <c r="W4" s="354"/>
      <c r="X4" s="208" t="str">
        <f>$L$3&amp;" km"</f>
        <v>2 km</v>
      </c>
      <c r="Y4" s="93"/>
      <c r="AA4" s="123" t="s">
        <v>24</v>
      </c>
      <c r="AB4" s="199">
        <f>0.7*$P$8*$C$7</f>
        <v>1.3019999999999999E-2</v>
      </c>
      <c r="AC4" s="8" t="s">
        <v>14</v>
      </c>
      <c r="AD4" s="67"/>
      <c r="AE4" s="71"/>
      <c r="AF4" s="33" t="s">
        <v>34</v>
      </c>
      <c r="AG4" s="65">
        <f>IF(ABS($AG$3)&lt;10,SIGN($AG$3)*ERF(ABS($AG$3)),SIGN($AG$3))</f>
        <v>0.99448466355799525</v>
      </c>
      <c r="AH4" s="20" t="s">
        <v>30</v>
      </c>
      <c r="AI4" s="83"/>
      <c r="AJ4" s="123" t="s">
        <v>301</v>
      </c>
      <c r="AK4" s="367">
        <f>AK3*(1-2*$L$10*10^(-$C17/10)*$AB$5*SQRT(2*ER*(AK3*(ER-1)+ER+1))/(AK3*(ER-1)))</f>
        <v>0.50113890588779253</v>
      </c>
    </row>
    <row r="5" spans="1:49" ht="15" customHeight="1">
      <c r="A5" s="114" t="s">
        <v>129</v>
      </c>
      <c r="B5" s="7"/>
      <c r="C5" s="7"/>
      <c r="D5" s="7"/>
      <c r="E5" s="7"/>
      <c r="F5" s="195" t="s">
        <v>42</v>
      </c>
      <c r="G5" s="626">
        <f>G4-2*C11</f>
        <v>-136.34059991327962</v>
      </c>
      <c r="H5" s="476" t="s">
        <v>37</v>
      </c>
      <c r="I5" s="477" t="s">
        <v>136</v>
      </c>
      <c r="J5" s="107"/>
      <c r="K5" s="471" t="s">
        <v>21</v>
      </c>
      <c r="L5" s="736">
        <v>0.1</v>
      </c>
      <c r="M5" s="132" t="s">
        <v>9</v>
      </c>
      <c r="N5" s="117"/>
      <c r="O5" s="478" t="s">
        <v>139</v>
      </c>
      <c r="P5" s="196">
        <f>$P$4*((1/(0.00094*Uc)^4)+1.05)</f>
        <v>0.42994539252777514</v>
      </c>
      <c r="Q5" s="119" t="s">
        <v>140</v>
      </c>
      <c r="R5" s="479"/>
      <c r="S5" s="478" t="s">
        <v>43</v>
      </c>
      <c r="T5" s="812">
        <f>0.75*$C$4</f>
        <v>19335.9375</v>
      </c>
      <c r="U5" s="468" t="s">
        <v>44</v>
      </c>
      <c r="V5" s="480" t="s">
        <v>271</v>
      </c>
      <c r="W5" s="749">
        <f>0.75*$C$4</f>
        <v>19335.9375</v>
      </c>
      <c r="X5" s="481" t="s">
        <v>44</v>
      </c>
      <c r="Y5" s="93"/>
      <c r="AA5" s="281" t="s">
        <v>4</v>
      </c>
      <c r="AB5" s="284">
        <f>10^(($G$12+$T$4)/20)</f>
        <v>6.3095734448019317E-2</v>
      </c>
      <c r="AC5" s="285" t="s">
        <v>5</v>
      </c>
      <c r="AD5" s="64"/>
      <c r="AE5" s="71"/>
      <c r="AF5" s="194" t="s">
        <v>48</v>
      </c>
      <c r="AG5" s="22">
        <f>ERF(MAX(MIN(B_1*Tb_eff*($L$13+1)/(SQRT(8)*$T$7),10),-10))+ERF(MAX(MIN(B_1*Tb_eff*(1-$L$13)/(SQRT(8)*$T$7),10),-10))-1</f>
        <v>0.97076857005422212</v>
      </c>
      <c r="AH5" s="193" t="s">
        <v>30</v>
      </c>
      <c r="AI5" s="83"/>
    </row>
    <row r="6" spans="1:49" ht="15" customHeight="1">
      <c r="A6" s="117"/>
      <c r="B6" s="195" t="s">
        <v>137</v>
      </c>
      <c r="C6" s="815">
        <v>1295</v>
      </c>
      <c r="D6" s="197" t="s">
        <v>125</v>
      </c>
      <c r="E6" s="7"/>
      <c r="F6" s="195" t="s">
        <v>26</v>
      </c>
      <c r="G6" s="375">
        <v>0.7</v>
      </c>
      <c r="H6" s="119"/>
      <c r="I6" s="7"/>
      <c r="J6" s="7"/>
      <c r="K6" s="478" t="s">
        <v>134</v>
      </c>
      <c r="L6" s="196">
        <f>C8-T3</f>
        <v>6.2000000000000011</v>
      </c>
      <c r="M6" s="136" t="s">
        <v>23</v>
      </c>
      <c r="N6" s="117"/>
      <c r="O6" s="133" t="s">
        <v>141</v>
      </c>
      <c r="P6" s="7">
        <f>Uc</f>
        <v>1295</v>
      </c>
      <c r="Q6" s="119" t="s">
        <v>125</v>
      </c>
      <c r="R6" s="482"/>
      <c r="S6" s="133" t="s">
        <v>51</v>
      </c>
      <c r="T6" s="26">
        <v>329</v>
      </c>
      <c r="U6" s="312" t="s">
        <v>46</v>
      </c>
      <c r="V6" s="483"/>
      <c r="W6" s="403"/>
      <c r="X6" s="484"/>
      <c r="Y6" s="93"/>
      <c r="AA6" s="195" t="s">
        <v>13</v>
      </c>
      <c r="AB6" s="196">
        <f>10^(C9/10)</f>
        <v>2.2404317927149706</v>
      </c>
      <c r="AC6" s="197" t="s">
        <v>5</v>
      </c>
      <c r="AD6" s="20"/>
      <c r="AF6" s="279" t="s">
        <v>277</v>
      </c>
      <c r="AG6" s="286">
        <f>kRIN*10^6*$AK$7*$AK$7/SQRT((1/F17)^2+(1/G17)^2+0.477*(1/$W$5)^2)*10^($G$4/10)</f>
        <v>3.1060185664143918E-3</v>
      </c>
      <c r="AH6" s="287" t="s">
        <v>367</v>
      </c>
      <c r="AI6" s="83"/>
    </row>
    <row r="7" spans="1:49" ht="15" customHeight="1">
      <c r="A7" s="117"/>
      <c r="B7" s="485" t="s">
        <v>406</v>
      </c>
      <c r="C7" s="733">
        <v>0.2</v>
      </c>
      <c r="D7" s="197" t="s">
        <v>125</v>
      </c>
      <c r="E7" s="526"/>
      <c r="F7" s="527" t="s">
        <v>444</v>
      </c>
      <c r="G7" s="740">
        <v>10.849316876400932</v>
      </c>
      <c r="H7" s="312" t="str">
        <f>IF(G9&lt;0,"should not be &lt; DCD!","ps inc. DCD")</f>
        <v>ps inc. DCD</v>
      </c>
      <c r="I7" s="7"/>
      <c r="J7" s="7"/>
      <c r="K7" s="486" t="s">
        <v>143</v>
      </c>
      <c r="L7" s="375">
        <v>2</v>
      </c>
      <c r="M7" s="136" t="s">
        <v>23</v>
      </c>
      <c r="N7" s="117"/>
      <c r="O7" s="478" t="s">
        <v>124</v>
      </c>
      <c r="P7" s="343">
        <v>1324</v>
      </c>
      <c r="Q7" s="119" t="s">
        <v>125</v>
      </c>
      <c r="R7" s="482"/>
      <c r="S7" s="133" t="s">
        <v>47</v>
      </c>
      <c r="T7" s="626">
        <f>T6*1000/$T$5</f>
        <v>17.014949494949494</v>
      </c>
      <c r="U7" s="119" t="s">
        <v>10</v>
      </c>
      <c r="V7" s="487" t="s">
        <v>122</v>
      </c>
      <c r="W7" s="7"/>
      <c r="X7" s="160"/>
      <c r="Y7" s="93"/>
      <c r="AA7" s="195" t="s">
        <v>19</v>
      </c>
      <c r="AB7" s="196">
        <f>(ER+1)/(ER-1)</f>
        <v>2.6123417762636829</v>
      </c>
      <c r="AC7" s="197" t="s">
        <v>5</v>
      </c>
      <c r="AD7" s="20"/>
      <c r="AF7" s="281" t="s">
        <v>106</v>
      </c>
      <c r="AG7" s="288">
        <f>(1-10^(-Pmn/5))/(Q*Q)</f>
        <v>0</v>
      </c>
      <c r="AH7" s="289" t="s">
        <v>105</v>
      </c>
      <c r="AI7" s="71"/>
      <c r="AJ7" s="123" t="s">
        <v>306</v>
      </c>
      <c r="AK7" s="388">
        <v>1</v>
      </c>
    </row>
    <row r="8" spans="1:49" ht="15" customHeight="1">
      <c r="A8" s="117"/>
      <c r="B8" s="133" t="s">
        <v>121</v>
      </c>
      <c r="C8" s="733">
        <v>-3.1</v>
      </c>
      <c r="D8" s="7" t="s">
        <v>117</v>
      </c>
      <c r="E8" s="7"/>
      <c r="F8" s="478" t="s">
        <v>40</v>
      </c>
      <c r="G8" s="814">
        <f>0.05*(1000000/$C$4)</f>
        <v>1.9393939393939394</v>
      </c>
      <c r="H8" s="119" t="s">
        <v>358</v>
      </c>
      <c r="I8" s="7"/>
      <c r="J8" s="7"/>
      <c r="K8" s="488" t="s">
        <v>29</v>
      </c>
      <c r="L8" s="197">
        <f>$L$6-$L$7</f>
        <v>4.2000000000000011</v>
      </c>
      <c r="M8" s="136" t="s">
        <v>23</v>
      </c>
      <c r="N8" s="489"/>
      <c r="O8" s="478" t="s">
        <v>357</v>
      </c>
      <c r="P8" s="343">
        <v>9.2999999999999999E-2</v>
      </c>
      <c r="Q8" s="119" t="s">
        <v>146</v>
      </c>
      <c r="R8" s="482"/>
      <c r="S8" s="490" t="s">
        <v>282</v>
      </c>
      <c r="T8" s="639">
        <f>$G$14*10^6/$C$4</f>
        <v>7.7575757575757551</v>
      </c>
      <c r="U8" s="119" t="s">
        <v>10</v>
      </c>
      <c r="V8" s="149" t="s">
        <v>148</v>
      </c>
      <c r="W8" s="491">
        <v>6</v>
      </c>
      <c r="X8" s="119" t="s">
        <v>23</v>
      </c>
      <c r="Y8" s="93"/>
      <c r="AA8" s="133" t="s">
        <v>153</v>
      </c>
      <c r="AB8" s="15">
        <f>10*LOG10((1+10^(-($W$8/10)))/(1-10^(-($W$8/10))))</f>
        <v>2.2295037120051053</v>
      </c>
      <c r="AC8" s="7" t="s">
        <v>23</v>
      </c>
      <c r="AD8" s="20"/>
      <c r="AE8" s="71"/>
      <c r="AF8" s="133" t="s">
        <v>272</v>
      </c>
      <c r="AG8" s="108">
        <f>$T$6*1000/$W$5</f>
        <v>17.014949494949494</v>
      </c>
      <c r="AH8" s="7" t="s">
        <v>10</v>
      </c>
      <c r="AI8" s="315" t="s">
        <v>287</v>
      </c>
      <c r="AJ8" s="323">
        <v>0.5</v>
      </c>
      <c r="AK8" s="324">
        <f>0.5+0.5*10^-0.36</f>
        <v>0.71825791612008294</v>
      </c>
      <c r="AN8" s="96"/>
      <c r="AO8" s="14"/>
    </row>
    <row r="9" spans="1:49" ht="15" customHeight="1">
      <c r="A9" s="117"/>
      <c r="B9" s="195" t="s">
        <v>120</v>
      </c>
      <c r="C9" s="622">
        <f>10*LOG10((2*AB12+AB11)/(2*AB12-AB11))</f>
        <v>3.5033172687061382</v>
      </c>
      <c r="D9" s="197" t="s">
        <v>23</v>
      </c>
      <c r="E9" s="7"/>
      <c r="F9" s="195" t="s">
        <v>130</v>
      </c>
      <c r="G9" s="492">
        <f>(10^-6)*($G$7-$G$8)*$L$11</f>
        <v>0.24179889549443315</v>
      </c>
      <c r="H9" s="476" t="s">
        <v>123</v>
      </c>
      <c r="I9" s="7"/>
      <c r="J9" s="7"/>
      <c r="K9" s="195" t="s">
        <v>45</v>
      </c>
      <c r="L9" s="493">
        <v>480</v>
      </c>
      <c r="M9" s="7" t="s">
        <v>46</v>
      </c>
      <c r="N9" s="117"/>
      <c r="O9" s="195" t="s">
        <v>356</v>
      </c>
      <c r="P9" s="196">
        <f>0.25*$P$8*Uc*(1-(Uo/Uc)^4)</f>
        <v>-2.7889542808176633</v>
      </c>
      <c r="Q9" s="476" t="s">
        <v>14</v>
      </c>
      <c r="R9" s="482"/>
      <c r="S9" s="490" t="s">
        <v>280</v>
      </c>
      <c r="T9" s="494"/>
      <c r="U9" s="312" t="s">
        <v>281</v>
      </c>
      <c r="V9" s="495" t="s">
        <v>279</v>
      </c>
      <c r="W9" s="196">
        <f>10*LOG10((1+10^(-($W$8/10)))/(1-10^(-($W$8/10))))</f>
        <v>2.2295037120051053</v>
      </c>
      <c r="X9" s="119" t="s">
        <v>20</v>
      </c>
      <c r="Y9" s="93"/>
      <c r="AA9" s="378" t="s">
        <v>363</v>
      </c>
      <c r="AB9" s="196">
        <f>$C$11-$AB$8</f>
        <v>1.9407962446347065</v>
      </c>
      <c r="AC9" s="196" t="s">
        <v>20</v>
      </c>
      <c r="AD9" s="193"/>
      <c r="AE9" s="71"/>
      <c r="AF9" s="71" t="s">
        <v>273</v>
      </c>
      <c r="AG9" s="372">
        <f>SQRT($H$17^2+$AG$8^2)</f>
        <v>32.188655330529691</v>
      </c>
      <c r="AH9" s="7" t="s">
        <v>10</v>
      </c>
      <c r="AI9" s="11"/>
      <c r="AJ9" s="28">
        <v>0.5</v>
      </c>
      <c r="AK9" s="325">
        <f>0.5-0.5*10^-0.36</f>
        <v>0.28174208387991706</v>
      </c>
      <c r="AM9" s="96"/>
      <c r="AN9" s="96"/>
      <c r="AO9" s="14"/>
    </row>
    <row r="10" spans="1:49" ht="15" customHeight="1">
      <c r="A10" s="117"/>
      <c r="B10" s="486" t="s">
        <v>118</v>
      </c>
      <c r="C10" s="734">
        <f>C8+1.16</f>
        <v>-1.9400000000000002</v>
      </c>
      <c r="D10" s="7" t="s">
        <v>117</v>
      </c>
      <c r="E10" s="7"/>
      <c r="F10" s="195" t="s">
        <v>49</v>
      </c>
      <c r="G10" s="343">
        <v>0</v>
      </c>
      <c r="H10" s="119"/>
      <c r="I10" s="7"/>
      <c r="J10" s="7"/>
      <c r="K10" s="25" t="s">
        <v>127</v>
      </c>
      <c r="L10" s="584">
        <v>0.6</v>
      </c>
      <c r="M10" s="475" t="s">
        <v>30</v>
      </c>
      <c r="N10" s="117"/>
      <c r="O10" s="496"/>
      <c r="P10" s="496"/>
      <c r="Q10" s="312"/>
      <c r="R10" s="482"/>
      <c r="S10" s="488" t="s">
        <v>145</v>
      </c>
      <c r="T10" s="313">
        <v>1.2500000000000001E-2</v>
      </c>
      <c r="U10" s="497" t="s">
        <v>55</v>
      </c>
      <c r="V10" s="117"/>
      <c r="W10" s="7"/>
      <c r="X10" s="160"/>
      <c r="Y10" s="93"/>
      <c r="AD10" s="193"/>
      <c r="AE10" s="71"/>
      <c r="AF10" s="123" t="s">
        <v>274</v>
      </c>
      <c r="AG10" s="314">
        <f>MAX(MIN(B_1*Tb_eff*($G$14*$Y$44+$G$9+1)/(SQRT(8)*$AG$9),10),-10)</f>
        <v>1.5065525664789663</v>
      </c>
      <c r="AH10" s="71"/>
      <c r="AI10" s="71"/>
      <c r="AJ10" s="133"/>
      <c r="AK10" s="108"/>
      <c r="AL10" s="7"/>
      <c r="AM10" s="96"/>
      <c r="AN10" s="96"/>
      <c r="AO10" s="14"/>
    </row>
    <row r="11" spans="1:49" ht="15" customHeight="1">
      <c r="A11" s="117"/>
      <c r="B11" s="195" t="s">
        <v>119</v>
      </c>
      <c r="C11" s="196">
        <f>10*LOG10(AB7)</f>
        <v>4.1702999566398118</v>
      </c>
      <c r="D11" s="7" t="s">
        <v>20</v>
      </c>
      <c r="E11" s="7"/>
      <c r="F11" s="195" t="s">
        <v>50</v>
      </c>
      <c r="G11" s="498">
        <f>$AG$12-2.519*SQRT($AG$6)</f>
        <v>0.40477332569165758</v>
      </c>
      <c r="H11" s="499"/>
      <c r="I11" s="7"/>
      <c r="J11" s="7"/>
      <c r="K11" s="486" t="s">
        <v>142</v>
      </c>
      <c r="L11" s="467">
        <f>1/((1/$C$4)-$G$8*10^-6)</f>
        <v>27138.15789473684</v>
      </c>
      <c r="M11" s="197" t="s">
        <v>39</v>
      </c>
      <c r="N11" s="117"/>
      <c r="O11" s="486" t="str">
        <f>IF(L2="SMF","PolMD DGDmax","(not in use)")</f>
        <v>PolMD DGDmax</v>
      </c>
      <c r="P11" s="733">
        <f>10*SQRT($L$3/10)</f>
        <v>4.4721359549995796</v>
      </c>
      <c r="Q11" s="500" t="str">
        <f>IF(L2="SMF","ps at target "&amp;L3&amp;M3,"")</f>
        <v>ps at target 2km</v>
      </c>
      <c r="R11" s="482"/>
      <c r="S11" s="7"/>
      <c r="T11" s="7"/>
      <c r="U11" s="501"/>
      <c r="V11" s="502" t="s">
        <v>362</v>
      </c>
      <c r="W11" s="608">
        <f>-10*LOG10(ERF(AQ39)+ERF(AR39) - 1)</f>
        <v>1.8867854074582295</v>
      </c>
      <c r="X11" s="132" t="s">
        <v>20</v>
      </c>
      <c r="Y11" s="93"/>
      <c r="AA11" s="133" t="s">
        <v>290</v>
      </c>
      <c r="AB11" s="10">
        <f>10^(($C$8/10)+3)</f>
        <v>489.77881936844625</v>
      </c>
      <c r="AC11" s="7" t="s">
        <v>36</v>
      </c>
      <c r="AD11" s="193"/>
      <c r="AE11" s="71"/>
      <c r="AF11" s="123" t="s">
        <v>275</v>
      </c>
      <c r="AG11" s="314">
        <f>MAX(MIN(B_1*Tb_eff*(1-$G$14*$Y$44-$G$9)/(SQRT(8)*$AG$9),10),-10)</f>
        <v>0.5681240345656724</v>
      </c>
      <c r="AH11" s="71"/>
      <c r="AI11" s="71"/>
      <c r="AJ11" s="123"/>
      <c r="AK11" s="372"/>
      <c r="AL11" s="7"/>
      <c r="AM11" s="96"/>
      <c r="AN11" s="96"/>
      <c r="AO11" s="14"/>
    </row>
    <row r="12" spans="1:49" ht="15" customHeight="1">
      <c r="A12" s="117" t="s">
        <v>250</v>
      </c>
      <c r="B12" s="7" t="s">
        <v>251</v>
      </c>
      <c r="C12" s="26">
        <v>0.3</v>
      </c>
      <c r="D12" s="7" t="s">
        <v>116</v>
      </c>
      <c r="E12" s="7"/>
      <c r="F12" s="197" t="s">
        <v>22</v>
      </c>
      <c r="G12" s="587">
        <v>-12</v>
      </c>
      <c r="H12" s="476" t="s">
        <v>23</v>
      </c>
      <c r="I12" s="7"/>
      <c r="J12" s="7"/>
      <c r="K12" s="195" t="s">
        <v>108</v>
      </c>
      <c r="L12" s="467">
        <f>1000000/$L$11</f>
        <v>36.848484848484851</v>
      </c>
      <c r="M12" s="7" t="s">
        <v>10</v>
      </c>
      <c r="N12" s="117"/>
      <c r="O12" s="478" t="s">
        <v>15</v>
      </c>
      <c r="P12" s="503">
        <v>1000000</v>
      </c>
      <c r="Q12" s="312" t="s">
        <v>16</v>
      </c>
      <c r="R12" s="482"/>
      <c r="S12" s="504" t="s">
        <v>144</v>
      </c>
      <c r="T12" s="492">
        <f>10*LOG10(1/SQRT(1-(Q*SD_blw)^2))</f>
        <v>5.5081298990234439E-3</v>
      </c>
      <c r="U12" s="505" t="s">
        <v>23</v>
      </c>
      <c r="V12" s="352"/>
      <c r="W12" s="649"/>
      <c r="X12" s="506" t="s">
        <v>52</v>
      </c>
      <c r="Y12" s="67"/>
      <c r="AA12" s="91" t="s">
        <v>35</v>
      </c>
      <c r="AB12" s="192">
        <f>1000*10^(C10/10)</f>
        <v>639.73483548264812</v>
      </c>
      <c r="AC12" s="83" t="s">
        <v>36</v>
      </c>
      <c r="AD12" s="71"/>
      <c r="AE12" s="71"/>
      <c r="AF12" s="123" t="s">
        <v>276</v>
      </c>
      <c r="AG12" s="314">
        <f>ERF(AG10)+ERF(AG11)-1</f>
        <v>0.54516139169657762</v>
      </c>
      <c r="AH12" s="71"/>
      <c r="AI12" s="71"/>
      <c r="AJ12" s="118"/>
      <c r="AK12" s="367"/>
      <c r="AL12" s="9"/>
      <c r="AM12" s="96"/>
      <c r="AN12" s="96"/>
      <c r="AO12" s="14"/>
    </row>
    <row r="13" spans="1:49" ht="15" customHeight="1">
      <c r="A13" s="117"/>
      <c r="B13" s="7" t="s">
        <v>252</v>
      </c>
      <c r="C13" s="26">
        <v>0.4</v>
      </c>
      <c r="D13" s="7" t="s">
        <v>116</v>
      </c>
      <c r="E13" s="7"/>
      <c r="F13" s="488" t="s">
        <v>173</v>
      </c>
      <c r="G13" s="343">
        <v>0</v>
      </c>
      <c r="H13" s="468" t="s">
        <v>23</v>
      </c>
      <c r="I13" s="107"/>
      <c r="J13" s="107"/>
      <c r="K13" s="471" t="s">
        <v>150</v>
      </c>
      <c r="L13" s="507">
        <f>(10^-6)*$T$8*$L$11</f>
        <v>0.21052631578947359</v>
      </c>
      <c r="M13" s="508" t="s">
        <v>116</v>
      </c>
      <c r="N13" s="11"/>
      <c r="O13" s="509" t="s">
        <v>32</v>
      </c>
      <c r="P13" s="660">
        <f>IF(L2="SMF",1000000*L3/(3*P11),P12)</f>
        <v>149071.19849998597</v>
      </c>
      <c r="Q13" s="132" t="s">
        <v>16</v>
      </c>
      <c r="R13" s="510"/>
      <c r="S13" s="511" t="s">
        <v>56</v>
      </c>
      <c r="T13" s="512">
        <f>10*LOG10(1/SQRT(1-(Q*SD_blw/$AG$5)^2))</f>
        <v>5.8452953709474901E-3</v>
      </c>
      <c r="U13" s="513" t="s">
        <v>23</v>
      </c>
      <c r="V13" s="354"/>
      <c r="W13" s="658"/>
      <c r="X13" s="514" t="s">
        <v>296</v>
      </c>
      <c r="Y13" s="337"/>
      <c r="Z13" s="323"/>
      <c r="AA13" s="338" t="s">
        <v>54</v>
      </c>
      <c r="AB13" s="339" t="s">
        <v>53</v>
      </c>
      <c r="AC13" s="339" t="s">
        <v>54</v>
      </c>
      <c r="AD13" s="339" t="s">
        <v>112</v>
      </c>
      <c r="AE13" s="323"/>
      <c r="AF13" s="323"/>
      <c r="AG13" s="817" t="s">
        <v>61</v>
      </c>
      <c r="AH13" s="818"/>
      <c r="AJ13" s="118"/>
      <c r="AK13" s="368"/>
      <c r="AL13" s="9"/>
      <c r="AM13" s="96"/>
      <c r="AN13" s="96"/>
      <c r="AO13" s="14"/>
    </row>
    <row r="14" spans="1:49" ht="15" customHeight="1">
      <c r="A14" s="11"/>
      <c r="B14" s="107" t="s">
        <v>253</v>
      </c>
      <c r="C14" s="82">
        <v>0.25</v>
      </c>
      <c r="D14" s="107"/>
      <c r="E14" s="157"/>
      <c r="F14" s="145" t="s">
        <v>115</v>
      </c>
      <c r="G14" s="107">
        <f>2*(0.5-$C$13)</f>
        <v>0.19999999999999996</v>
      </c>
      <c r="H14" s="132" t="s">
        <v>116</v>
      </c>
      <c r="I14" s="93"/>
      <c r="J14" s="574" t="s">
        <v>58</v>
      </c>
      <c r="K14" s="690" t="s">
        <v>254</v>
      </c>
      <c r="L14" s="575" t="s">
        <v>107</v>
      </c>
      <c r="M14" s="697" t="s">
        <v>107</v>
      </c>
      <c r="N14" s="576" t="s">
        <v>294</v>
      </c>
      <c r="O14" s="577"/>
      <c r="P14" s="577"/>
      <c r="Q14" s="577"/>
      <c r="R14" s="357"/>
      <c r="S14" s="574" t="s">
        <v>74</v>
      </c>
      <c r="T14" s="578" t="s">
        <v>75</v>
      </c>
      <c r="U14" s="697" t="s">
        <v>293</v>
      </c>
      <c r="V14" s="574" t="s">
        <v>77</v>
      </c>
      <c r="W14" s="349"/>
      <c r="X14" s="533" t="s">
        <v>223</v>
      </c>
      <c r="Y14" s="358"/>
      <c r="Z14" s="352"/>
      <c r="AA14" s="290" t="s">
        <v>295</v>
      </c>
      <c r="AB14" s="27" t="s">
        <v>59</v>
      </c>
      <c r="AC14" s="27" t="s">
        <v>60</v>
      </c>
      <c r="AD14" s="27" t="s">
        <v>113</v>
      </c>
      <c r="AE14" s="100" t="s">
        <v>114</v>
      </c>
      <c r="AF14" s="19"/>
      <c r="AG14" s="100"/>
      <c r="AH14" s="9"/>
      <c r="AI14" s="100" t="s">
        <v>111</v>
      </c>
      <c r="AL14" s="9"/>
      <c r="AM14" s="96" t="s">
        <v>283</v>
      </c>
      <c r="AN14" s="340" t="s">
        <v>99</v>
      </c>
      <c r="AO14" s="14"/>
      <c r="AP14" s="327" t="s">
        <v>68</v>
      </c>
      <c r="AQ14" s="329" t="s">
        <v>361</v>
      </c>
    </row>
    <row r="15" spans="1:49" s="352" customFormat="1" ht="15" customHeight="1">
      <c r="A15" s="528" t="s">
        <v>62</v>
      </c>
      <c r="B15" s="248" t="s">
        <v>69</v>
      </c>
      <c r="C15" s="529" t="s">
        <v>76</v>
      </c>
      <c r="D15" s="530" t="s">
        <v>63</v>
      </c>
      <c r="E15" s="530" t="s">
        <v>64</v>
      </c>
      <c r="F15" s="531" t="s">
        <v>65</v>
      </c>
      <c r="G15" s="532" t="s">
        <v>66</v>
      </c>
      <c r="H15" s="530" t="s">
        <v>67</v>
      </c>
      <c r="I15" s="530" t="s">
        <v>68</v>
      </c>
      <c r="J15" s="348" t="s">
        <v>79</v>
      </c>
      <c r="K15" s="690" t="s">
        <v>59</v>
      </c>
      <c r="L15" s="348" t="s">
        <v>79</v>
      </c>
      <c r="M15" s="698" t="s">
        <v>59</v>
      </c>
      <c r="N15" s="348" t="s">
        <v>79</v>
      </c>
      <c r="O15" s="530" t="s">
        <v>70</v>
      </c>
      <c r="P15" s="248" t="s">
        <v>71</v>
      </c>
      <c r="Q15" s="248" t="s">
        <v>72</v>
      </c>
      <c r="R15" s="248" t="s">
        <v>73</v>
      </c>
      <c r="S15" s="348" t="s">
        <v>79</v>
      </c>
      <c r="T15" s="534" t="s">
        <v>79</v>
      </c>
      <c r="U15" s="705" t="s">
        <v>59</v>
      </c>
      <c r="V15" s="348" t="s">
        <v>79</v>
      </c>
      <c r="W15" s="349" t="s">
        <v>33</v>
      </c>
      <c r="X15" s="535" t="s">
        <v>79</v>
      </c>
      <c r="Y15" s="32" t="s">
        <v>85</v>
      </c>
      <c r="Z15" s="33" t="s">
        <v>104</v>
      </c>
      <c r="AA15" s="290" t="s">
        <v>81</v>
      </c>
      <c r="AB15" s="27" t="s">
        <v>80</v>
      </c>
      <c r="AC15" s="27" t="s">
        <v>81</v>
      </c>
      <c r="AD15" s="27" t="s">
        <v>79</v>
      </c>
      <c r="AE15" s="101" t="s">
        <v>86</v>
      </c>
      <c r="AF15" s="17" t="s">
        <v>87</v>
      </c>
      <c r="AG15" s="101" t="s">
        <v>88</v>
      </c>
      <c r="AH15" s="23" t="s">
        <v>89</v>
      </c>
      <c r="AI15" s="101" t="s">
        <v>109</v>
      </c>
      <c r="AJ15" s="17" t="s">
        <v>110</v>
      </c>
      <c r="AK15" s="296" t="s">
        <v>78</v>
      </c>
      <c r="AL15" s="350" t="s">
        <v>82</v>
      </c>
      <c r="AM15" s="183" t="s">
        <v>83</v>
      </c>
      <c r="AN15" s="351"/>
      <c r="AO15" s="318" t="s">
        <v>84</v>
      </c>
      <c r="AP15" s="329" t="s">
        <v>284</v>
      </c>
      <c r="AQ15" s="328" t="s">
        <v>359</v>
      </c>
      <c r="AR15" s="328" t="s">
        <v>360</v>
      </c>
      <c r="AS15" s="13"/>
      <c r="AT15" s="13"/>
      <c r="AU15" s="13"/>
      <c r="AV15" s="13"/>
      <c r="AW15" s="13"/>
    </row>
    <row r="16" spans="1:49" s="354" customFormat="1" ht="15" customHeight="1">
      <c r="A16" s="162" t="s">
        <v>90</v>
      </c>
      <c r="B16" s="245" t="s">
        <v>93</v>
      </c>
      <c r="C16" s="536" t="s">
        <v>93</v>
      </c>
      <c r="D16" s="171" t="s">
        <v>126</v>
      </c>
      <c r="E16" s="171" t="s">
        <v>126</v>
      </c>
      <c r="F16" s="537" t="s">
        <v>91</v>
      </c>
      <c r="G16" s="537" t="s">
        <v>91</v>
      </c>
      <c r="H16" s="171" t="s">
        <v>92</v>
      </c>
      <c r="I16" s="171" t="s">
        <v>92</v>
      </c>
      <c r="J16" s="538" t="s">
        <v>96</v>
      </c>
      <c r="K16" s="691" t="s">
        <v>93</v>
      </c>
      <c r="L16" s="245" t="s">
        <v>93</v>
      </c>
      <c r="M16" s="699" t="s">
        <v>93</v>
      </c>
      <c r="N16" s="245" t="s">
        <v>93</v>
      </c>
      <c r="O16" s="171"/>
      <c r="P16" s="245"/>
      <c r="Q16" s="245" t="s">
        <v>93</v>
      </c>
      <c r="R16" s="245" t="s">
        <v>93</v>
      </c>
      <c r="S16" s="245" t="s">
        <v>93</v>
      </c>
      <c r="T16" s="539" t="s">
        <v>93</v>
      </c>
      <c r="U16" s="699" t="s">
        <v>94</v>
      </c>
      <c r="V16" s="245" t="s">
        <v>94</v>
      </c>
      <c r="W16" s="171" t="s">
        <v>93</v>
      </c>
      <c r="X16" s="540" t="s">
        <v>95</v>
      </c>
      <c r="Y16" s="37" t="s">
        <v>97</v>
      </c>
      <c r="Z16" s="38" t="s">
        <v>97</v>
      </c>
      <c r="AA16" s="291" t="s">
        <v>97</v>
      </c>
      <c r="AB16" s="34" t="s">
        <v>97</v>
      </c>
      <c r="AC16" s="34" t="s">
        <v>97</v>
      </c>
      <c r="AD16" s="34" t="s">
        <v>97</v>
      </c>
      <c r="AE16" s="102" t="s">
        <v>97</v>
      </c>
      <c r="AF16" s="38" t="s">
        <v>97</v>
      </c>
      <c r="AG16" s="102" t="s">
        <v>97</v>
      </c>
      <c r="AH16" s="38" t="s">
        <v>97</v>
      </c>
      <c r="AI16" s="102" t="s">
        <v>97</v>
      </c>
      <c r="AJ16" s="38" t="s">
        <v>97</v>
      </c>
      <c r="AK16" s="297"/>
      <c r="AL16" s="353" t="s">
        <v>93</v>
      </c>
      <c r="AM16" s="35" t="s">
        <v>98</v>
      </c>
      <c r="AN16" s="354" t="s">
        <v>93</v>
      </c>
      <c r="AO16" s="36" t="s">
        <v>100</v>
      </c>
      <c r="AP16" s="330" t="s">
        <v>92</v>
      </c>
      <c r="AQ16" s="331" t="s">
        <v>97</v>
      </c>
      <c r="AR16" s="331" t="s">
        <v>97</v>
      </c>
      <c r="AS16" s="28"/>
      <c r="AT16" s="28"/>
      <c r="AU16" s="28"/>
      <c r="AV16" s="28"/>
      <c r="AW16" s="28"/>
    </row>
    <row r="17" spans="1:44" s="3" customFormat="1" ht="15" customHeight="1">
      <c r="A17" s="541">
        <v>2E-3</v>
      </c>
      <c r="B17" s="246">
        <f t="shared" ref="B17:B38" si="0">A17*$P$4*((1/(0.00094*Uc)^4)+1.05)</f>
        <v>8.5989078505555039E-4</v>
      </c>
      <c r="C17" s="246">
        <f t="shared" ref="C17:C38" si="1">$L$7+B17</f>
        <v>2.0008598907850557</v>
      </c>
      <c r="D17" s="542">
        <f t="shared" ref="D17:D38" si="2">A17*$P$9</f>
        <v>-5.5779085616353263E-3</v>
      </c>
      <c r="E17" s="246">
        <f t="shared" ref="E17:E38" si="3">A17*$AB$4</f>
        <v>2.6039999999999998E-5</v>
      </c>
      <c r="F17" s="543">
        <f t="shared" ref="F17:F38" si="4">(0.187/$C$7)*10^6/(SQRT(D17^2+E17^2))</f>
        <v>167623725.10908553</v>
      </c>
      <c r="G17" s="544">
        <f t="shared" ref="G17:G38" si="5">$P$13/A17</f>
        <v>74535599.249992982</v>
      </c>
      <c r="H17" s="545">
        <f t="shared" ref="H17:H38" si="6">SQRT((1000*C_1/F17)^2+(1000*C_1/G17)^2+$G$3^2)</f>
        <v>27.324000908943692</v>
      </c>
      <c r="I17" s="545">
        <f t="shared" ref="I17:I38" si="7">SQRT(H17^2+$T$7^2)</f>
        <v>32.188655330529691</v>
      </c>
      <c r="J17" s="246">
        <f t="shared" ref="J17:J38" si="8">-10*LOG10(2*Z17 - 1)</f>
        <v>1.4553756350499003</v>
      </c>
      <c r="K17" s="692">
        <f t="shared" ref="K17:K38" si="9">-10*LOG10(AB17)-J17</f>
        <v>0.23584802971734664</v>
      </c>
      <c r="L17" s="246">
        <f t="shared" ref="L17:L38" si="10">-10*LOG10(AD17)-J17</f>
        <v>0.31318266880491397</v>
      </c>
      <c r="M17" s="700">
        <f t="shared" ref="M17:M38" si="11">-10*LOG10(AC17)-J17-K17</f>
        <v>0.94352541985823235</v>
      </c>
      <c r="N17" s="546"/>
      <c r="O17" s="543">
        <f t="shared" ref="O17:O38" si="12">(10^-6)*3.14*$L$11*D17*$C$7</f>
        <v>-9.5062974532344164E-5</v>
      </c>
      <c r="P17" s="246">
        <f t="shared" ref="P17:P38" si="13">($G$10/SQRT(2))*(1-EXP(-1*O17^2))</f>
        <v>0</v>
      </c>
      <c r="Q17" s="246">
        <f t="shared" ref="Q17:Q38" si="14">10*LOG10(1/SQRT(1-(Q*P17)^2))</f>
        <v>0</v>
      </c>
      <c r="R17" s="246"/>
      <c r="S17" s="246">
        <f>-10*LOG10(SQRT(1-Q*Q*(((SD_blw/AC17)^2)+AK17+Vmn+(P17*P17))))-$T$13-Q17-R17-Pmn</f>
        <v>1.2743912709953347E-2</v>
      </c>
      <c r="T17" s="542">
        <f>J17+L17+B17+Q17+S17+Pmn</f>
        <v>1.7821621073498233</v>
      </c>
      <c r="U17" s="700">
        <f>J17+K17+B17+Q17+S17+Pmn+M17</f>
        <v>2.6483528881204883</v>
      </c>
      <c r="V17" s="547">
        <f t="shared" ref="V17:V38" si="15">T17-B17</f>
        <v>1.7813022165647676</v>
      </c>
      <c r="W17" s="547">
        <f t="shared" ref="W17:W38" si="16">$L$8-T17</f>
        <v>2.4178378926501778</v>
      </c>
      <c r="X17" s="548">
        <f t="shared" ref="X17:X38" si="17">$C$8-C17-(Q17+N17+R17+S17/2+Pmn) -$W$3</f>
        <v>-5.1072035600723185</v>
      </c>
      <c r="Y17" s="44">
        <f t="shared" ref="Y17:Y38" si="18">B_1*Tb_eff/(SQRT(8)*I17)</f>
        <v>1.0373383005223191</v>
      </c>
      <c r="Z17" s="46">
        <f t="shared" ref="Z17:Z38" si="19">IF(ABS(Y17)&lt;10,SIGN(Y17)*ERF(ABS(Y17)),SIGN(Y17))</f>
        <v>0.85762876325569537</v>
      </c>
      <c r="AA17" s="369">
        <f>$AD17</f>
        <v>0.66549403880530966</v>
      </c>
      <c r="AB17" s="40">
        <f t="shared" ref="AB17:AB38" si="20">ERF(AE17)+ERF(AF17)-1</f>
        <v>0.67745060276039948</v>
      </c>
      <c r="AC17" s="44">
        <f t="shared" ref="AC17:AC38" si="21">ERF(AG17)+ERF(AH17)-1</f>
        <v>0.54516139169657762</v>
      </c>
      <c r="AD17" s="44">
        <f t="shared" ref="AD17:AD38" si="22">ERF(AI17)+ERF(AJ17)-1</f>
        <v>0.66549403880530966</v>
      </c>
      <c r="AE17" s="47">
        <f t="shared" ref="AE17:AE38" si="23">MAX(MIN(B_1*Tb_eff*($L$13+1)/(SQRT(8)*$I17),10),-10)</f>
        <v>1.2557253111585969</v>
      </c>
      <c r="AF17" s="47">
        <f t="shared" ref="AF17:AF38" si="24">MAX(MIN(B_1*Tb_eff*(1-$L$13)/(SQRT(8)*$I17),10),-10)</f>
        <v>0.81895128988604149</v>
      </c>
      <c r="AG17" s="47">
        <f t="shared" ref="AG17:AG38" si="25">MAX(MIN(B_1*Tb_eff*($L$13+$G$9+1)/(SQRT(8)*$I17),10),-10)</f>
        <v>1.5065525664789658</v>
      </c>
      <c r="AH17" s="47">
        <f t="shared" ref="AH17:AH38" si="26">MAX(MIN(B_1*Tb_eff*(1-$L$13-$G$9)/(SQRT(8)*$I17),10),-10)</f>
        <v>0.56812403456567251</v>
      </c>
      <c r="AI17" s="47">
        <f t="shared" ref="AI17:AI38" si="27">MAX(MIN(B_1*Tb_eff*($G$9+1)/(SQRT(8)*$I17),10),-10)</f>
        <v>1.2881655558426883</v>
      </c>
      <c r="AJ17" s="47">
        <f t="shared" ref="AJ17:AJ38" si="28">MAX(MIN(B_1*Tb_eff*(1-$G$9)/(SQRT(8)*$I17),10),-10)</f>
        <v>0.78651104520195003</v>
      </c>
      <c r="AK17" s="298"/>
      <c r="AL17" s="588">
        <f t="shared" ref="AL17:AL38" si="29">$L$6-$L$7</f>
        <v>4.2000000000000011</v>
      </c>
      <c r="AM17" s="184"/>
      <c r="AN17" s="184"/>
      <c r="AO17" s="2"/>
      <c r="AP17" s="292"/>
      <c r="AQ17" s="292"/>
    </row>
    <row r="18" spans="1:44" s="59" customFormat="1" ht="15" customHeight="1">
      <c r="A18" s="549">
        <f>$L$4</f>
        <v>1</v>
      </c>
      <c r="B18" s="247">
        <f t="shared" si="0"/>
        <v>0.42994539252777514</v>
      </c>
      <c r="C18" s="247">
        <f t="shared" si="1"/>
        <v>2.4299453925277752</v>
      </c>
      <c r="D18" s="275">
        <f t="shared" si="2"/>
        <v>-2.7889542808176633</v>
      </c>
      <c r="E18" s="247">
        <f t="shared" si="3"/>
        <v>1.3019999999999999E-2</v>
      </c>
      <c r="F18" s="550">
        <f t="shared" si="4"/>
        <v>335247.45021817106</v>
      </c>
      <c r="G18" s="550">
        <f t="shared" si="5"/>
        <v>149071.19849998597</v>
      </c>
      <c r="H18" s="551">
        <f t="shared" si="6"/>
        <v>27.550298816752232</v>
      </c>
      <c r="I18" s="551">
        <f t="shared" si="7"/>
        <v>32.380973907651722</v>
      </c>
      <c r="J18" s="552">
        <f t="shared" si="8"/>
        <v>1.4844395083286257</v>
      </c>
      <c r="K18" s="693">
        <f t="shared" si="9"/>
        <v>0.23619953074299116</v>
      </c>
      <c r="L18" s="247">
        <f t="shared" si="10"/>
        <v>0.31364199115273728</v>
      </c>
      <c r="M18" s="701">
        <f t="shared" si="11"/>
        <v>0.94464830875150918</v>
      </c>
      <c r="N18" s="553">
        <f t="shared" ref="N18:N38" si="30">-10*LOG10(1-2*$L$10*10^(-$C18/10)*$AB$5*SQRT(2*ER*($AD18*(ER-1)+ER+1))/($AD18*(ER-1)))</f>
        <v>1.1075680393434675</v>
      </c>
      <c r="O18" s="247">
        <f t="shared" si="12"/>
        <v>-4.7531487266172082E-2</v>
      </c>
      <c r="P18" s="247">
        <f t="shared" si="13"/>
        <v>0</v>
      </c>
      <c r="Q18" s="247">
        <f t="shared" si="14"/>
        <v>0</v>
      </c>
      <c r="R18" s="247">
        <f t="shared" ref="R18:R23" si="31">10*LOG10(1/SQRT(1-AK18*(Q/AA18)^2))</f>
        <v>0.45230119176636246</v>
      </c>
      <c r="S18" s="247">
        <f t="shared" ref="S18:S38" si="32">-10*LOG10(AA18*SQRT(1-Q*Q*((SD_blw^2+AK18)/AA18^2+Vmn+(P18*P18))))-$T$13-J18-L18-Q18-N18-R18-Pmn</f>
        <v>2.0134697786862776E-2</v>
      </c>
      <c r="T18" s="275">
        <f>J18+L18+B18+Q18+N18+R18+S18+Pmn</f>
        <v>3.8080308209058304</v>
      </c>
      <c r="U18" s="706">
        <f>J18+K18+B18+Q18+N18+R18+S18+Pmn+M18</f>
        <v>4.6752366692475942</v>
      </c>
      <c r="V18" s="555">
        <f t="shared" si="15"/>
        <v>3.3780854283780553</v>
      </c>
      <c r="W18" s="555">
        <f t="shared" si="16"/>
        <v>0.39196917909417062</v>
      </c>
      <c r="X18" s="554">
        <f t="shared" si="17"/>
        <v>-7.0998536854633221</v>
      </c>
      <c r="Y18" s="56">
        <f t="shared" si="18"/>
        <v>1.0311772929343572</v>
      </c>
      <c r="Z18" s="57">
        <f t="shared" si="19"/>
        <v>0.85524342904134176</v>
      </c>
      <c r="AA18" s="293">
        <f t="shared" ref="AA18:AA38" si="33">$AD18*(1-2*$L$10*10^(-$C18/10)*$AB$5*SQRT(2*ER*($AD18*(ER-1)+ER+1))/($AD18*(ER-1)))</f>
        <v>0.51219465975913825</v>
      </c>
      <c r="AB18" s="53">
        <f t="shared" si="20"/>
        <v>0.67287763896845765</v>
      </c>
      <c r="AC18" s="52">
        <f t="shared" si="21"/>
        <v>0.54134142923108319</v>
      </c>
      <c r="AD18" s="52">
        <f t="shared" si="22"/>
        <v>0.66098537451954975</v>
      </c>
      <c r="AE18" s="58">
        <f t="shared" si="23"/>
        <v>1.2482672493415903</v>
      </c>
      <c r="AF18" s="58">
        <f t="shared" si="24"/>
        <v>0.81408733652712417</v>
      </c>
      <c r="AG18" s="58">
        <f t="shared" si="25"/>
        <v>1.4976047798320573</v>
      </c>
      <c r="AH18" s="58">
        <f t="shared" si="26"/>
        <v>0.56474980603665725</v>
      </c>
      <c r="AI18" s="58">
        <f t="shared" si="27"/>
        <v>1.2805148234248243</v>
      </c>
      <c r="AJ18" s="58">
        <f t="shared" si="28"/>
        <v>0.78183976244389009</v>
      </c>
      <c r="AK18" s="299">
        <f t="shared" ref="AK18:AK38" si="34">kRIN*10^6*$AK$7*$AK$7/(SQRT((1/F18)^2+(1/G18)^2+0.477*(1/$T$5)^2))*10^($G$4/10)</f>
        <v>3.042419256007478E-3</v>
      </c>
      <c r="AL18" s="54">
        <f t="shared" si="29"/>
        <v>4.2000000000000011</v>
      </c>
      <c r="AM18" s="185">
        <f t="shared" ref="AM18:AM38" si="35">$L$3</f>
        <v>2</v>
      </c>
      <c r="AN18" s="185">
        <v>0</v>
      </c>
      <c r="AO18" s="55">
        <f t="shared" ref="AO18:AO38" si="36">IF(A18=$L$3,W18,0)</f>
        <v>0</v>
      </c>
      <c r="AP18" s="332">
        <f t="shared" ref="AP18:AP26" si="37">IF($A18=$L$3,I18,0)</f>
        <v>0</v>
      </c>
      <c r="AQ18" s="430">
        <f t="shared" ref="AQ18:AQ38" si="38">IF($A18=$L$3,B_1*Tb_eff*(1+$G$9)/(SQRT(8)*SQRT($H18^2+$AG$8^2)),0)</f>
        <v>0</v>
      </c>
      <c r="AR18" s="333">
        <f t="shared" ref="AR18:AR38" si="39">IF($A18=$L$3,B_1*Tb_eff*(1-$G$9)/(SQRT(8)*SQRT($H18^2+$AG$8^2)),0)</f>
        <v>0</v>
      </c>
    </row>
    <row r="19" spans="1:44" s="71" customFormat="1" ht="15" customHeight="1">
      <c r="A19" s="556">
        <f t="shared" ref="A19:A38" si="40">A18+$L$5</f>
        <v>1.1000000000000001</v>
      </c>
      <c r="B19" s="248">
        <f t="shared" si="0"/>
        <v>0.47293993178055271</v>
      </c>
      <c r="C19" s="248">
        <f t="shared" si="1"/>
        <v>2.4729399317805525</v>
      </c>
      <c r="D19" s="326">
        <f t="shared" si="2"/>
        <v>-3.0678497088994297</v>
      </c>
      <c r="E19" s="248">
        <f t="shared" si="3"/>
        <v>1.4322E-2</v>
      </c>
      <c r="F19" s="557">
        <f t="shared" si="4"/>
        <v>304770.40928924643</v>
      </c>
      <c r="G19" s="557">
        <f t="shared" si="5"/>
        <v>135519.27136362359</v>
      </c>
      <c r="H19" s="558">
        <f t="shared" si="6"/>
        <v>27.597585810351791</v>
      </c>
      <c r="I19" s="558">
        <f t="shared" si="7"/>
        <v>32.421216030177099</v>
      </c>
      <c r="J19" s="559">
        <f t="shared" si="8"/>
        <v>1.4905486599168418</v>
      </c>
      <c r="K19" s="694">
        <f t="shared" si="9"/>
        <v>0.23627120320797723</v>
      </c>
      <c r="L19" s="248">
        <f t="shared" si="10"/>
        <v>0.3137356806255378</v>
      </c>
      <c r="M19" s="702">
        <f t="shared" si="11"/>
        <v>0.94487815545812248</v>
      </c>
      <c r="N19" s="560">
        <f t="shared" si="30"/>
        <v>1.0967585110459583</v>
      </c>
      <c r="O19" s="248">
        <f t="shared" si="12"/>
        <v>-5.2284635992789291E-2</v>
      </c>
      <c r="P19" s="248">
        <f t="shared" si="13"/>
        <v>0</v>
      </c>
      <c r="Q19" s="248">
        <f t="shared" si="14"/>
        <v>0</v>
      </c>
      <c r="R19" s="248">
        <f t="shared" si="31"/>
        <v>0.44911580471879925</v>
      </c>
      <c r="S19" s="248">
        <f t="shared" si="32"/>
        <v>2.0041081792550763E-2</v>
      </c>
      <c r="T19" s="326">
        <f>J19+L19+B19+Q19+N19+R19+S19+Pmn</f>
        <v>3.8431396698802409</v>
      </c>
      <c r="U19" s="707">
        <f t="shared" ref="U19:U38" si="41">J19+K19+B19+Q19+N19+R19+S19+Pmn+M19</f>
        <v>4.7105533479208024</v>
      </c>
      <c r="V19" s="531">
        <f t="shared" si="15"/>
        <v>3.3701997380996884</v>
      </c>
      <c r="W19" s="531">
        <f t="shared" si="16"/>
        <v>0.35686033011976015</v>
      </c>
      <c r="X19" s="561">
        <f t="shared" si="17"/>
        <v>-7.1288065013738713</v>
      </c>
      <c r="Y19" s="69">
        <f t="shared" si="18"/>
        <v>1.0298973667610445</v>
      </c>
      <c r="Z19" s="70">
        <f t="shared" si="19"/>
        <v>0.85474406505070211</v>
      </c>
      <c r="AA19" s="294">
        <f t="shared" si="33"/>
        <v>0.51273824770431298</v>
      </c>
      <c r="AB19" s="66">
        <f t="shared" si="20"/>
        <v>0.67192068915714587</v>
      </c>
      <c r="AC19" s="65">
        <f t="shared" si="21"/>
        <v>0.54054293840161716</v>
      </c>
      <c r="AD19" s="65">
        <f t="shared" si="22"/>
        <v>0.66004199143079978</v>
      </c>
      <c r="AE19" s="22">
        <f t="shared" si="23"/>
        <v>1.2467178650265276</v>
      </c>
      <c r="AF19" s="22">
        <f t="shared" si="24"/>
        <v>0.81307686849556149</v>
      </c>
      <c r="AG19" s="22">
        <f t="shared" si="25"/>
        <v>1.4957459107819731</v>
      </c>
      <c r="AH19" s="22">
        <f t="shared" si="26"/>
        <v>0.56404882274011603</v>
      </c>
      <c r="AI19" s="22">
        <f t="shared" si="27"/>
        <v>1.2789254125164902</v>
      </c>
      <c r="AJ19" s="22">
        <f t="shared" si="28"/>
        <v>0.7808693210055988</v>
      </c>
      <c r="AK19" s="288">
        <f t="shared" si="34"/>
        <v>3.0295528448205139E-3</v>
      </c>
      <c r="AL19" s="67">
        <f t="shared" si="29"/>
        <v>4.2000000000000011</v>
      </c>
      <c r="AM19" s="186">
        <f t="shared" si="35"/>
        <v>2</v>
      </c>
      <c r="AN19" s="187">
        <f t="shared" ref="AN19:AN37" si="42">AN20</f>
        <v>7</v>
      </c>
      <c r="AO19" s="68">
        <f t="shared" si="36"/>
        <v>0</v>
      </c>
      <c r="AP19" s="334">
        <f t="shared" si="37"/>
        <v>0</v>
      </c>
      <c r="AQ19" s="431">
        <f t="shared" si="38"/>
        <v>0</v>
      </c>
      <c r="AR19" s="335">
        <f t="shared" si="39"/>
        <v>0</v>
      </c>
    </row>
    <row r="20" spans="1:44" s="71" customFormat="1" ht="15" customHeight="1">
      <c r="A20" s="556">
        <f t="shared" si="40"/>
        <v>1.2000000000000002</v>
      </c>
      <c r="B20" s="248">
        <f t="shared" si="0"/>
        <v>0.51593447103333034</v>
      </c>
      <c r="C20" s="248">
        <f t="shared" si="1"/>
        <v>2.5159344710333302</v>
      </c>
      <c r="D20" s="326">
        <f t="shared" si="2"/>
        <v>-3.3467451369811965</v>
      </c>
      <c r="E20" s="248">
        <f t="shared" si="3"/>
        <v>1.5624000000000001E-2</v>
      </c>
      <c r="F20" s="557">
        <f t="shared" si="4"/>
        <v>279372.87518180918</v>
      </c>
      <c r="G20" s="557">
        <f t="shared" si="5"/>
        <v>124225.99874998828</v>
      </c>
      <c r="H20" s="558">
        <f t="shared" si="6"/>
        <v>27.649283535111152</v>
      </c>
      <c r="I20" s="558">
        <f t="shared" si="7"/>
        <v>32.465233501711502</v>
      </c>
      <c r="J20" s="559">
        <f t="shared" si="8"/>
        <v>1.4972418575756592</v>
      </c>
      <c r="K20" s="694">
        <f t="shared" si="9"/>
        <v>0.23634887406897409</v>
      </c>
      <c r="L20" s="248">
        <f t="shared" si="10"/>
        <v>0.31383721901874528</v>
      </c>
      <c r="M20" s="702">
        <f t="shared" si="11"/>
        <v>0.94512759856693096</v>
      </c>
      <c r="N20" s="560">
        <f t="shared" si="30"/>
        <v>1.0862196546227527</v>
      </c>
      <c r="O20" s="248">
        <f t="shared" si="12"/>
        <v>-5.7037784719406508E-2</v>
      </c>
      <c r="P20" s="248">
        <f t="shared" si="13"/>
        <v>0</v>
      </c>
      <c r="Q20" s="248">
        <f t="shared" si="14"/>
        <v>0</v>
      </c>
      <c r="R20" s="248">
        <f t="shared" si="31"/>
        <v>0.44597229086918211</v>
      </c>
      <c r="S20" s="248">
        <f t="shared" si="32"/>
        <v>1.9958614561032428E-2</v>
      </c>
      <c r="T20" s="326">
        <f t="shared" ref="T20:T38" si="43">J20+L20+B20+Q20+N20+R20+S20+Pmn</f>
        <v>3.879164107680702</v>
      </c>
      <c r="U20" s="707">
        <f t="shared" si="41"/>
        <v>4.7468033612978608</v>
      </c>
      <c r="V20" s="531">
        <f t="shared" si="15"/>
        <v>3.3632296366473717</v>
      </c>
      <c r="W20" s="531">
        <f t="shared" si="16"/>
        <v>0.3208358923192991</v>
      </c>
      <c r="X20" s="561">
        <f t="shared" si="17"/>
        <v>-7.1580774367380675</v>
      </c>
      <c r="Y20" s="69">
        <f t="shared" si="18"/>
        <v>1.0285009967635095</v>
      </c>
      <c r="Z20" s="70">
        <f t="shared" si="19"/>
        <v>0.85419776673616321</v>
      </c>
      <c r="AA20" s="294">
        <f t="shared" si="33"/>
        <v>0.51318047793310739</v>
      </c>
      <c r="AB20" s="66">
        <f t="shared" si="20"/>
        <v>0.67087394731837624</v>
      </c>
      <c r="AC20" s="65">
        <f t="shared" si="21"/>
        <v>0.53966986389088678</v>
      </c>
      <c r="AD20" s="65">
        <f t="shared" si="22"/>
        <v>0.65901013291439803</v>
      </c>
      <c r="AE20" s="22">
        <f t="shared" si="23"/>
        <v>1.2450275223979324</v>
      </c>
      <c r="AF20" s="22">
        <f t="shared" si="24"/>
        <v>0.81197447112908649</v>
      </c>
      <c r="AG20" s="22">
        <f t="shared" si="25"/>
        <v>1.4937179274302725</v>
      </c>
      <c r="AH20" s="22">
        <f t="shared" si="26"/>
        <v>0.56328406609674642</v>
      </c>
      <c r="AI20" s="22">
        <f t="shared" si="27"/>
        <v>1.2771914017958497</v>
      </c>
      <c r="AJ20" s="22">
        <f t="shared" si="28"/>
        <v>0.77981059173116929</v>
      </c>
      <c r="AK20" s="288">
        <f t="shared" si="34"/>
        <v>3.0156466636086384E-3</v>
      </c>
      <c r="AL20" s="67">
        <f t="shared" si="29"/>
        <v>4.2000000000000011</v>
      </c>
      <c r="AM20" s="186">
        <f t="shared" si="35"/>
        <v>2</v>
      </c>
      <c r="AN20" s="187">
        <f t="shared" si="42"/>
        <v>7</v>
      </c>
      <c r="AO20" s="68">
        <f t="shared" si="36"/>
        <v>0</v>
      </c>
      <c r="AP20" s="334">
        <f t="shared" si="37"/>
        <v>0</v>
      </c>
      <c r="AQ20" s="431">
        <f t="shared" si="38"/>
        <v>0</v>
      </c>
      <c r="AR20" s="335">
        <f t="shared" si="39"/>
        <v>0</v>
      </c>
    </row>
    <row r="21" spans="1:44" s="71" customFormat="1" ht="15" customHeight="1">
      <c r="A21" s="556">
        <f t="shared" si="40"/>
        <v>1.3000000000000003</v>
      </c>
      <c r="B21" s="248">
        <f t="shared" si="0"/>
        <v>0.55892901028610775</v>
      </c>
      <c r="C21" s="248">
        <f t="shared" si="1"/>
        <v>2.558929010286108</v>
      </c>
      <c r="D21" s="326">
        <f t="shared" si="2"/>
        <v>-3.6256405650629628</v>
      </c>
      <c r="E21" s="248">
        <f t="shared" si="3"/>
        <v>1.6926E-2</v>
      </c>
      <c r="F21" s="557">
        <f t="shared" si="4"/>
        <v>257882.65401397771</v>
      </c>
      <c r="G21" s="557">
        <f t="shared" si="5"/>
        <v>114670.15269229688</v>
      </c>
      <c r="H21" s="558">
        <f t="shared" si="6"/>
        <v>27.705367300002603</v>
      </c>
      <c r="I21" s="558">
        <f t="shared" si="7"/>
        <v>32.513010988583261</v>
      </c>
      <c r="J21" s="559">
        <f t="shared" si="8"/>
        <v>1.5045196777312744</v>
      </c>
      <c r="K21" s="694">
        <f t="shared" si="9"/>
        <v>0.23643233206342429</v>
      </c>
      <c r="L21" s="248">
        <f t="shared" si="10"/>
        <v>0.31394633228582025</v>
      </c>
      <c r="M21" s="702">
        <f t="shared" si="11"/>
        <v>0.94539605720042652</v>
      </c>
      <c r="N21" s="560">
        <f t="shared" si="30"/>
        <v>1.0759450835282787</v>
      </c>
      <c r="O21" s="248">
        <f t="shared" si="12"/>
        <v>-6.179093344602371E-2</v>
      </c>
      <c r="P21" s="248">
        <f t="shared" si="13"/>
        <v>0</v>
      </c>
      <c r="Q21" s="248">
        <f t="shared" si="14"/>
        <v>0</v>
      </c>
      <c r="R21" s="248">
        <f t="shared" si="31"/>
        <v>0.44287368830756912</v>
      </c>
      <c r="S21" s="248">
        <f t="shared" si="32"/>
        <v>1.98871546194338E-2</v>
      </c>
      <c r="T21" s="326">
        <f t="shared" si="43"/>
        <v>3.9161009467584842</v>
      </c>
      <c r="U21" s="707">
        <f t="shared" si="41"/>
        <v>4.7839830037365143</v>
      </c>
      <c r="V21" s="531">
        <f t="shared" si="15"/>
        <v>3.3571719364723762</v>
      </c>
      <c r="W21" s="531">
        <f t="shared" si="16"/>
        <v>0.28389905324151687</v>
      </c>
      <c r="X21" s="561">
        <f t="shared" si="17"/>
        <v>-7.1876630723639581</v>
      </c>
      <c r="Y21" s="69">
        <f t="shared" si="18"/>
        <v>1.0269896266573166</v>
      </c>
      <c r="Z21" s="70">
        <f t="shared" si="19"/>
        <v>0.85360470625378626</v>
      </c>
      <c r="AA21" s="294">
        <f t="shared" si="33"/>
        <v>0.51352180670991165</v>
      </c>
      <c r="AB21" s="66">
        <f t="shared" si="20"/>
        <v>0.66973778120604877</v>
      </c>
      <c r="AC21" s="65">
        <f t="shared" si="21"/>
        <v>0.53872259782386145</v>
      </c>
      <c r="AD21" s="65">
        <f t="shared" si="22"/>
        <v>0.65789017250268378</v>
      </c>
      <c r="AE21" s="22">
        <f t="shared" si="23"/>
        <v>1.2431979691114885</v>
      </c>
      <c r="AF21" s="22">
        <f t="shared" si="24"/>
        <v>0.81078128420314477</v>
      </c>
      <c r="AG21" s="22">
        <f t="shared" si="25"/>
        <v>1.491522926521468</v>
      </c>
      <c r="AH21" s="22">
        <f t="shared" si="26"/>
        <v>0.56245632679316548</v>
      </c>
      <c r="AI21" s="22">
        <f t="shared" si="27"/>
        <v>1.2753145840672961</v>
      </c>
      <c r="AJ21" s="22">
        <f t="shared" si="28"/>
        <v>0.77866466924733724</v>
      </c>
      <c r="AK21" s="288">
        <f t="shared" si="34"/>
        <v>3.0007463296923705E-3</v>
      </c>
      <c r="AL21" s="67">
        <f t="shared" si="29"/>
        <v>4.2000000000000011</v>
      </c>
      <c r="AM21" s="186">
        <f t="shared" si="35"/>
        <v>2</v>
      </c>
      <c r="AN21" s="187">
        <f t="shared" si="42"/>
        <v>7</v>
      </c>
      <c r="AO21" s="68">
        <f t="shared" si="36"/>
        <v>0</v>
      </c>
      <c r="AP21" s="334">
        <f t="shared" si="37"/>
        <v>0</v>
      </c>
      <c r="AQ21" s="431">
        <f t="shared" si="38"/>
        <v>0</v>
      </c>
      <c r="AR21" s="335">
        <f t="shared" si="39"/>
        <v>0</v>
      </c>
    </row>
    <row r="22" spans="1:44" s="71" customFormat="1" ht="15" customHeight="1">
      <c r="A22" s="556">
        <f t="shared" si="40"/>
        <v>1.4000000000000004</v>
      </c>
      <c r="B22" s="248">
        <f t="shared" si="0"/>
        <v>0.60192354953888538</v>
      </c>
      <c r="C22" s="248">
        <f t="shared" si="1"/>
        <v>2.6019235495388853</v>
      </c>
      <c r="D22" s="326">
        <f t="shared" si="2"/>
        <v>-3.9045359931447297</v>
      </c>
      <c r="E22" s="248">
        <f t="shared" si="3"/>
        <v>1.8228000000000001E-2</v>
      </c>
      <c r="F22" s="557">
        <f t="shared" si="4"/>
        <v>239462.46444155069</v>
      </c>
      <c r="G22" s="557">
        <f t="shared" si="5"/>
        <v>106479.42749998995</v>
      </c>
      <c r="H22" s="558">
        <f t="shared" si="6"/>
        <v>27.765810527139038</v>
      </c>
      <c r="I22" s="558">
        <f t="shared" si="7"/>
        <v>32.564531941126795</v>
      </c>
      <c r="J22" s="559">
        <f t="shared" si="8"/>
        <v>1.5123827346321448</v>
      </c>
      <c r="K22" s="694">
        <f t="shared" si="9"/>
        <v>0.23652099923025349</v>
      </c>
      <c r="L22" s="248">
        <f t="shared" si="10"/>
        <v>0.31406273044848243</v>
      </c>
      <c r="M22" s="702">
        <f t="shared" si="11"/>
        <v>0.94568327312898726</v>
      </c>
      <c r="N22" s="560">
        <f t="shared" si="30"/>
        <v>1.0659286435398134</v>
      </c>
      <c r="O22" s="248">
        <f t="shared" si="12"/>
        <v>-6.6544082172640934E-2</v>
      </c>
      <c r="P22" s="248">
        <f t="shared" si="13"/>
        <v>0</v>
      </c>
      <c r="Q22" s="248">
        <f t="shared" si="14"/>
        <v>0</v>
      </c>
      <c r="R22" s="248">
        <f t="shared" si="31"/>
        <v>0.43982325574984993</v>
      </c>
      <c r="S22" s="248">
        <f t="shared" si="32"/>
        <v>1.9826580754314649E-2</v>
      </c>
      <c r="T22" s="326">
        <f t="shared" si="43"/>
        <v>3.9539474946634905</v>
      </c>
      <c r="U22" s="707">
        <f t="shared" si="41"/>
        <v>4.8220890365742486</v>
      </c>
      <c r="V22" s="531">
        <f t="shared" si="15"/>
        <v>3.3520239451246052</v>
      </c>
      <c r="W22" s="531">
        <f t="shared" si="16"/>
        <v>0.24605250533651057</v>
      </c>
      <c r="X22" s="561">
        <f t="shared" si="17"/>
        <v>-7.2175604521379908</v>
      </c>
      <c r="Y22" s="69">
        <f t="shared" si="18"/>
        <v>1.0253648072398789</v>
      </c>
      <c r="Z22" s="70">
        <f t="shared" si="19"/>
        <v>0.85296507150354528</v>
      </c>
      <c r="AA22" s="294">
        <f t="shared" si="33"/>
        <v>0.51376272193532901</v>
      </c>
      <c r="AB22" s="66">
        <f t="shared" si="20"/>
        <v>0.66851264531372823</v>
      </c>
      <c r="AC22" s="65">
        <f t="shared" si="21"/>
        <v>0.53770156350435405</v>
      </c>
      <c r="AD22" s="65">
        <f t="shared" si="22"/>
        <v>0.65668251604120687</v>
      </c>
      <c r="AE22" s="22">
        <f t="shared" si="23"/>
        <v>1.2412310824482744</v>
      </c>
      <c r="AF22" s="22">
        <f t="shared" si="24"/>
        <v>0.80949853203148348</v>
      </c>
      <c r="AG22" s="22">
        <f t="shared" si="25"/>
        <v>1.4891631603177395</v>
      </c>
      <c r="AH22" s="22">
        <f t="shared" si="26"/>
        <v>0.56156645416201856</v>
      </c>
      <c r="AI22" s="22">
        <f t="shared" si="27"/>
        <v>1.273296885109344</v>
      </c>
      <c r="AJ22" s="22">
        <f t="shared" si="28"/>
        <v>0.77743272937041386</v>
      </c>
      <c r="AK22" s="288">
        <f t="shared" si="34"/>
        <v>2.9848994615037224E-3</v>
      </c>
      <c r="AL22" s="67">
        <f t="shared" si="29"/>
        <v>4.2000000000000011</v>
      </c>
      <c r="AM22" s="186">
        <f t="shared" si="35"/>
        <v>2</v>
      </c>
      <c r="AN22" s="187">
        <f t="shared" si="42"/>
        <v>7</v>
      </c>
      <c r="AO22" s="68">
        <f t="shared" si="36"/>
        <v>0</v>
      </c>
      <c r="AP22" s="334">
        <f t="shared" si="37"/>
        <v>0</v>
      </c>
      <c r="AQ22" s="431">
        <f t="shared" si="38"/>
        <v>0</v>
      </c>
      <c r="AR22" s="335">
        <f t="shared" si="39"/>
        <v>0</v>
      </c>
    </row>
    <row r="23" spans="1:44" s="59" customFormat="1" ht="15" customHeight="1">
      <c r="A23" s="549">
        <f t="shared" si="40"/>
        <v>1.5000000000000004</v>
      </c>
      <c r="B23" s="247">
        <f t="shared" si="0"/>
        <v>0.6449180887916629</v>
      </c>
      <c r="C23" s="247">
        <f t="shared" si="1"/>
        <v>2.644918088791663</v>
      </c>
      <c r="D23" s="275">
        <f t="shared" si="2"/>
        <v>-4.183431421226496</v>
      </c>
      <c r="E23" s="247">
        <f t="shared" si="3"/>
        <v>1.9530000000000002E-2</v>
      </c>
      <c r="F23" s="550">
        <f t="shared" si="4"/>
        <v>223498.30014544731</v>
      </c>
      <c r="G23" s="550">
        <f t="shared" si="5"/>
        <v>99380.798999990613</v>
      </c>
      <c r="H23" s="551">
        <f t="shared" si="6"/>
        <v>27.830584812536074</v>
      </c>
      <c r="I23" s="551">
        <f t="shared" si="7"/>
        <v>32.619778621619211</v>
      </c>
      <c r="J23" s="552">
        <f t="shared" si="8"/>
        <v>1.520831677595903</v>
      </c>
      <c r="K23" s="693">
        <f t="shared" si="9"/>
        <v>0.23661533979266891</v>
      </c>
      <c r="L23" s="247">
        <f t="shared" si="10"/>
        <v>0.31418610940795744</v>
      </c>
      <c r="M23" s="701">
        <f t="shared" si="11"/>
        <v>0.94598790760046869</v>
      </c>
      <c r="N23" s="553">
        <f t="shared" si="30"/>
        <v>1.0561644035472375</v>
      </c>
      <c r="O23" s="247">
        <f t="shared" si="12"/>
        <v>-7.1297230899258143E-2</v>
      </c>
      <c r="P23" s="247">
        <f t="shared" si="13"/>
        <v>0</v>
      </c>
      <c r="Q23" s="247">
        <f t="shared" si="14"/>
        <v>0</v>
      </c>
      <c r="R23" s="247">
        <f t="shared" si="31"/>
        <v>0.43682442802301374</v>
      </c>
      <c r="S23" s="247">
        <f t="shared" si="32"/>
        <v>1.9776790958929757E-2</v>
      </c>
      <c r="T23" s="275">
        <f t="shared" si="43"/>
        <v>3.992701498324704</v>
      </c>
      <c r="U23" s="706">
        <f t="shared" si="41"/>
        <v>4.8611186363098842</v>
      </c>
      <c r="V23" s="555">
        <f t="shared" si="15"/>
        <v>3.347783409533041</v>
      </c>
      <c r="W23" s="555">
        <f t="shared" si="16"/>
        <v>0.20729850167529706</v>
      </c>
      <c r="X23" s="554">
        <f t="shared" si="17"/>
        <v>-7.2477670287736649</v>
      </c>
      <c r="Y23" s="56">
        <f t="shared" si="18"/>
        <v>1.0236281920852868</v>
      </c>
      <c r="Z23" s="57">
        <f t="shared" si="19"/>
        <v>0.85227906628534766</v>
      </c>
      <c r="AA23" s="293">
        <f t="shared" si="33"/>
        <v>0.51390374309404485</v>
      </c>
      <c r="AB23" s="53">
        <f t="shared" si="20"/>
        <v>0.66719886412033724</v>
      </c>
      <c r="AC23" s="52">
        <f t="shared" si="21"/>
        <v>0.53660721472923978</v>
      </c>
      <c r="AD23" s="52">
        <f t="shared" si="22"/>
        <v>0.65538760161662513</v>
      </c>
      <c r="AE23" s="58">
        <f t="shared" si="23"/>
        <v>1.2391288641032419</v>
      </c>
      <c r="AF23" s="58">
        <f t="shared" si="24"/>
        <v>0.80812752006733168</v>
      </c>
      <c r="AG23" s="58">
        <f t="shared" si="25"/>
        <v>1.4866410303464275</v>
      </c>
      <c r="AH23" s="58">
        <f t="shared" si="26"/>
        <v>0.56061535382414607</v>
      </c>
      <c r="AI23" s="58">
        <f t="shared" si="27"/>
        <v>1.2711403583284726</v>
      </c>
      <c r="AJ23" s="58">
        <f t="shared" si="28"/>
        <v>0.77611602584210093</v>
      </c>
      <c r="AK23" s="299">
        <f t="shared" si="34"/>
        <v>2.9681552967758909E-3</v>
      </c>
      <c r="AL23" s="54">
        <f t="shared" si="29"/>
        <v>4.2000000000000011</v>
      </c>
      <c r="AM23" s="185">
        <f t="shared" si="35"/>
        <v>2</v>
      </c>
      <c r="AN23" s="188">
        <f t="shared" si="42"/>
        <v>7</v>
      </c>
      <c r="AO23" s="55">
        <f t="shared" si="36"/>
        <v>0</v>
      </c>
      <c r="AP23" s="332">
        <f t="shared" si="37"/>
        <v>0</v>
      </c>
      <c r="AQ23" s="430">
        <f t="shared" si="38"/>
        <v>0</v>
      </c>
      <c r="AR23" s="333">
        <f t="shared" si="39"/>
        <v>0</v>
      </c>
    </row>
    <row r="24" spans="1:44" s="71" customFormat="1" ht="15" customHeight="1">
      <c r="A24" s="556">
        <f t="shared" si="40"/>
        <v>1.6000000000000005</v>
      </c>
      <c r="B24" s="248">
        <f t="shared" si="0"/>
        <v>0.68791262804444053</v>
      </c>
      <c r="C24" s="248">
        <f t="shared" si="1"/>
        <v>2.6879126280444403</v>
      </c>
      <c r="D24" s="326">
        <f t="shared" si="2"/>
        <v>-4.4623268493082628</v>
      </c>
      <c r="E24" s="248">
        <f t="shared" si="3"/>
        <v>2.0832000000000003E-2</v>
      </c>
      <c r="F24" s="557">
        <f t="shared" si="4"/>
        <v>209529.65638635683</v>
      </c>
      <c r="G24" s="557">
        <f t="shared" si="5"/>
        <v>93169.499062491202</v>
      </c>
      <c r="H24" s="558">
        <f t="shared" si="6"/>
        <v>27.899659990121538</v>
      </c>
      <c r="I24" s="558">
        <f t="shared" si="7"/>
        <v>32.678732133913499</v>
      </c>
      <c r="J24" s="559">
        <f t="shared" si="8"/>
        <v>1.5298671881580921</v>
      </c>
      <c r="K24" s="694">
        <f t="shared" si="9"/>
        <v>0.23671476446003603</v>
      </c>
      <c r="L24" s="248">
        <f t="shared" si="10"/>
        <v>0.31431615283955039</v>
      </c>
      <c r="M24" s="702">
        <f t="shared" si="11"/>
        <v>0.94630964302069898</v>
      </c>
      <c r="N24" s="560">
        <f t="shared" si="30"/>
        <v>1.0466466468043305</v>
      </c>
      <c r="O24" s="248">
        <f t="shared" si="12"/>
        <v>-7.6050379625875353E-2</v>
      </c>
      <c r="P24" s="248">
        <f t="shared" si="13"/>
        <v>0</v>
      </c>
      <c r="Q24" s="248">
        <f t="shared" si="14"/>
        <v>0</v>
      </c>
      <c r="R24" s="248">
        <f t="shared" ref="R24:R37" si="44">10*LOG10(1/SQRT(1-AK24*(Q/AA24)^2))</f>
        <v>0.43388077413795884</v>
      </c>
      <c r="S24" s="248">
        <f t="shared" si="32"/>
        <v>1.9737701490756987E-2</v>
      </c>
      <c r="T24" s="326">
        <f t="shared" si="43"/>
        <v>4.0323610914751296</v>
      </c>
      <c r="U24" s="707">
        <f t="shared" si="41"/>
        <v>4.901069346116314</v>
      </c>
      <c r="V24" s="531">
        <f t="shared" si="15"/>
        <v>3.3444484634306892</v>
      </c>
      <c r="W24" s="531">
        <f t="shared" si="16"/>
        <v>0.16763890852487151</v>
      </c>
      <c r="X24" s="561">
        <f t="shared" si="17"/>
        <v>-7.2782806126643935</v>
      </c>
      <c r="Y24" s="69">
        <f t="shared" si="18"/>
        <v>1.0217815330117466</v>
      </c>
      <c r="Z24" s="70">
        <f t="shared" si="19"/>
        <v>0.85154691045354847</v>
      </c>
      <c r="AA24" s="294">
        <f t="shared" si="33"/>
        <v>0.51394542118532061</v>
      </c>
      <c r="AB24" s="66">
        <f t="shared" si="20"/>
        <v>0.66579695522109006</v>
      </c>
      <c r="AC24" s="65">
        <f t="shared" si="21"/>
        <v>0.53544003506439841</v>
      </c>
      <c r="AD24" s="65">
        <f t="shared" si="22"/>
        <v>0.65400589946763299</v>
      </c>
      <c r="AE24" s="22">
        <f t="shared" si="23"/>
        <v>1.2368934346984299</v>
      </c>
      <c r="AF24" s="22">
        <f t="shared" si="24"/>
        <v>0.8066696313250632</v>
      </c>
      <c r="AG24" s="22">
        <f t="shared" si="25"/>
        <v>1.4839590808172789</v>
      </c>
      <c r="AH24" s="22">
        <f t="shared" si="26"/>
        <v>0.55960398520621424</v>
      </c>
      <c r="AI24" s="22">
        <f t="shared" si="27"/>
        <v>1.2688471791305955</v>
      </c>
      <c r="AJ24" s="22">
        <f t="shared" si="28"/>
        <v>0.77471588689289761</v>
      </c>
      <c r="AK24" s="288">
        <f t="shared" si="34"/>
        <v>2.9505643161276628E-3</v>
      </c>
      <c r="AL24" s="67">
        <f t="shared" si="29"/>
        <v>4.2000000000000011</v>
      </c>
      <c r="AM24" s="186">
        <f t="shared" si="35"/>
        <v>2</v>
      </c>
      <c r="AN24" s="187">
        <f t="shared" si="42"/>
        <v>7</v>
      </c>
      <c r="AO24" s="68">
        <f t="shared" si="36"/>
        <v>0</v>
      </c>
      <c r="AP24" s="334">
        <f t="shared" si="37"/>
        <v>0</v>
      </c>
      <c r="AQ24" s="431">
        <f t="shared" si="38"/>
        <v>0</v>
      </c>
      <c r="AR24" s="335">
        <f t="shared" si="39"/>
        <v>0</v>
      </c>
    </row>
    <row r="25" spans="1:44" s="71" customFormat="1" ht="15" customHeight="1">
      <c r="A25" s="556">
        <f t="shared" si="40"/>
        <v>1.7000000000000006</v>
      </c>
      <c r="B25" s="248">
        <f t="shared" si="0"/>
        <v>0.73090716729721805</v>
      </c>
      <c r="C25" s="248">
        <f t="shared" si="1"/>
        <v>2.7309071672972181</v>
      </c>
      <c r="D25" s="326">
        <f t="shared" si="2"/>
        <v>-4.7412222773900297</v>
      </c>
      <c r="E25" s="248">
        <f t="shared" si="3"/>
        <v>2.2134000000000004E-2</v>
      </c>
      <c r="F25" s="557">
        <f t="shared" si="4"/>
        <v>197204.38248127702</v>
      </c>
      <c r="G25" s="557">
        <f t="shared" si="5"/>
        <v>87688.940294109358</v>
      </c>
      <c r="H25" s="558">
        <f t="shared" si="6"/>
        <v>27.973004198670914</v>
      </c>
      <c r="I25" s="558">
        <f t="shared" si="7"/>
        <v>32.741372454656549</v>
      </c>
      <c r="J25" s="559">
        <f t="shared" si="8"/>
        <v>1.5394899771473833</v>
      </c>
      <c r="K25" s="694">
        <f t="shared" si="9"/>
        <v>0.23681902121373066</v>
      </c>
      <c r="L25" s="248">
        <f t="shared" si="10"/>
        <v>0.31445253415826246</v>
      </c>
      <c r="M25" s="702">
        <f t="shared" si="11"/>
        <v>0.94664779838242863</v>
      </c>
      <c r="N25" s="560">
        <f t="shared" si="30"/>
        <v>1.0373698626182888</v>
      </c>
      <c r="O25" s="248">
        <f t="shared" si="12"/>
        <v>-8.0803528352492576E-2</v>
      </c>
      <c r="P25" s="248">
        <f t="shared" si="13"/>
        <v>0</v>
      </c>
      <c r="Q25" s="248">
        <f t="shared" si="14"/>
        <v>0</v>
      </c>
      <c r="R25" s="248">
        <f t="shared" si="44"/>
        <v>0.43099595828060655</v>
      </c>
      <c r="S25" s="248">
        <f t="shared" si="32"/>
        <v>1.9709246035285788E-2</v>
      </c>
      <c r="T25" s="326">
        <f t="shared" si="43"/>
        <v>4.072924745537045</v>
      </c>
      <c r="U25" s="707">
        <f t="shared" si="41"/>
        <v>4.9419390309749414</v>
      </c>
      <c r="V25" s="531">
        <f t="shared" si="15"/>
        <v>3.3420175782398269</v>
      </c>
      <c r="W25" s="531">
        <f t="shared" si="16"/>
        <v>0.12707525446295609</v>
      </c>
      <c r="X25" s="561">
        <f t="shared" si="17"/>
        <v>-7.3090993241460414</v>
      </c>
      <c r="Y25" s="69">
        <f t="shared" si="18"/>
        <v>1.0198266753451715</v>
      </c>
      <c r="Z25" s="70">
        <f t="shared" si="19"/>
        <v>0.8507688400672333</v>
      </c>
      <c r="AA25" s="294">
        <f t="shared" si="33"/>
        <v>0.51388833863401373</v>
      </c>
      <c r="AB25" s="66">
        <f t="shared" si="20"/>
        <v>0.66430741515275304</v>
      </c>
      <c r="AC25" s="65">
        <f t="shared" si="21"/>
        <v>0.53420053708571213</v>
      </c>
      <c r="AD25" s="65">
        <f t="shared" si="22"/>
        <v>0.65253791187677423</v>
      </c>
      <c r="AE25" s="22">
        <f t="shared" si="23"/>
        <v>1.2345270280494181</v>
      </c>
      <c r="AF25" s="22">
        <f t="shared" si="24"/>
        <v>0.80512632264092487</v>
      </c>
      <c r="AG25" s="22">
        <f t="shared" si="25"/>
        <v>1.4811199917436402</v>
      </c>
      <c r="AH25" s="22">
        <f t="shared" si="26"/>
        <v>0.55853335894670264</v>
      </c>
      <c r="AI25" s="22">
        <f t="shared" si="27"/>
        <v>1.2664196390393938</v>
      </c>
      <c r="AJ25" s="22">
        <f t="shared" si="28"/>
        <v>0.77323371165094912</v>
      </c>
      <c r="AK25" s="288">
        <f t="shared" si="34"/>
        <v>2.9321778768021342E-3</v>
      </c>
      <c r="AL25" s="67">
        <f t="shared" si="29"/>
        <v>4.2000000000000011</v>
      </c>
      <c r="AM25" s="186">
        <f t="shared" si="35"/>
        <v>2</v>
      </c>
      <c r="AN25" s="187">
        <f t="shared" si="42"/>
        <v>7</v>
      </c>
      <c r="AO25" s="68">
        <f t="shared" si="36"/>
        <v>0</v>
      </c>
      <c r="AP25" s="334">
        <f t="shared" si="37"/>
        <v>0</v>
      </c>
      <c r="AQ25" s="431">
        <f t="shared" si="38"/>
        <v>0</v>
      </c>
      <c r="AR25" s="335">
        <f t="shared" si="39"/>
        <v>0</v>
      </c>
    </row>
    <row r="26" spans="1:44" s="71" customFormat="1" ht="15" customHeight="1">
      <c r="A26" s="556">
        <f t="shared" si="40"/>
        <v>1.8000000000000007</v>
      </c>
      <c r="B26" s="248">
        <f t="shared" si="0"/>
        <v>0.77390170654999568</v>
      </c>
      <c r="C26" s="248">
        <f t="shared" si="1"/>
        <v>2.7739017065499958</v>
      </c>
      <c r="D26" s="326">
        <f t="shared" si="2"/>
        <v>-5.0201177054717956</v>
      </c>
      <c r="E26" s="248">
        <f t="shared" si="3"/>
        <v>2.3436000000000005E-2</v>
      </c>
      <c r="F26" s="557">
        <f t="shared" si="4"/>
        <v>186248.58345453942</v>
      </c>
      <c r="G26" s="557">
        <f t="shared" si="5"/>
        <v>82817.332499992175</v>
      </c>
      <c r="H26" s="558">
        <f t="shared" si="6"/>
        <v>28.050583951340112</v>
      </c>
      <c r="I26" s="558">
        <f t="shared" si="7"/>
        <v>32.80767846597594</v>
      </c>
      <c r="J26" s="559">
        <f t="shared" si="8"/>
        <v>1.5497007817124995</v>
      </c>
      <c r="K26" s="694">
        <f t="shared" si="9"/>
        <v>0.23692785160690066</v>
      </c>
      <c r="L26" s="248">
        <f t="shared" si="10"/>
        <v>0.31459491854294019</v>
      </c>
      <c r="M26" s="702">
        <f t="shared" si="11"/>
        <v>0.94700167937461699</v>
      </c>
      <c r="N26" s="560">
        <f t="shared" si="30"/>
        <v>1.0283287384557482</v>
      </c>
      <c r="O26" s="248">
        <f t="shared" si="12"/>
        <v>-8.5556677079109786E-2</v>
      </c>
      <c r="P26" s="248">
        <f t="shared" si="13"/>
        <v>0</v>
      </c>
      <c r="Q26" s="248">
        <f t="shared" si="14"/>
        <v>0</v>
      </c>
      <c r="R26" s="248">
        <f t="shared" si="44"/>
        <v>0.42817370398162047</v>
      </c>
      <c r="S26" s="248">
        <f t="shared" si="32"/>
        <v>1.9691374972167219E-2</v>
      </c>
      <c r="T26" s="326">
        <f t="shared" si="43"/>
        <v>4.1143912242149714</v>
      </c>
      <c r="U26" s="707">
        <f t="shared" si="41"/>
        <v>4.9837258366535488</v>
      </c>
      <c r="V26" s="531">
        <f t="shared" si="15"/>
        <v>3.3404895176649756</v>
      </c>
      <c r="W26" s="531">
        <f t="shared" si="16"/>
        <v>8.5608775785029678E-2</v>
      </c>
      <c r="X26" s="561">
        <f t="shared" si="17"/>
        <v>-7.340221549405733</v>
      </c>
      <c r="Y26" s="69">
        <f t="shared" si="18"/>
        <v>1.0177655530030532</v>
      </c>
      <c r="Z26" s="70">
        <f t="shared" si="19"/>
        <v>0.84994510753351871</v>
      </c>
      <c r="AA26" s="294">
        <f t="shared" si="33"/>
        <v>0.51373310918001058</v>
      </c>
      <c r="AB26" s="66">
        <f t="shared" si="20"/>
        <v>0.66273077259794655</v>
      </c>
      <c r="AC26" s="65">
        <f t="shared" si="21"/>
        <v>0.53288926158850369</v>
      </c>
      <c r="AD26" s="65">
        <f t="shared" si="22"/>
        <v>0.65098417304098266</v>
      </c>
      <c r="AE26" s="22">
        <f t="shared" si="23"/>
        <v>1.2320319852142221</v>
      </c>
      <c r="AF26" s="22">
        <f t="shared" si="24"/>
        <v>0.80349912079188412</v>
      </c>
      <c r="AG26" s="22">
        <f t="shared" si="25"/>
        <v>1.4781265718026413</v>
      </c>
      <c r="AH26" s="22">
        <f t="shared" si="26"/>
        <v>0.55740453420346503</v>
      </c>
      <c r="AI26" s="22">
        <f t="shared" si="27"/>
        <v>1.2638601395914724</v>
      </c>
      <c r="AJ26" s="22">
        <f t="shared" si="28"/>
        <v>0.77167096641463395</v>
      </c>
      <c r="AK26" s="288">
        <f t="shared" si="34"/>
        <v>2.913047860761379E-3</v>
      </c>
      <c r="AL26" s="67">
        <f t="shared" si="29"/>
        <v>4.2000000000000011</v>
      </c>
      <c r="AM26" s="186">
        <f t="shared" si="35"/>
        <v>2</v>
      </c>
      <c r="AN26" s="187">
        <f t="shared" si="42"/>
        <v>7</v>
      </c>
      <c r="AO26" s="68">
        <f t="shared" si="36"/>
        <v>0</v>
      </c>
      <c r="AP26" s="334">
        <f t="shared" si="37"/>
        <v>0</v>
      </c>
      <c r="AQ26" s="431">
        <f t="shared" si="38"/>
        <v>0</v>
      </c>
      <c r="AR26" s="335">
        <f t="shared" si="39"/>
        <v>0</v>
      </c>
    </row>
    <row r="27" spans="1:44" s="71" customFormat="1" ht="15" customHeight="1">
      <c r="A27" s="556">
        <f t="shared" si="40"/>
        <v>1.9000000000000008</v>
      </c>
      <c r="B27" s="248">
        <f t="shared" si="0"/>
        <v>0.8168962458027732</v>
      </c>
      <c r="C27" s="248">
        <f t="shared" si="1"/>
        <v>2.8168962458027731</v>
      </c>
      <c r="D27" s="326">
        <f t="shared" si="2"/>
        <v>-5.2990131335535624</v>
      </c>
      <c r="E27" s="248">
        <f t="shared" si="3"/>
        <v>2.4738000000000007E-2</v>
      </c>
      <c r="F27" s="557">
        <f t="shared" si="4"/>
        <v>176446.02643061627</v>
      </c>
      <c r="G27" s="557">
        <f t="shared" si="5"/>
        <v>78458.525526308367</v>
      </c>
      <c r="H27" s="558">
        <f t="shared" si="6"/>
        <v>28.132364207462995</v>
      </c>
      <c r="I27" s="558">
        <f t="shared" si="7"/>
        <v>32.87762798951632</v>
      </c>
      <c r="J27" s="559">
        <f t="shared" si="8"/>
        <v>1.5605003623266067</v>
      </c>
      <c r="K27" s="694">
        <f t="shared" si="9"/>
        <v>0.23704099234918186</v>
      </c>
      <c r="L27" s="248">
        <f t="shared" si="10"/>
        <v>0.31474255921703809</v>
      </c>
      <c r="M27" s="702">
        <f t="shared" si="11"/>
        <v>0.94737058336212421</v>
      </c>
      <c r="N27" s="560">
        <f t="shared" si="30"/>
        <v>1.0195180557626236</v>
      </c>
      <c r="O27" s="248">
        <f t="shared" si="12"/>
        <v>-9.0309825805726995E-2</v>
      </c>
      <c r="P27" s="248">
        <f t="shared" si="13"/>
        <v>0</v>
      </c>
      <c r="Q27" s="248">
        <f t="shared" si="14"/>
        <v>0</v>
      </c>
      <c r="R27" s="248">
        <f t="shared" si="44"/>
        <v>0.42541765290902228</v>
      </c>
      <c r="S27" s="248">
        <f t="shared" si="32"/>
        <v>1.9684047511439318E-2</v>
      </c>
      <c r="T27" s="326">
        <f t="shared" si="43"/>
        <v>4.1567589235295026</v>
      </c>
      <c r="U27" s="707">
        <f t="shared" si="41"/>
        <v>5.0264279400237708</v>
      </c>
      <c r="V27" s="531">
        <f t="shared" si="15"/>
        <v>3.3398626777267295</v>
      </c>
      <c r="W27" s="531">
        <f t="shared" si="16"/>
        <v>4.3241076470498463E-2</v>
      </c>
      <c r="X27" s="561">
        <f t="shared" si="17"/>
        <v>-7.3716456911624242</v>
      </c>
      <c r="Y27" s="69">
        <f t="shared" si="18"/>
        <v>1.0156001834231345</v>
      </c>
      <c r="Z27" s="70">
        <f t="shared" si="19"/>
        <v>0.84907598174110721</v>
      </c>
      <c r="AA27" s="294">
        <f t="shared" si="33"/>
        <v>0.51348043715281277</v>
      </c>
      <c r="AB27" s="66">
        <f t="shared" si="20"/>
        <v>0.66106758832486046</v>
      </c>
      <c r="AC27" s="65">
        <f t="shared" si="21"/>
        <v>0.5315067767688606</v>
      </c>
      <c r="AD27" s="65">
        <f t="shared" si="22"/>
        <v>0.64934530959120051</v>
      </c>
      <c r="AE27" s="22">
        <f t="shared" si="23"/>
        <v>1.2294107483543208</v>
      </c>
      <c r="AF27" s="22">
        <f t="shared" si="24"/>
        <v>0.80178961849194841</v>
      </c>
      <c r="AG27" s="22">
        <f t="shared" si="25"/>
        <v>1.4749817509699783</v>
      </c>
      <c r="AH27" s="22">
        <f t="shared" si="26"/>
        <v>0.55621861587629096</v>
      </c>
      <c r="AI27" s="22">
        <f t="shared" si="27"/>
        <v>1.2611711860387922</v>
      </c>
      <c r="AJ27" s="22">
        <f t="shared" si="28"/>
        <v>0.77002918080747695</v>
      </c>
      <c r="AK27" s="288">
        <f t="shared" si="34"/>
        <v>2.893226340732366E-3</v>
      </c>
      <c r="AL27" s="67">
        <f t="shared" si="29"/>
        <v>4.2000000000000011</v>
      </c>
      <c r="AM27" s="186">
        <f t="shared" si="35"/>
        <v>2</v>
      </c>
      <c r="AN27" s="187">
        <f t="shared" si="42"/>
        <v>7</v>
      </c>
      <c r="AO27" s="68">
        <f t="shared" si="36"/>
        <v>0</v>
      </c>
      <c r="AP27" s="334">
        <f>IF($A27=$L$3,I27,0)</f>
        <v>0</v>
      </c>
      <c r="AQ27" s="431">
        <f t="shared" si="38"/>
        <v>0</v>
      </c>
      <c r="AR27" s="335">
        <f t="shared" si="39"/>
        <v>0</v>
      </c>
    </row>
    <row r="28" spans="1:44" s="59" customFormat="1" ht="15" customHeight="1">
      <c r="A28" s="562">
        <f t="shared" si="40"/>
        <v>2.0000000000000009</v>
      </c>
      <c r="B28" s="432">
        <f t="shared" si="0"/>
        <v>0.85989078505555061</v>
      </c>
      <c r="C28" s="432">
        <f t="shared" si="1"/>
        <v>2.8598907850555504</v>
      </c>
      <c r="D28" s="433">
        <f t="shared" si="2"/>
        <v>-5.5779085616353292</v>
      </c>
      <c r="E28" s="432">
        <f t="shared" si="3"/>
        <v>2.6040000000000008E-2</v>
      </c>
      <c r="F28" s="563">
        <f t="shared" si="4"/>
        <v>167623.72510908544</v>
      </c>
      <c r="G28" s="563">
        <f t="shared" si="5"/>
        <v>74535.599249992956</v>
      </c>
      <c r="H28" s="564">
        <f t="shared" si="6"/>
        <v>28.218308446279295</v>
      </c>
      <c r="I28" s="564">
        <f t="shared" si="7"/>
        <v>32.951197821703531</v>
      </c>
      <c r="J28" s="565">
        <f t="shared" si="8"/>
        <v>1.5718891540255007</v>
      </c>
      <c r="K28" s="695">
        <f t="shared" si="9"/>
        <v>0.23715852268600712</v>
      </c>
      <c r="L28" s="432">
        <f t="shared" si="10"/>
        <v>0.31489625343272887</v>
      </c>
      <c r="M28" s="703">
        <f t="shared" si="11"/>
        <v>0.94775380445677948</v>
      </c>
      <c r="N28" s="566">
        <f t="shared" si="30"/>
        <v>1.0109330669117964</v>
      </c>
      <c r="O28" s="432">
        <f t="shared" si="12"/>
        <v>-9.5062974532344205E-2</v>
      </c>
      <c r="P28" s="432">
        <f t="shared" si="13"/>
        <v>0</v>
      </c>
      <c r="Q28" s="432">
        <f t="shared" si="14"/>
        <v>0</v>
      </c>
      <c r="R28" s="432">
        <f t="shared" si="44"/>
        <v>0.42273176782286809</v>
      </c>
      <c r="S28" s="432">
        <f t="shared" si="32"/>
        <v>1.9687259819271052E-2</v>
      </c>
      <c r="T28" s="433">
        <f>J28+L28+B28+Q28+N28+R28+S28+Pmn</f>
        <v>4.2000282870677159</v>
      </c>
      <c r="U28" s="706">
        <f t="shared" si="41"/>
        <v>5.0700443607777732</v>
      </c>
      <c r="V28" s="432">
        <f t="shared" si="15"/>
        <v>3.3401375020121655</v>
      </c>
      <c r="W28" s="816">
        <f t="shared" si="16"/>
        <v>-2.8287067714849456E-5</v>
      </c>
      <c r="X28" s="567">
        <f t="shared" si="17"/>
        <v>-7.4033709626321365</v>
      </c>
      <c r="Y28" s="434">
        <f t="shared" si="18"/>
        <v>1.0133326623615928</v>
      </c>
      <c r="Z28" s="435">
        <f t="shared" si="19"/>
        <v>0.84816177590074748</v>
      </c>
      <c r="AA28" s="436">
        <f t="shared" si="33"/>
        <v>0.51313088172781995</v>
      </c>
      <c r="AB28" s="437">
        <f t="shared" si="20"/>
        <v>0.65931845510154075</v>
      </c>
      <c r="AC28" s="438">
        <f t="shared" si="21"/>
        <v>0.53005367738030507</v>
      </c>
      <c r="AD28" s="438">
        <f t="shared" si="22"/>
        <v>0.64762179980652057</v>
      </c>
      <c r="AE28" s="439">
        <f t="shared" si="23"/>
        <v>1.2266658544377176</v>
      </c>
      <c r="AF28" s="439">
        <f t="shared" si="24"/>
        <v>0.79999947028546814</v>
      </c>
      <c r="AG28" s="439">
        <f t="shared" si="25"/>
        <v>1.4716885729651841</v>
      </c>
      <c r="AH28" s="439">
        <f t="shared" si="26"/>
        <v>0.55497675175800176</v>
      </c>
      <c r="AI28" s="439">
        <f t="shared" si="27"/>
        <v>1.2583553808890595</v>
      </c>
      <c r="AJ28" s="439">
        <f t="shared" si="28"/>
        <v>0.76830994383412643</v>
      </c>
      <c r="AK28" s="711">
        <f t="shared" si="34"/>
        <v>2.8727652671676359E-3</v>
      </c>
      <c r="AL28" s="441">
        <f t="shared" si="29"/>
        <v>4.2000000000000011</v>
      </c>
      <c r="AM28" s="442">
        <f t="shared" si="35"/>
        <v>2</v>
      </c>
      <c r="AN28" s="443">
        <f t="shared" si="42"/>
        <v>7</v>
      </c>
      <c r="AO28" s="444">
        <f t="shared" si="36"/>
        <v>-2.8287067714849456E-5</v>
      </c>
      <c r="AP28" s="445">
        <f t="shared" ref="AP28:AP38" si="45">IF($A28=$L$3,I28,0)</f>
        <v>32.951197821703531</v>
      </c>
      <c r="AQ28" s="446">
        <f t="shared" si="38"/>
        <v>1.2583553808890595</v>
      </c>
      <c r="AR28" s="447">
        <f t="shared" si="39"/>
        <v>0.76830994383412643</v>
      </c>
    </row>
    <row r="29" spans="1:44" s="71" customFormat="1" ht="15" customHeight="1">
      <c r="A29" s="556">
        <f t="shared" si="40"/>
        <v>2.100000000000001</v>
      </c>
      <c r="B29" s="248">
        <f t="shared" si="0"/>
        <v>0.90288532430832835</v>
      </c>
      <c r="C29" s="248">
        <f t="shared" si="1"/>
        <v>2.9028853243083281</v>
      </c>
      <c r="D29" s="326">
        <f t="shared" si="2"/>
        <v>-5.856803989717096</v>
      </c>
      <c r="E29" s="248">
        <f t="shared" si="3"/>
        <v>2.7342000000000009E-2</v>
      </c>
      <c r="F29" s="557">
        <f t="shared" si="4"/>
        <v>159641.64296103377</v>
      </c>
      <c r="G29" s="557">
        <f t="shared" si="5"/>
        <v>70986.284999993281</v>
      </c>
      <c r="H29" s="558">
        <f t="shared" si="6"/>
        <v>28.308378742259624</v>
      </c>
      <c r="I29" s="558">
        <f t="shared" si="7"/>
        <v>33.028363770112783</v>
      </c>
      <c r="J29" s="559">
        <f t="shared" si="8"/>
        <v>1.583868632006538</v>
      </c>
      <c r="K29" s="694">
        <f t="shared" si="9"/>
        <v>0.23727949746183974</v>
      </c>
      <c r="L29" s="248">
        <f t="shared" si="10"/>
        <v>0.31505458516804774</v>
      </c>
      <c r="M29" s="702">
        <f t="shared" si="11"/>
        <v>0.94815063865072169</v>
      </c>
      <c r="N29" s="560">
        <f t="shared" si="30"/>
        <v>1.0025689160749824</v>
      </c>
      <c r="O29" s="248">
        <f t="shared" si="12"/>
        <v>-9.9816123258961428E-2</v>
      </c>
      <c r="P29" s="248">
        <f t="shared" si="13"/>
        <v>0</v>
      </c>
      <c r="Q29" s="248">
        <f t="shared" si="14"/>
        <v>0</v>
      </c>
      <c r="R29" s="248">
        <f t="shared" si="44"/>
        <v>0.42011966352742047</v>
      </c>
      <c r="S29" s="248">
        <f t="shared" si="32"/>
        <v>1.9701001912133087E-2</v>
      </c>
      <c r="T29" s="326">
        <f t="shared" si="43"/>
        <v>4.2441981229974495</v>
      </c>
      <c r="U29" s="707">
        <f t="shared" si="41"/>
        <v>5.1145736739419636</v>
      </c>
      <c r="V29" s="531">
        <f t="shared" si="15"/>
        <v>3.3413127986891213</v>
      </c>
      <c r="W29" s="531">
        <f t="shared" si="16"/>
        <v>-4.4198122997448408E-2</v>
      </c>
      <c r="X29" s="561">
        <f t="shared" si="17"/>
        <v>-7.4353961177990833</v>
      </c>
      <c r="Y29" s="69">
        <f t="shared" si="18"/>
        <v>1.0109651585854609</v>
      </c>
      <c r="Z29" s="70">
        <f t="shared" si="19"/>
        <v>0.84720273785781264</v>
      </c>
      <c r="AA29" s="294">
        <f t="shared" si="33"/>
        <v>0.51268520720160449</v>
      </c>
      <c r="AB29" s="66">
        <f t="shared" si="20"/>
        <v>0.65748399758195886</v>
      </c>
      <c r="AC29" s="65">
        <f t="shared" si="21"/>
        <v>0.52853058386925134</v>
      </c>
      <c r="AD29" s="65">
        <f t="shared" si="22"/>
        <v>0.64581433136340038</v>
      </c>
      <c r="AE29" s="22">
        <f t="shared" si="23"/>
        <v>1.2237999288139789</v>
      </c>
      <c r="AF29" s="22">
        <f t="shared" si="24"/>
        <v>0.79813038835694283</v>
      </c>
      <c r="AG29" s="22">
        <f t="shared" si="25"/>
        <v>1.4682501875432976</v>
      </c>
      <c r="AH29" s="22">
        <f t="shared" si="26"/>
        <v>0.55368012962762414</v>
      </c>
      <c r="AI29" s="22">
        <f t="shared" si="27"/>
        <v>1.2554154173147798</v>
      </c>
      <c r="AJ29" s="22">
        <f t="shared" si="28"/>
        <v>0.76651489985614196</v>
      </c>
      <c r="AK29" s="712">
        <f t="shared" si="34"/>
        <v>2.851716178447965E-3</v>
      </c>
      <c r="AL29" s="67">
        <f t="shared" si="29"/>
        <v>4.2000000000000011</v>
      </c>
      <c r="AM29" s="186">
        <f t="shared" si="35"/>
        <v>2</v>
      </c>
      <c r="AN29" s="187">
        <f t="shared" si="42"/>
        <v>7</v>
      </c>
      <c r="AO29" s="68">
        <f t="shared" si="36"/>
        <v>0</v>
      </c>
      <c r="AP29" s="334">
        <f t="shared" si="45"/>
        <v>0</v>
      </c>
      <c r="AQ29" s="431">
        <f t="shared" si="38"/>
        <v>0</v>
      </c>
      <c r="AR29" s="335">
        <f t="shared" si="39"/>
        <v>0</v>
      </c>
    </row>
    <row r="30" spans="1:44" s="71" customFormat="1" ht="15" customHeight="1">
      <c r="A30" s="556">
        <f t="shared" si="40"/>
        <v>2.2000000000000011</v>
      </c>
      <c r="B30" s="248">
        <f t="shared" si="0"/>
        <v>0.94587986356110576</v>
      </c>
      <c r="C30" s="248">
        <f t="shared" si="1"/>
        <v>2.9458798635611059</v>
      </c>
      <c r="D30" s="326">
        <f t="shared" si="2"/>
        <v>-6.135699417798862</v>
      </c>
      <c r="E30" s="248">
        <f t="shared" si="3"/>
        <v>2.864400000000001E-2</v>
      </c>
      <c r="F30" s="557">
        <f t="shared" si="4"/>
        <v>152385.20464462315</v>
      </c>
      <c r="G30" s="557">
        <f t="shared" si="5"/>
        <v>67759.635681811778</v>
      </c>
      <c r="H30" s="558">
        <f t="shared" si="6"/>
        <v>28.402535841697695</v>
      </c>
      <c r="I30" s="558">
        <f t="shared" si="7"/>
        <v>33.109100690816177</v>
      </c>
      <c r="J30" s="559">
        <f t="shared" si="8"/>
        <v>1.5964392763980957</v>
      </c>
      <c r="K30" s="694">
        <f t="shared" si="9"/>
        <v>0.23740398107364213</v>
      </c>
      <c r="L30" s="248">
        <f t="shared" si="10"/>
        <v>0.31521754004478253</v>
      </c>
      <c r="M30" s="702">
        <f t="shared" si="11"/>
        <v>0.94856038898331918</v>
      </c>
      <c r="N30" s="560">
        <f t="shared" si="30"/>
        <v>0.99442101205092226</v>
      </c>
      <c r="O30" s="248">
        <f t="shared" si="12"/>
        <v>-0.10456927198557862</v>
      </c>
      <c r="P30" s="248">
        <f t="shared" si="13"/>
        <v>0</v>
      </c>
      <c r="Q30" s="248">
        <f t="shared" si="14"/>
        <v>0</v>
      </c>
      <c r="R30" s="248">
        <f t="shared" si="44"/>
        <v>0.41758501137409809</v>
      </c>
      <c r="S30" s="248">
        <f t="shared" si="32"/>
        <v>1.9725285514552549E-2</v>
      </c>
      <c r="T30" s="326">
        <f t="shared" si="43"/>
        <v>4.289267988943557</v>
      </c>
      <c r="U30" s="707">
        <f t="shared" si="41"/>
        <v>5.1600148189557355</v>
      </c>
      <c r="V30" s="531">
        <f t="shared" si="15"/>
        <v>3.3433881253824511</v>
      </c>
      <c r="W30" s="531">
        <f t="shared" si="16"/>
        <v>-8.926798894355592E-2</v>
      </c>
      <c r="X30" s="561">
        <f t="shared" si="17"/>
        <v>-7.4677202426756883</v>
      </c>
      <c r="Y30" s="69">
        <f t="shared" si="18"/>
        <v>1.00849990848384</v>
      </c>
      <c r="Z30" s="70">
        <f t="shared" si="19"/>
        <v>0.84619921333397019</v>
      </c>
      <c r="AA30" s="294">
        <f t="shared" si="33"/>
        <v>0.51214415097442101</v>
      </c>
      <c r="AB30" s="66">
        <f t="shared" si="20"/>
        <v>0.65556487216120218</v>
      </c>
      <c r="AC30" s="65">
        <f t="shared" si="21"/>
        <v>0.52693814149266638</v>
      </c>
      <c r="AD30" s="65">
        <f t="shared" si="22"/>
        <v>0.64392356433274345</v>
      </c>
      <c r="AE30" s="22">
        <f t="shared" si="23"/>
        <v>1.2208156786909641</v>
      </c>
      <c r="AF30" s="22">
        <f t="shared" si="24"/>
        <v>0.79618413827671586</v>
      </c>
      <c r="AG30" s="22">
        <f t="shared" si="25"/>
        <v>1.4646698426685933</v>
      </c>
      <c r="AH30" s="22">
        <f t="shared" si="26"/>
        <v>0.55232997429908659</v>
      </c>
      <c r="AI30" s="22">
        <f t="shared" si="27"/>
        <v>1.2523540724614695</v>
      </c>
      <c r="AJ30" s="22">
        <f t="shared" si="28"/>
        <v>0.76464574450621059</v>
      </c>
      <c r="AK30" s="712">
        <f t="shared" si="34"/>
        <v>2.8301299360321531E-3</v>
      </c>
      <c r="AL30" s="67">
        <f t="shared" si="29"/>
        <v>4.2000000000000011</v>
      </c>
      <c r="AM30" s="186">
        <f t="shared" si="35"/>
        <v>2</v>
      </c>
      <c r="AN30" s="187">
        <f t="shared" si="42"/>
        <v>7</v>
      </c>
      <c r="AO30" s="68">
        <f t="shared" si="36"/>
        <v>0</v>
      </c>
      <c r="AP30" s="334">
        <f t="shared" si="45"/>
        <v>0</v>
      </c>
      <c r="AQ30" s="431">
        <f t="shared" si="38"/>
        <v>0</v>
      </c>
      <c r="AR30" s="335">
        <f t="shared" si="39"/>
        <v>0</v>
      </c>
    </row>
    <row r="31" spans="1:44" s="71" customFormat="1" ht="15" customHeight="1">
      <c r="A31" s="556">
        <f t="shared" si="40"/>
        <v>2.3000000000000012</v>
      </c>
      <c r="B31" s="248">
        <f t="shared" si="0"/>
        <v>0.98887440281388328</v>
      </c>
      <c r="C31" s="248">
        <f t="shared" si="1"/>
        <v>2.9888744028138832</v>
      </c>
      <c r="D31" s="326">
        <f t="shared" si="2"/>
        <v>-6.4145948458806288</v>
      </c>
      <c r="E31" s="248">
        <f t="shared" si="3"/>
        <v>2.9946000000000011E-2</v>
      </c>
      <c r="F31" s="557">
        <f t="shared" si="4"/>
        <v>145759.76096442214</v>
      </c>
      <c r="G31" s="557">
        <f t="shared" si="5"/>
        <v>64813.564565211258</v>
      </c>
      <c r="H31" s="558">
        <f t="shared" si="6"/>
        <v>28.500739240245597</v>
      </c>
      <c r="I31" s="558">
        <f t="shared" si="7"/>
        <v>33.193382526584379</v>
      </c>
      <c r="J31" s="559">
        <f t="shared" si="8"/>
        <v>1.6096019113729343</v>
      </c>
      <c r="K31" s="694">
        <f t="shared" si="9"/>
        <v>0.23753170715728111</v>
      </c>
      <c r="L31" s="248">
        <f t="shared" si="10"/>
        <v>0.31538477358553441</v>
      </c>
      <c r="M31" s="702">
        <f t="shared" si="11"/>
        <v>0.94898233178256097</v>
      </c>
      <c r="N31" s="560">
        <f t="shared" si="30"/>
        <v>0.98648492791005749</v>
      </c>
      <c r="O31" s="248">
        <f t="shared" si="12"/>
        <v>-0.10932242071219585</v>
      </c>
      <c r="P31" s="248">
        <f t="shared" si="13"/>
        <v>0</v>
      </c>
      <c r="Q31" s="248">
        <f t="shared" si="14"/>
        <v>0</v>
      </c>
      <c r="R31" s="248">
        <f t="shared" si="44"/>
        <v>0.4151314148645977</v>
      </c>
      <c r="S31" s="248">
        <f t="shared" si="32"/>
        <v>1.9760136772912218E-2</v>
      </c>
      <c r="T31" s="326">
        <f t="shared" si="43"/>
        <v>4.3352375673199193</v>
      </c>
      <c r="U31" s="707">
        <f t="shared" si="41"/>
        <v>5.2063668326742274</v>
      </c>
      <c r="V31" s="531">
        <f t="shared" si="15"/>
        <v>3.3463631645060361</v>
      </c>
      <c r="W31" s="531">
        <f t="shared" si="16"/>
        <v>-0.13523756731991821</v>
      </c>
      <c r="X31" s="561">
        <f t="shared" si="17"/>
        <v>-7.5003425269072794</v>
      </c>
      <c r="Y31" s="69">
        <f t="shared" si="18"/>
        <v>1.0059392106221199</v>
      </c>
      <c r="Z31" s="70">
        <f t="shared" si="19"/>
        <v>0.84515153819702027</v>
      </c>
      <c r="AA31" s="294">
        <f t="shared" si="33"/>
        <v>0.51150848081386824</v>
      </c>
      <c r="AB31" s="66">
        <f t="shared" si="20"/>
        <v>0.65356176679723399</v>
      </c>
      <c r="AC31" s="65">
        <f t="shared" si="21"/>
        <v>0.52527702412995247</v>
      </c>
      <c r="AD31" s="65">
        <f t="shared" si="22"/>
        <v>0.64195018966114148</v>
      </c>
      <c r="AE31" s="22">
        <f t="shared" si="23"/>
        <v>1.2177158865425661</v>
      </c>
      <c r="AF31" s="22">
        <f t="shared" si="24"/>
        <v>0.79416253470167364</v>
      </c>
      <c r="AG31" s="22">
        <f t="shared" si="25"/>
        <v>1.4609508766055366</v>
      </c>
      <c r="AH31" s="22">
        <f t="shared" si="26"/>
        <v>0.55092754463870319</v>
      </c>
      <c r="AI31" s="22">
        <f t="shared" si="27"/>
        <v>1.2491742006850906</v>
      </c>
      <c r="AJ31" s="22">
        <f t="shared" si="28"/>
        <v>0.76270422055914933</v>
      </c>
      <c r="AK31" s="712">
        <f t="shared" si="34"/>
        <v>2.8080564856669838E-3</v>
      </c>
      <c r="AL31" s="67">
        <f t="shared" si="29"/>
        <v>4.2000000000000011</v>
      </c>
      <c r="AM31" s="186">
        <f t="shared" si="35"/>
        <v>2</v>
      </c>
      <c r="AN31" s="187">
        <f t="shared" si="42"/>
        <v>7</v>
      </c>
      <c r="AO31" s="68">
        <f t="shared" si="36"/>
        <v>0</v>
      </c>
      <c r="AP31" s="334">
        <f t="shared" si="45"/>
        <v>0</v>
      </c>
      <c r="AQ31" s="431">
        <f t="shared" si="38"/>
        <v>0</v>
      </c>
      <c r="AR31" s="335">
        <f t="shared" si="39"/>
        <v>0</v>
      </c>
    </row>
    <row r="32" spans="1:44" s="71" customFormat="1" ht="15" customHeight="1">
      <c r="A32" s="556">
        <f t="shared" si="40"/>
        <v>2.4000000000000012</v>
      </c>
      <c r="B32" s="248">
        <f t="shared" si="0"/>
        <v>1.0318689420666609</v>
      </c>
      <c r="C32" s="248">
        <f t="shared" si="1"/>
        <v>3.0318689420666609</v>
      </c>
      <c r="D32" s="326">
        <f t="shared" si="2"/>
        <v>-6.6934902739623956</v>
      </c>
      <c r="E32" s="248">
        <f t="shared" si="3"/>
        <v>3.1248000000000012E-2</v>
      </c>
      <c r="F32" s="557">
        <f t="shared" si="4"/>
        <v>139686.43759090453</v>
      </c>
      <c r="G32" s="557">
        <f t="shared" si="5"/>
        <v>62112.99937499412</v>
      </c>
      <c r="H32" s="558">
        <f t="shared" si="6"/>
        <v>28.602947261075641</v>
      </c>
      <c r="I32" s="558">
        <f t="shared" si="7"/>
        <v>33.281182345817534</v>
      </c>
      <c r="J32" s="559">
        <f t="shared" si="8"/>
        <v>1.6233573700049724</v>
      </c>
      <c r="K32" s="694">
        <f t="shared" si="9"/>
        <v>0.23766232532549969</v>
      </c>
      <c r="L32" s="248">
        <f t="shared" si="10"/>
        <v>0.31555594574541379</v>
      </c>
      <c r="M32" s="702">
        <f t="shared" si="11"/>
        <v>0.94941601761798156</v>
      </c>
      <c r="N32" s="560">
        <f t="shared" si="30"/>
        <v>0.97875639521775304</v>
      </c>
      <c r="O32" s="248">
        <f t="shared" si="12"/>
        <v>-0.11407556943881306</v>
      </c>
      <c r="P32" s="248">
        <f t="shared" si="13"/>
        <v>0</v>
      </c>
      <c r="Q32" s="248">
        <f t="shared" si="14"/>
        <v>0</v>
      </c>
      <c r="R32" s="248">
        <f t="shared" si="44"/>
        <v>0.4127623945947817</v>
      </c>
      <c r="S32" s="248">
        <f t="shared" si="32"/>
        <v>1.9805596053378283E-2</v>
      </c>
      <c r="T32" s="326">
        <f t="shared" si="43"/>
        <v>4.3821066436829597</v>
      </c>
      <c r="U32" s="707">
        <f t="shared" si="41"/>
        <v>5.2536290408810267</v>
      </c>
      <c r="V32" s="531">
        <f t="shared" si="15"/>
        <v>3.3502377016162987</v>
      </c>
      <c r="W32" s="531">
        <f t="shared" si="16"/>
        <v>-0.18210664368295859</v>
      </c>
      <c r="X32" s="561">
        <f t="shared" si="17"/>
        <v>-7.5332622428381706</v>
      </c>
      <c r="Y32" s="69">
        <f t="shared" si="18"/>
        <v>1.0032854202629182</v>
      </c>
      <c r="Z32" s="70">
        <f t="shared" si="19"/>
        <v>0.8440600652254393</v>
      </c>
      <c r="AA32" s="294">
        <f t="shared" si="33"/>
        <v>0.51077899457273368</v>
      </c>
      <c r="AB32" s="66">
        <f t="shared" si="20"/>
        <v>0.65147541389216057</v>
      </c>
      <c r="AC32" s="65">
        <f t="shared" si="21"/>
        <v>0.52354790816190566</v>
      </c>
      <c r="AD32" s="65">
        <f t="shared" si="22"/>
        <v>0.63989492887099964</v>
      </c>
      <c r="AE32" s="22">
        <f t="shared" si="23"/>
        <v>1.2145034034761641</v>
      </c>
      <c r="AF32" s="22">
        <f t="shared" si="24"/>
        <v>0.79206743704967242</v>
      </c>
      <c r="AG32" s="22">
        <f t="shared" si="25"/>
        <v>1.4570967099614058</v>
      </c>
      <c r="AH32" s="22">
        <f t="shared" si="26"/>
        <v>0.54947413056443073</v>
      </c>
      <c r="AI32" s="22">
        <f t="shared" si="27"/>
        <v>1.2458787267481601</v>
      </c>
      <c r="AJ32" s="22">
        <f t="shared" si="28"/>
        <v>0.76069211377767643</v>
      </c>
      <c r="AK32" s="712">
        <f t="shared" si="34"/>
        <v>2.7855446452209384E-3</v>
      </c>
      <c r="AL32" s="67">
        <f t="shared" si="29"/>
        <v>4.2000000000000011</v>
      </c>
      <c r="AM32" s="186">
        <f t="shared" si="35"/>
        <v>2</v>
      </c>
      <c r="AN32" s="187">
        <f t="shared" si="42"/>
        <v>7</v>
      </c>
      <c r="AO32" s="68">
        <f t="shared" si="36"/>
        <v>0</v>
      </c>
      <c r="AP32" s="334">
        <f t="shared" si="45"/>
        <v>0</v>
      </c>
      <c r="AQ32" s="431">
        <f t="shared" si="38"/>
        <v>0</v>
      </c>
      <c r="AR32" s="335">
        <f t="shared" si="39"/>
        <v>0</v>
      </c>
    </row>
    <row r="33" spans="1:49" s="59" customFormat="1" ht="15" customHeight="1">
      <c r="A33" s="549">
        <f t="shared" si="40"/>
        <v>2.5000000000000013</v>
      </c>
      <c r="B33" s="247">
        <f t="shared" si="0"/>
        <v>1.0748634813194384</v>
      </c>
      <c r="C33" s="247">
        <f t="shared" si="1"/>
        <v>3.0748634813194382</v>
      </c>
      <c r="D33" s="275">
        <f t="shared" si="2"/>
        <v>-6.9723857020441615</v>
      </c>
      <c r="E33" s="247">
        <f t="shared" si="3"/>
        <v>3.2550000000000016E-2</v>
      </c>
      <c r="F33" s="550">
        <f t="shared" si="4"/>
        <v>134098.98008726837</v>
      </c>
      <c r="G33" s="550">
        <f t="shared" si="5"/>
        <v>59628.479399994358</v>
      </c>
      <c r="H33" s="551">
        <f t="shared" si="6"/>
        <v>28.709117133362369</v>
      </c>
      <c r="I33" s="551">
        <f t="shared" si="7"/>
        <v>33.372472382081654</v>
      </c>
      <c r="J33" s="552">
        <f t="shared" si="8"/>
        <v>1.6377064916747666</v>
      </c>
      <c r="K33" s="693">
        <f t="shared" si="9"/>
        <v>0.237795747355112</v>
      </c>
      <c r="L33" s="247">
        <f t="shared" si="10"/>
        <v>0.31573072299702387</v>
      </c>
      <c r="M33" s="701">
        <f t="shared" si="11"/>
        <v>0.94986048282332769</v>
      </c>
      <c r="N33" s="553">
        <f t="shared" si="30"/>
        <v>0.97123129855710311</v>
      </c>
      <c r="O33" s="247">
        <f t="shared" si="12"/>
        <v>-0.11882871816543027</v>
      </c>
      <c r="P33" s="247">
        <f t="shared" si="13"/>
        <v>0</v>
      </c>
      <c r="Q33" s="247">
        <f t="shared" si="14"/>
        <v>0</v>
      </c>
      <c r="R33" s="247">
        <f t="shared" si="44"/>
        <v>0.41048137641997279</v>
      </c>
      <c r="S33" s="247">
        <f t="shared" si="32"/>
        <v>1.9861717815420288E-2</v>
      </c>
      <c r="T33" s="275">
        <f t="shared" si="43"/>
        <v>4.4298750887837244</v>
      </c>
      <c r="U33" s="706">
        <f t="shared" si="41"/>
        <v>5.3018005959651404</v>
      </c>
      <c r="V33" s="555">
        <f t="shared" si="15"/>
        <v>3.3550116074642862</v>
      </c>
      <c r="W33" s="555">
        <f t="shared" si="16"/>
        <v>-0.22987508878372331</v>
      </c>
      <c r="X33" s="554">
        <f t="shared" si="17"/>
        <v>-7.5664787281365085</v>
      </c>
      <c r="Y33" s="56">
        <f t="shared" si="18"/>
        <v>1.0005409438767983</v>
      </c>
      <c r="Z33" s="57">
        <f t="shared" si="19"/>
        <v>0.8429251641289961</v>
      </c>
      <c r="AA33" s="293">
        <f t="shared" si="33"/>
        <v>0.50995651987207291</v>
      </c>
      <c r="AB33" s="53">
        <f t="shared" si="20"/>
        <v>0.64930653830275209</v>
      </c>
      <c r="AC33" s="52">
        <f t="shared" si="21"/>
        <v>0.52175152583965323</v>
      </c>
      <c r="AD33" s="52">
        <f t="shared" si="22"/>
        <v>0.63775853372601121</v>
      </c>
      <c r="AE33" s="58">
        <f t="shared" si="23"/>
        <v>1.2111811425877033</v>
      </c>
      <c r="AF33" s="58">
        <f t="shared" si="24"/>
        <v>0.78990074516589348</v>
      </c>
      <c r="AG33" s="58">
        <f t="shared" si="25"/>
        <v>1.4531108377140705</v>
      </c>
      <c r="AH33" s="58">
        <f t="shared" si="26"/>
        <v>0.54797105003952618</v>
      </c>
      <c r="AI33" s="58">
        <f t="shared" si="27"/>
        <v>1.2424706390031657</v>
      </c>
      <c r="AJ33" s="58">
        <f t="shared" si="28"/>
        <v>0.75861124875043084</v>
      </c>
      <c r="AK33" s="713">
        <f t="shared" si="34"/>
        <v>2.7626419192079313E-3</v>
      </c>
      <c r="AL33" s="54">
        <f t="shared" si="29"/>
        <v>4.2000000000000011</v>
      </c>
      <c r="AM33" s="185">
        <f t="shared" si="35"/>
        <v>2</v>
      </c>
      <c r="AN33" s="188">
        <f t="shared" si="42"/>
        <v>7</v>
      </c>
      <c r="AO33" s="55">
        <f t="shared" si="36"/>
        <v>0</v>
      </c>
      <c r="AP33" s="332">
        <f t="shared" si="45"/>
        <v>0</v>
      </c>
      <c r="AQ33" s="430">
        <f t="shared" si="38"/>
        <v>0</v>
      </c>
      <c r="AR33" s="333">
        <f t="shared" si="39"/>
        <v>0</v>
      </c>
    </row>
    <row r="34" spans="1:49" s="71" customFormat="1" ht="15" customHeight="1">
      <c r="A34" s="556">
        <f t="shared" si="40"/>
        <v>2.6000000000000014</v>
      </c>
      <c r="B34" s="248">
        <f t="shared" si="0"/>
        <v>1.1178580205722162</v>
      </c>
      <c r="C34" s="248">
        <f t="shared" si="1"/>
        <v>3.1178580205722159</v>
      </c>
      <c r="D34" s="326">
        <f t="shared" si="2"/>
        <v>-7.2512811301259283</v>
      </c>
      <c r="E34" s="248">
        <f t="shared" si="3"/>
        <v>3.3852000000000014E-2</v>
      </c>
      <c r="F34" s="557">
        <f t="shared" si="4"/>
        <v>128941.32700698881</v>
      </c>
      <c r="G34" s="557">
        <f t="shared" si="5"/>
        <v>57335.076346148417</v>
      </c>
      <c r="H34" s="558">
        <f t="shared" si="6"/>
        <v>28.819205070789405</v>
      </c>
      <c r="I34" s="558">
        <f t="shared" si="7"/>
        <v>33.46722407412804</v>
      </c>
      <c r="J34" s="559">
        <f t="shared" si="8"/>
        <v>1.6526501196272014</v>
      </c>
      <c r="K34" s="694">
        <f t="shared" si="9"/>
        <v>0.23793124053311776</v>
      </c>
      <c r="L34" s="248">
        <f t="shared" si="10"/>
        <v>0.31590878037763148</v>
      </c>
      <c r="M34" s="702">
        <f t="shared" si="11"/>
        <v>0.95031564777515531</v>
      </c>
      <c r="N34" s="560">
        <f t="shared" si="30"/>
        <v>0.96390567033854557</v>
      </c>
      <c r="O34" s="248">
        <f t="shared" si="12"/>
        <v>-0.12358186689204748</v>
      </c>
      <c r="P34" s="248">
        <f t="shared" si="13"/>
        <v>0</v>
      </c>
      <c r="Q34" s="248">
        <f t="shared" si="14"/>
        <v>0</v>
      </c>
      <c r="R34" s="248">
        <f t="shared" si="44"/>
        <v>0.4082916826643036</v>
      </c>
      <c r="S34" s="248">
        <f t="shared" si="32"/>
        <v>1.9928570557623204E-2</v>
      </c>
      <c r="T34" s="326">
        <f t="shared" si="43"/>
        <v>4.4785428441375226</v>
      </c>
      <c r="U34" s="707">
        <f t="shared" si="41"/>
        <v>5.3508809520681631</v>
      </c>
      <c r="V34" s="531">
        <f t="shared" si="15"/>
        <v>3.3606848235653066</v>
      </c>
      <c r="W34" s="531">
        <f t="shared" si="16"/>
        <v>-0.27854284413752151</v>
      </c>
      <c r="X34" s="561">
        <f t="shared" si="17"/>
        <v>-7.5999913717861611</v>
      </c>
      <c r="Y34" s="69">
        <f t="shared" si="18"/>
        <v>0.99770823366503913</v>
      </c>
      <c r="Z34" s="70">
        <f t="shared" si="19"/>
        <v>0.84174722154254222</v>
      </c>
      <c r="AA34" s="294">
        <f t="shared" si="33"/>
        <v>0.50904191374813879</v>
      </c>
      <c r="AB34" s="66">
        <f t="shared" si="20"/>
        <v>0.64705599301436667</v>
      </c>
      <c r="AC34" s="65">
        <f t="shared" si="21"/>
        <v>0.51988860572200979</v>
      </c>
      <c r="AD34" s="65">
        <f t="shared" si="22"/>
        <v>0.63554178586058607</v>
      </c>
      <c r="AE34" s="22">
        <f t="shared" si="23"/>
        <v>1.2077520723313631</v>
      </c>
      <c r="AF34" s="22">
        <f t="shared" si="24"/>
        <v>0.7876643949987151</v>
      </c>
      <c r="AG34" s="22">
        <f t="shared" si="25"/>
        <v>1.4489968212572713</v>
      </c>
      <c r="AH34" s="22">
        <f t="shared" si="26"/>
        <v>0.54641964607280702</v>
      </c>
      <c r="AI34" s="22">
        <f t="shared" si="27"/>
        <v>1.2389529825909473</v>
      </c>
      <c r="AJ34" s="22">
        <f t="shared" si="28"/>
        <v>0.75646348473913083</v>
      </c>
      <c r="AK34" s="712">
        <f t="shared" si="34"/>
        <v>2.7393943396285714E-3</v>
      </c>
      <c r="AL34" s="67">
        <f t="shared" si="29"/>
        <v>4.2000000000000011</v>
      </c>
      <c r="AM34" s="186">
        <f t="shared" si="35"/>
        <v>2</v>
      </c>
      <c r="AN34" s="187">
        <f t="shared" si="42"/>
        <v>7</v>
      </c>
      <c r="AO34" s="68">
        <f t="shared" si="36"/>
        <v>0</v>
      </c>
      <c r="AP34" s="334">
        <f t="shared" si="45"/>
        <v>0</v>
      </c>
      <c r="AQ34" s="431">
        <f t="shared" si="38"/>
        <v>0</v>
      </c>
      <c r="AR34" s="335">
        <f t="shared" si="39"/>
        <v>0</v>
      </c>
    </row>
    <row r="35" spans="1:49" s="71" customFormat="1" ht="15" customHeight="1">
      <c r="A35" s="556">
        <f t="shared" si="40"/>
        <v>2.7000000000000015</v>
      </c>
      <c r="B35" s="248">
        <f t="shared" si="0"/>
        <v>1.1608525598249937</v>
      </c>
      <c r="C35" s="248">
        <f t="shared" si="1"/>
        <v>3.1608525598249937</v>
      </c>
      <c r="D35" s="326">
        <f t="shared" si="2"/>
        <v>-7.5301765582076952</v>
      </c>
      <c r="E35" s="248">
        <f t="shared" si="3"/>
        <v>3.5154000000000019E-2</v>
      </c>
      <c r="F35" s="557">
        <f t="shared" si="4"/>
        <v>124165.72230302625</v>
      </c>
      <c r="G35" s="557">
        <f t="shared" si="5"/>
        <v>55211.554999994776</v>
      </c>
      <c r="H35" s="558">
        <f t="shared" si="6"/>
        <v>28.933166349799215</v>
      </c>
      <c r="I35" s="558">
        <f t="shared" si="7"/>
        <v>33.565408106275662</v>
      </c>
      <c r="J35" s="559">
        <f t="shared" si="8"/>
        <v>1.6681890987034862</v>
      </c>
      <c r="K35" s="694">
        <f t="shared" si="9"/>
        <v>0.23806933708185318</v>
      </c>
      <c r="L35" s="248">
        <f t="shared" si="10"/>
        <v>0.31608980348853977</v>
      </c>
      <c r="M35" s="702">
        <f t="shared" si="11"/>
        <v>0.95078015144876749</v>
      </c>
      <c r="N35" s="560">
        <f t="shared" si="30"/>
        <v>0.95677568588431794</v>
      </c>
      <c r="O35" s="248">
        <f t="shared" si="12"/>
        <v>-0.1283350156186647</v>
      </c>
      <c r="P35" s="248">
        <f t="shared" si="13"/>
        <v>0</v>
      </c>
      <c r="Q35" s="248">
        <f t="shared" si="14"/>
        <v>0</v>
      </c>
      <c r="R35" s="248">
        <f t="shared" si="44"/>
        <v>0.40619652617325619</v>
      </c>
      <c r="S35" s="248">
        <f t="shared" si="32"/>
        <v>2.0006236832777691E-2</v>
      </c>
      <c r="T35" s="326">
        <f t="shared" si="43"/>
        <v>4.5281099109073715</v>
      </c>
      <c r="U35" s="707">
        <f t="shared" si="41"/>
        <v>5.4008695959494526</v>
      </c>
      <c r="V35" s="531">
        <f t="shared" si="15"/>
        <v>3.3672573510823778</v>
      </c>
      <c r="W35" s="531">
        <f t="shared" si="16"/>
        <v>-0.32810991090737041</v>
      </c>
      <c r="X35" s="561">
        <f t="shared" si="17"/>
        <v>-7.6337996032312416</v>
      </c>
      <c r="Y35" s="69">
        <f t="shared" si="18"/>
        <v>0.99478978211581448</v>
      </c>
      <c r="Z35" s="70">
        <f t="shared" si="19"/>
        <v>0.84052664099113816</v>
      </c>
      <c r="AA35" s="294">
        <f t="shared" si="33"/>
        <v>0.5080360622619372</v>
      </c>
      <c r="AB35" s="66">
        <f t="shared" si="20"/>
        <v>0.64472447385818032</v>
      </c>
      <c r="AC35" s="65">
        <f t="shared" si="21"/>
        <v>0.51795990349064347</v>
      </c>
      <c r="AD35" s="65">
        <f t="shared" si="22"/>
        <v>0.633245496372004</v>
      </c>
      <c r="AE35" s="22">
        <f t="shared" si="23"/>
        <v>1.20421920992967</v>
      </c>
      <c r="AF35" s="22">
        <f t="shared" si="24"/>
        <v>0.78536035430195883</v>
      </c>
      <c r="AG35" s="22">
        <f t="shared" si="25"/>
        <v>1.4447582804944217</v>
      </c>
      <c r="AH35" s="22">
        <f t="shared" si="26"/>
        <v>0.54482128373720717</v>
      </c>
      <c r="AI35" s="22">
        <f t="shared" si="27"/>
        <v>1.2353288526805661</v>
      </c>
      <c r="AJ35" s="22">
        <f t="shared" si="28"/>
        <v>0.75425071155106271</v>
      </c>
      <c r="AK35" s="712">
        <f t="shared" si="34"/>
        <v>2.7158463323798884E-3</v>
      </c>
      <c r="AL35" s="67">
        <f t="shared" si="29"/>
        <v>4.2000000000000011</v>
      </c>
      <c r="AM35" s="186">
        <f t="shared" si="35"/>
        <v>2</v>
      </c>
      <c r="AN35" s="187">
        <f t="shared" si="42"/>
        <v>7</v>
      </c>
      <c r="AO35" s="68">
        <f t="shared" si="36"/>
        <v>0</v>
      </c>
      <c r="AP35" s="334">
        <f t="shared" si="45"/>
        <v>0</v>
      </c>
      <c r="AQ35" s="431">
        <f t="shared" si="38"/>
        <v>0</v>
      </c>
      <c r="AR35" s="335">
        <f t="shared" si="39"/>
        <v>0</v>
      </c>
    </row>
    <row r="36" spans="1:49" s="71" customFormat="1" ht="15" customHeight="1">
      <c r="A36" s="556">
        <f t="shared" si="40"/>
        <v>2.8000000000000016</v>
      </c>
      <c r="B36" s="248">
        <f t="shared" si="0"/>
        <v>1.203847099077771</v>
      </c>
      <c r="C36" s="248">
        <f t="shared" si="1"/>
        <v>3.203847099077771</v>
      </c>
      <c r="D36" s="326">
        <f t="shared" si="2"/>
        <v>-7.809071986289462</v>
      </c>
      <c r="E36" s="248">
        <f t="shared" si="3"/>
        <v>3.6456000000000016E-2</v>
      </c>
      <c r="F36" s="557">
        <f t="shared" si="4"/>
        <v>119731.2322207753</v>
      </c>
      <c r="G36" s="557">
        <f t="shared" si="5"/>
        <v>53239.71374999496</v>
      </c>
      <c r="H36" s="558">
        <f t="shared" si="6"/>
        <v>29.050955387317995</v>
      </c>
      <c r="I36" s="558">
        <f t="shared" si="7"/>
        <v>33.666994449038995</v>
      </c>
      <c r="J36" s="559">
        <f t="shared" si="8"/>
        <v>1.6843242732684469</v>
      </c>
      <c r="K36" s="694">
        <f t="shared" si="9"/>
        <v>0.2382094227608953</v>
      </c>
      <c r="L36" s="248">
        <f t="shared" si="10"/>
        <v>0.3162730510282723</v>
      </c>
      <c r="M36" s="702">
        <f t="shared" si="11"/>
        <v>0.95125382597187436</v>
      </c>
      <c r="N36" s="560">
        <f t="shared" si="30"/>
        <v>0.94983756180282042</v>
      </c>
      <c r="O36" s="248">
        <f t="shared" si="12"/>
        <v>-0.1330881643452819</v>
      </c>
      <c r="P36" s="248">
        <f t="shared" si="13"/>
        <v>0</v>
      </c>
      <c r="Q36" s="248">
        <f t="shared" si="14"/>
        <v>0</v>
      </c>
      <c r="R36" s="248">
        <f t="shared" si="44"/>
        <v>0.40419889725278602</v>
      </c>
      <c r="S36" s="248">
        <f t="shared" si="32"/>
        <v>2.0094805564789597E-2</v>
      </c>
      <c r="T36" s="326">
        <f t="shared" si="43"/>
        <v>4.5785756879948858</v>
      </c>
      <c r="U36" s="707">
        <f t="shared" si="41"/>
        <v>5.4517658856993831</v>
      </c>
      <c r="V36" s="531">
        <f t="shared" si="15"/>
        <v>3.3747285889171148</v>
      </c>
      <c r="W36" s="531">
        <f t="shared" si="16"/>
        <v>-0.37857568799488472</v>
      </c>
      <c r="X36" s="561">
        <f t="shared" si="17"/>
        <v>-7.6679026738480571</v>
      </c>
      <c r="Y36" s="69">
        <f t="shared" si="18"/>
        <v>0.99178811661411836</v>
      </c>
      <c r="Z36" s="70">
        <f t="shared" si="19"/>
        <v>0.83926384282487931</v>
      </c>
      <c r="AA36" s="294">
        <f t="shared" si="33"/>
        <v>0.50693994268085008</v>
      </c>
      <c r="AB36" s="66">
        <f t="shared" si="20"/>
        <v>0.64231287939564208</v>
      </c>
      <c r="AC36" s="65">
        <f t="shared" si="21"/>
        <v>0.51596619415038081</v>
      </c>
      <c r="AD36" s="65">
        <f t="shared" si="22"/>
        <v>0.63087056920427553</v>
      </c>
      <c r="AE36" s="22">
        <f t="shared" si="23"/>
        <v>1.2005856148486695</v>
      </c>
      <c r="AF36" s="22">
        <f t="shared" si="24"/>
        <v>0.78299061837956718</v>
      </c>
      <c r="AG36" s="22">
        <f t="shared" si="25"/>
        <v>1.4403988860104673</v>
      </c>
      <c r="AH36" s="22">
        <f t="shared" si="26"/>
        <v>0.54317734721776945</v>
      </c>
      <c r="AI36" s="22">
        <f t="shared" si="27"/>
        <v>1.2316013877759162</v>
      </c>
      <c r="AJ36" s="22">
        <f t="shared" si="28"/>
        <v>0.75197484545232041</v>
      </c>
      <c r="AK36" s="712">
        <f t="shared" si="34"/>
        <v>2.692040608171048E-3</v>
      </c>
      <c r="AL36" s="67">
        <f t="shared" si="29"/>
        <v>4.2000000000000011</v>
      </c>
      <c r="AM36" s="186">
        <f t="shared" si="35"/>
        <v>2</v>
      </c>
      <c r="AN36" s="187">
        <f t="shared" si="42"/>
        <v>7</v>
      </c>
      <c r="AO36" s="68">
        <f t="shared" si="36"/>
        <v>0</v>
      </c>
      <c r="AP36" s="334">
        <f t="shared" si="45"/>
        <v>0</v>
      </c>
      <c r="AQ36" s="431">
        <f t="shared" si="38"/>
        <v>0</v>
      </c>
      <c r="AR36" s="335">
        <f t="shared" si="39"/>
        <v>0</v>
      </c>
    </row>
    <row r="37" spans="1:49" s="71" customFormat="1" ht="15" customHeight="1">
      <c r="A37" s="556">
        <f t="shared" si="40"/>
        <v>2.9000000000000017</v>
      </c>
      <c r="B37" s="248">
        <f t="shared" si="0"/>
        <v>1.2468416383305487</v>
      </c>
      <c r="C37" s="248">
        <f t="shared" si="1"/>
        <v>3.2468416383305487</v>
      </c>
      <c r="D37" s="326">
        <f t="shared" si="2"/>
        <v>-8.0879674143712279</v>
      </c>
      <c r="E37" s="248">
        <f t="shared" si="3"/>
        <v>3.7758000000000021E-2</v>
      </c>
      <c r="F37" s="557">
        <f t="shared" si="4"/>
        <v>115602.56904074857</v>
      </c>
      <c r="G37" s="557">
        <f t="shared" si="5"/>
        <v>51403.861551719274</v>
      </c>
      <c r="H37" s="558">
        <f t="shared" si="6"/>
        <v>29.172525817703438</v>
      </c>
      <c r="I37" s="558">
        <f t="shared" si="7"/>
        <v>33.771952399887333</v>
      </c>
      <c r="J37" s="559">
        <f t="shared" si="8"/>
        <v>1.7010564853528298</v>
      </c>
      <c r="K37" s="694">
        <f t="shared" si="9"/>
        <v>0.23835127391404365</v>
      </c>
      <c r="L37" s="248">
        <f t="shared" si="10"/>
        <v>0.31645909150929308</v>
      </c>
      <c r="M37" s="702">
        <f t="shared" si="11"/>
        <v>0.95173616568313957</v>
      </c>
      <c r="N37" s="560">
        <f t="shared" si="30"/>
        <v>0.94308793522559364</v>
      </c>
      <c r="O37" s="248">
        <f t="shared" si="12"/>
        <v>-0.13784131307189912</v>
      </c>
      <c r="P37" s="248">
        <f t="shared" si="13"/>
        <v>0</v>
      </c>
      <c r="Q37" s="248">
        <f t="shared" si="14"/>
        <v>0</v>
      </c>
      <c r="R37" s="248">
        <f t="shared" si="44"/>
        <v>0.40230199676162898</v>
      </c>
      <c r="S37" s="248">
        <f t="shared" si="32"/>
        <v>2.0194402837642678E-2</v>
      </c>
      <c r="T37" s="326">
        <f t="shared" si="43"/>
        <v>4.6299415500175369</v>
      </c>
      <c r="U37" s="707">
        <f t="shared" si="41"/>
        <v>5.5035698981054271</v>
      </c>
      <c r="V37" s="531">
        <f t="shared" si="15"/>
        <v>3.3830999116869882</v>
      </c>
      <c r="W37" s="531">
        <f t="shared" si="16"/>
        <v>-0.42994155001753587</v>
      </c>
      <c r="X37" s="561">
        <f t="shared" si="17"/>
        <v>-7.7023004846688776</v>
      </c>
      <c r="Y37" s="69">
        <f t="shared" si="18"/>
        <v>0.98870579412464632</v>
      </c>
      <c r="Z37" s="70">
        <f t="shared" si="19"/>
        <v>0.8379592641220065</v>
      </c>
      <c r="AA37" s="294">
        <f t="shared" si="33"/>
        <v>0.50575437557290193</v>
      </c>
      <c r="AB37" s="66">
        <f t="shared" si="20"/>
        <v>0.63982208109095673</v>
      </c>
      <c r="AC37" s="65">
        <f t="shared" si="21"/>
        <v>0.51390827110973047</v>
      </c>
      <c r="AD37" s="65">
        <f t="shared" si="22"/>
        <v>0.62841774839318587</v>
      </c>
      <c r="AE37" s="22">
        <f t="shared" si="23"/>
        <v>1.1968543823614139</v>
      </c>
      <c r="AF37" s="22">
        <f t="shared" si="24"/>
        <v>0.78055720588787869</v>
      </c>
      <c r="AG37" s="22">
        <f t="shared" si="25"/>
        <v>1.4359223513496997</v>
      </c>
      <c r="AH37" s="22">
        <f t="shared" si="26"/>
        <v>0.54148923689959294</v>
      </c>
      <c r="AI37" s="22">
        <f t="shared" si="27"/>
        <v>1.2277737631129322</v>
      </c>
      <c r="AJ37" s="22">
        <f t="shared" si="28"/>
        <v>0.74963782513636046</v>
      </c>
      <c r="AK37" s="712">
        <f t="shared" si="34"/>
        <v>2.6680180766314203E-3</v>
      </c>
      <c r="AL37" s="67">
        <f t="shared" si="29"/>
        <v>4.2000000000000011</v>
      </c>
      <c r="AM37" s="186">
        <f t="shared" si="35"/>
        <v>2</v>
      </c>
      <c r="AN37" s="187">
        <f t="shared" si="42"/>
        <v>7</v>
      </c>
      <c r="AO37" s="68">
        <f t="shared" si="36"/>
        <v>0</v>
      </c>
      <c r="AP37" s="334">
        <f t="shared" si="45"/>
        <v>0</v>
      </c>
      <c r="AQ37" s="431">
        <f t="shared" si="38"/>
        <v>0</v>
      </c>
      <c r="AR37" s="335">
        <f t="shared" si="39"/>
        <v>0</v>
      </c>
    </row>
    <row r="38" spans="1:49" s="82" customFormat="1" ht="15" customHeight="1">
      <c r="A38" s="568">
        <f t="shared" si="40"/>
        <v>3.0000000000000018</v>
      </c>
      <c r="B38" s="249">
        <f t="shared" si="0"/>
        <v>1.2898361775833262</v>
      </c>
      <c r="C38" s="249">
        <f t="shared" si="1"/>
        <v>3.289836177583326</v>
      </c>
      <c r="D38" s="276">
        <f t="shared" si="2"/>
        <v>-8.3668628424529956</v>
      </c>
      <c r="E38" s="249">
        <f t="shared" si="3"/>
        <v>3.9060000000000018E-2</v>
      </c>
      <c r="F38" s="569">
        <f t="shared" si="4"/>
        <v>111749.15007272361</v>
      </c>
      <c r="G38" s="569">
        <f t="shared" si="5"/>
        <v>49690.399499995292</v>
      </c>
      <c r="H38" s="570">
        <f t="shared" si="6"/>
        <v>29.297830568679551</v>
      </c>
      <c r="I38" s="570">
        <f t="shared" si="7"/>
        <v>33.880250624024846</v>
      </c>
      <c r="J38" s="249">
        <f t="shared" si="8"/>
        <v>1.7183865730288868</v>
      </c>
      <c r="K38" s="696">
        <f t="shared" si="9"/>
        <v>0.23849467912892974</v>
      </c>
      <c r="L38" s="249">
        <f t="shared" si="10"/>
        <v>0.31664723517286486</v>
      </c>
      <c r="M38" s="704">
        <f t="shared" si="11"/>
        <v>0.95222671136265769</v>
      </c>
      <c r="N38" s="571">
        <f t="shared" si="30"/>
        <v>0.9365232902404147</v>
      </c>
      <c r="O38" s="249">
        <f t="shared" si="12"/>
        <v>-0.14259446179851634</v>
      </c>
      <c r="P38" s="249">
        <f t="shared" si="13"/>
        <v>0</v>
      </c>
      <c r="Q38" s="249">
        <f t="shared" si="14"/>
        <v>0</v>
      </c>
      <c r="R38" s="249">
        <f>10*LOG10(1/SQRT(1-AK38*(Q/AA38)^2))</f>
        <v>0.40050859333228245</v>
      </c>
      <c r="S38" s="249">
        <f t="shared" si="32"/>
        <v>2.0305146724970136E-2</v>
      </c>
      <c r="T38" s="276">
        <f t="shared" si="43"/>
        <v>4.6822070160827458</v>
      </c>
      <c r="U38" s="708">
        <f t="shared" si="41"/>
        <v>5.5562811714014675</v>
      </c>
      <c r="V38" s="573">
        <f t="shared" si="15"/>
        <v>3.3923708384994198</v>
      </c>
      <c r="W38" s="573">
        <f t="shared" si="16"/>
        <v>-0.48220701608274474</v>
      </c>
      <c r="X38" s="572">
        <f t="shared" si="17"/>
        <v>-7.7369923474507933</v>
      </c>
      <c r="Y38" s="77">
        <f t="shared" si="18"/>
        <v>0.98554539596565971</v>
      </c>
      <c r="Z38" s="80">
        <f t="shared" si="19"/>
        <v>0.83661335855912111</v>
      </c>
      <c r="AA38" s="295">
        <f t="shared" si="33"/>
        <v>0.50448039117395838</v>
      </c>
      <c r="AB38" s="76">
        <f t="shared" si="20"/>
        <v>0.6372529796146984</v>
      </c>
      <c r="AC38" s="77">
        <f t="shared" si="21"/>
        <v>0.51178694526688373</v>
      </c>
      <c r="AD38" s="77">
        <f t="shared" si="22"/>
        <v>0.62588799159845765</v>
      </c>
      <c r="AE38" s="81">
        <f t="shared" si="23"/>
        <v>1.1930286372215881</v>
      </c>
      <c r="AF38" s="81">
        <f t="shared" si="24"/>
        <v>0.77806215470973139</v>
      </c>
      <c r="AG38" s="81">
        <f t="shared" si="25"/>
        <v>1.4313324254257083</v>
      </c>
      <c r="AH38" s="81">
        <f t="shared" si="26"/>
        <v>0.53975836650561126</v>
      </c>
      <c r="AI38" s="81">
        <f t="shared" si="27"/>
        <v>1.2238491841697801</v>
      </c>
      <c r="AJ38" s="81">
        <f t="shared" si="28"/>
        <v>0.74724160776153947</v>
      </c>
      <c r="AK38" s="714">
        <f t="shared" si="34"/>
        <v>2.6438177821053953E-3</v>
      </c>
      <c r="AL38" s="78">
        <f t="shared" si="29"/>
        <v>4.2000000000000011</v>
      </c>
      <c r="AM38" s="189">
        <f t="shared" si="35"/>
        <v>2</v>
      </c>
      <c r="AN38" s="190">
        <f>ROUNDUP(L6,0)</f>
        <v>7</v>
      </c>
      <c r="AO38" s="79">
        <f t="shared" si="36"/>
        <v>0</v>
      </c>
      <c r="AP38" s="336">
        <f t="shared" si="45"/>
        <v>0</v>
      </c>
      <c r="AQ38" s="430">
        <f t="shared" si="38"/>
        <v>0</v>
      </c>
      <c r="AR38" s="413">
        <f t="shared" si="39"/>
        <v>0</v>
      </c>
    </row>
    <row r="39" spans="1:49" s="71" customFormat="1" ht="15" customHeight="1">
      <c r="A39" s="448" t="s">
        <v>434</v>
      </c>
      <c r="B39" s="449"/>
      <c r="C39" s="449"/>
      <c r="D39" s="449"/>
      <c r="E39" s="449"/>
      <c r="F39" s="449"/>
      <c r="G39" s="449"/>
      <c r="H39" s="449"/>
      <c r="I39" s="66"/>
      <c r="J39" s="755"/>
      <c r="K39" s="66"/>
      <c r="L39" s="66"/>
      <c r="M39" s="66"/>
      <c r="N39" s="83"/>
      <c r="O39" s="66"/>
      <c r="P39" s="66"/>
      <c r="Q39" s="66"/>
      <c r="R39" s="84"/>
      <c r="S39" s="85"/>
      <c r="T39" s="86"/>
      <c r="U39" s="86"/>
      <c r="V39" s="85"/>
      <c r="W39" s="85"/>
      <c r="X39" s="85"/>
      <c r="Y39" s="303"/>
      <c r="Z39" s="287" t="s">
        <v>286</v>
      </c>
      <c r="AA39" s="287"/>
      <c r="AB39" s="287"/>
      <c r="AC39" s="287"/>
      <c r="AD39" s="287"/>
      <c r="AE39" s="359"/>
      <c r="AF39" s="287"/>
      <c r="AG39" s="287"/>
      <c r="AH39" s="287"/>
      <c r="AI39" s="287"/>
      <c r="AJ39" s="287"/>
      <c r="AK39" s="287"/>
      <c r="AL39" s="289" t="s">
        <v>169</v>
      </c>
      <c r="AM39" s="302"/>
      <c r="AO39" s="87">
        <f>SUM(AO18:AO38)</f>
        <v>-2.8287067714849456E-5</v>
      </c>
      <c r="AP39" s="360">
        <f>SUM(AP18:AP38)</f>
        <v>32.951197821703531</v>
      </c>
      <c r="AQ39" s="412">
        <f>SUM(AQ18:AQ38)</f>
        <v>1.2583553808890595</v>
      </c>
      <c r="AR39" s="412">
        <f>SUM(AR18:AR38)</f>
        <v>0.76830994383412643</v>
      </c>
      <c r="AS39" s="7"/>
      <c r="AT39" s="287" t="s">
        <v>285</v>
      </c>
      <c r="AU39" s="7"/>
      <c r="AV39" s="7"/>
      <c r="AW39" s="302" t="s">
        <v>285</v>
      </c>
    </row>
    <row r="40" spans="1:49" s="71" customFormat="1" ht="15" customHeight="1">
      <c r="A40" s="752" t="s">
        <v>448</v>
      </c>
      <c r="B40" s="752" t="s">
        <v>445</v>
      </c>
      <c r="C40" s="136"/>
      <c r="D40" s="136"/>
      <c r="E40" s="757" t="s">
        <v>435</v>
      </c>
      <c r="F40" s="794">
        <v>0.11</v>
      </c>
      <c r="G40" s="758">
        <f>F40*10^6/$C$4</f>
        <v>4.2666666666666666</v>
      </c>
      <c r="H40" s="631" t="s">
        <v>453</v>
      </c>
      <c r="J40" s="756"/>
      <c r="K40" s="103"/>
      <c r="N40" s="83"/>
      <c r="Y40" s="301"/>
      <c r="Z40" s="287" t="s">
        <v>154</v>
      </c>
      <c r="AA40" s="287" t="s">
        <v>167</v>
      </c>
      <c r="AB40" s="287" t="s">
        <v>155</v>
      </c>
      <c r="AC40" s="287" t="s">
        <v>156</v>
      </c>
      <c r="AD40" s="287" t="s">
        <v>157</v>
      </c>
      <c r="AE40" s="287" t="s">
        <v>158</v>
      </c>
      <c r="AF40" s="287" t="s">
        <v>159</v>
      </c>
      <c r="AG40" s="287" t="s">
        <v>161</v>
      </c>
      <c r="AH40" s="287" t="s">
        <v>162</v>
      </c>
      <c r="AI40" s="287" t="s">
        <v>163</v>
      </c>
      <c r="AJ40" s="287" t="s">
        <v>164</v>
      </c>
      <c r="AK40" s="287" t="s">
        <v>165</v>
      </c>
      <c r="AL40" s="287" t="s">
        <v>170</v>
      </c>
      <c r="AM40" s="302" t="s">
        <v>171</v>
      </c>
      <c r="AN40" s="300" t="s">
        <v>154</v>
      </c>
      <c r="AO40" s="300" t="s">
        <v>168</v>
      </c>
      <c r="AP40" s="117"/>
      <c r="AQ40" s="7"/>
      <c r="AR40" s="287" t="s">
        <v>157</v>
      </c>
      <c r="AS40" s="287" t="s">
        <v>158</v>
      </c>
      <c r="AT40" s="287" t="s">
        <v>159</v>
      </c>
      <c r="AU40" s="287" t="s">
        <v>161</v>
      </c>
      <c r="AV40" s="287" t="s">
        <v>162</v>
      </c>
      <c r="AW40" s="302" t="s">
        <v>163</v>
      </c>
    </row>
    <row r="41" spans="1:49" s="71" customFormat="1" ht="15" customHeight="1">
      <c r="A41" s="752" t="s">
        <v>449</v>
      </c>
      <c r="B41" s="752" t="s">
        <v>23</v>
      </c>
      <c r="C41" s="136"/>
      <c r="E41" s="757" t="s">
        <v>450</v>
      </c>
      <c r="F41" s="795">
        <f>F40/(2*A48)</f>
        <v>7.9282707720694234E-3</v>
      </c>
      <c r="G41" s="758">
        <f>F41*10^6/$C$4</f>
        <v>0.30752080570451096</v>
      </c>
      <c r="H41" s="631" t="s">
        <v>10</v>
      </c>
      <c r="J41" s="368"/>
      <c r="L41" s="103"/>
      <c r="M41" s="66"/>
      <c r="N41" s="83"/>
      <c r="O41" s="66"/>
      <c r="P41" s="66"/>
      <c r="Q41" s="66"/>
      <c r="R41" s="84"/>
      <c r="S41" s="66"/>
      <c r="T41" s="86"/>
      <c r="U41" s="86"/>
      <c r="V41" s="66"/>
      <c r="Y41" s="303" t="s">
        <v>160</v>
      </c>
      <c r="Z41" s="287">
        <v>-0.25</v>
      </c>
      <c r="AA41" s="287">
        <f t="shared" ref="AA41:AA69" si="46">0.5+(-0.5+Z41)*$Y$44</f>
        <v>-0.28947368421052633</v>
      </c>
      <c r="AB41" s="287">
        <f t="shared" ref="AB41:AB69" si="47">MAX(MIN(B_1*Tb_eff*($AA41)/(SQRT(2)*$AG$9),10),-10)</f>
        <v>-0.60056427924976374</v>
      </c>
      <c r="AC41" s="287">
        <f t="shared" ref="AC41:AC69" si="48">MAX(MIN(B_1*Tb_eff*(1-$AA41)/(SQRT(2)*$AG$9),10),-10)</f>
        <v>2.6752408802944019</v>
      </c>
      <c r="AD41" s="304" t="e">
        <f t="shared" ref="AD41:AE69" si="49">(ERF(AB41)+1)/2</f>
        <v>#NUM!</v>
      </c>
      <c r="AE41" s="304">
        <f t="shared" si="49"/>
        <v>0.99992263791466551</v>
      </c>
      <c r="AF41" s="305" t="e">
        <f>AD41+AE41-1</f>
        <v>#NUM!</v>
      </c>
      <c r="AG41" s="305" t="e">
        <f>1-AD41</f>
        <v>#NUM!</v>
      </c>
      <c r="AH41" s="305">
        <f>1-AE41</f>
        <v>7.7362085334486963E-5</v>
      </c>
      <c r="AI41" s="305" t="e">
        <f>1-AF41</f>
        <v>#NUM!</v>
      </c>
      <c r="AJ41" s="287">
        <f>Z41-1</f>
        <v>-1.25</v>
      </c>
      <c r="AK41" s="287">
        <f>Z41+1</f>
        <v>0.75</v>
      </c>
      <c r="AL41" s="287">
        <f t="shared" ref="AL41:AL69" si="50">$Z41-$G$9/(2*$Y$44)</f>
        <v>-0.36485447535985577</v>
      </c>
      <c r="AM41" s="302">
        <f t="shared" ref="AM41:AM69" si="51">$Z41+$G$9/(2*$Y$44)</f>
        <v>-0.13514552464014423</v>
      </c>
      <c r="AN41" s="287">
        <f>$C$12</f>
        <v>0.3</v>
      </c>
      <c r="AO41" s="289">
        <v>0.5</v>
      </c>
      <c r="AP41" s="303">
        <f t="shared" ref="AP41:AP52" si="52">MAX(MIN(B_1*Tb_eff*($AA41)/(SQRT(2)*$AP$39),10),-10)</f>
        <v>-0.58666627820934325</v>
      </c>
      <c r="AQ41" s="287">
        <f t="shared" ref="AQ41:AQ52" si="53">MAX(MIN(B_1*Tb_eff*(1-$AA41)/(SQRT(2)*$AP$39),10),-10)</f>
        <v>2.6133316029325289</v>
      </c>
      <c r="AR41" s="304" t="e">
        <f t="shared" ref="AR41:AS69" si="54">(ERF(AP41)+1)/2</f>
        <v>#NUM!</v>
      </c>
      <c r="AS41" s="304">
        <f t="shared" si="54"/>
        <v>0.99989040613741964</v>
      </c>
      <c r="AT41" s="305" t="e">
        <f t="shared" ref="AT41:AT69" si="55">AR41+AS41-1</f>
        <v>#NUM!</v>
      </c>
      <c r="AU41" s="305" t="e">
        <f t="shared" ref="AU41:AW69" si="56">1-AR41</f>
        <v>#NUM!</v>
      </c>
      <c r="AV41" s="305">
        <f t="shared" si="56"/>
        <v>1.0959386258035941E-4</v>
      </c>
      <c r="AW41" s="320" t="e">
        <f t="shared" si="56"/>
        <v>#NUM!</v>
      </c>
    </row>
    <row r="42" spans="1:49" s="71" customFormat="1" ht="15" customHeight="1">
      <c r="A42" s="753">
        <f>A28*1000</f>
        <v>2000.0000000000009</v>
      </c>
      <c r="B42" s="754">
        <f>V28-'Base(c)'!V28</f>
        <v>0.36314254842687355</v>
      </c>
      <c r="C42" s="136"/>
      <c r="D42" s="136"/>
      <c r="E42" s="757" t="s">
        <v>451</v>
      </c>
      <c r="F42" s="732">
        <f>2*A46*F41</f>
        <v>6.1222106901920093E-2</v>
      </c>
      <c r="G42" s="758">
        <f>F42*10^6/$C$4</f>
        <v>2.374675661650234</v>
      </c>
      <c r="H42" s="631" t="s">
        <v>10</v>
      </c>
      <c r="J42" s="90"/>
      <c r="K42" s="90"/>
      <c r="L42" s="90"/>
      <c r="M42" s="90"/>
      <c r="N42" s="83"/>
      <c r="O42" s="66"/>
      <c r="P42" s="66"/>
      <c r="Q42" s="66"/>
      <c r="R42" s="84"/>
      <c r="S42" s="66"/>
      <c r="T42" s="86"/>
      <c r="U42" s="86"/>
      <c r="V42" s="66"/>
      <c r="Y42" s="303">
        <v>0.05</v>
      </c>
      <c r="Z42" s="287">
        <f t="shared" ref="Z42:Z69" si="57">Z41+$Y$42</f>
        <v>-0.2</v>
      </c>
      <c r="AA42" s="287">
        <f t="shared" si="46"/>
        <v>-0.23684210526315785</v>
      </c>
      <c r="AB42" s="287">
        <f t="shared" si="47"/>
        <v>-0.49137077393162476</v>
      </c>
      <c r="AC42" s="287">
        <f t="shared" si="48"/>
        <v>2.5660473749762636</v>
      </c>
      <c r="AD42" s="304" t="e">
        <f t="shared" si="49"/>
        <v>#NUM!</v>
      </c>
      <c r="AE42" s="304">
        <f t="shared" si="49"/>
        <v>0.99985770576307664</v>
      </c>
      <c r="AF42" s="305" t="e">
        <f t="shared" ref="AF42:AF69" si="58">AD42+AE42-1</f>
        <v>#NUM!</v>
      </c>
      <c r="AG42" s="305" t="e">
        <f t="shared" ref="AG42:AI64" si="59">1-AD42</f>
        <v>#NUM!</v>
      </c>
      <c r="AH42" s="305">
        <f t="shared" si="59"/>
        <v>1.4229423692335708E-4</v>
      </c>
      <c r="AI42" s="305" t="e">
        <f t="shared" si="59"/>
        <v>#NUM!</v>
      </c>
      <c r="AJ42" s="287">
        <f t="shared" ref="AJ42:AJ69" si="60">Z42-1</f>
        <v>-1.2</v>
      </c>
      <c r="AK42" s="287">
        <f t="shared" ref="AK42:AK69" si="61">Z42+1</f>
        <v>0.8</v>
      </c>
      <c r="AL42" s="287">
        <f t="shared" si="50"/>
        <v>-0.31485447535985578</v>
      </c>
      <c r="AM42" s="302">
        <f t="shared" si="51"/>
        <v>-8.5145524640144257E-2</v>
      </c>
      <c r="AN42" s="287">
        <f>$C$13</f>
        <v>0.4</v>
      </c>
      <c r="AO42" s="289">
        <f>$C$14</f>
        <v>0.25</v>
      </c>
      <c r="AP42" s="303">
        <f t="shared" si="52"/>
        <v>-0.47999968217128075</v>
      </c>
      <c r="AQ42" s="287">
        <f t="shared" si="53"/>
        <v>2.5066650068944667</v>
      </c>
      <c r="AR42" s="304" t="e">
        <f t="shared" si="54"/>
        <v>#NUM!</v>
      </c>
      <c r="AS42" s="304">
        <f t="shared" si="54"/>
        <v>0.9998036634013</v>
      </c>
      <c r="AT42" s="305" t="e">
        <f t="shared" si="55"/>
        <v>#NUM!</v>
      </c>
      <c r="AU42" s="305" t="e">
        <f t="shared" si="56"/>
        <v>#NUM!</v>
      </c>
      <c r="AV42" s="305">
        <f t="shared" si="56"/>
        <v>1.9633659869999764E-4</v>
      </c>
      <c r="AW42" s="320" t="e">
        <f t="shared" si="56"/>
        <v>#NUM!</v>
      </c>
    </row>
    <row r="43" spans="1:49" s="71" customFormat="1" ht="15" customHeight="1">
      <c r="A43" s="453"/>
      <c r="B43" s="452"/>
      <c r="C43" s="136"/>
      <c r="D43" s="136"/>
      <c r="E43" s="757" t="s">
        <v>443</v>
      </c>
      <c r="F43" s="454">
        <v>0.11</v>
      </c>
      <c r="G43" s="758">
        <f t="shared" ref="G43:G45" si="62">F43*10^6/$C$4</f>
        <v>4.2666666666666666</v>
      </c>
      <c r="H43" s="631" t="s">
        <v>10</v>
      </c>
      <c r="I43" s="90"/>
      <c r="J43" s="66"/>
      <c r="K43" s="66"/>
      <c r="L43" s="66"/>
      <c r="M43" s="66"/>
      <c r="N43" s="83"/>
      <c r="O43" s="66"/>
      <c r="P43" s="66"/>
      <c r="Q43" s="66"/>
      <c r="R43" s="84"/>
      <c r="S43" s="66"/>
      <c r="T43" s="86"/>
      <c r="U43" s="86"/>
      <c r="V43" s="66"/>
      <c r="Y43" s="303" t="s">
        <v>166</v>
      </c>
      <c r="Z43" s="287">
        <f t="shared" si="57"/>
        <v>-0.15000000000000002</v>
      </c>
      <c r="AA43" s="287">
        <f t="shared" si="46"/>
        <v>-0.18421052631578949</v>
      </c>
      <c r="AB43" s="287">
        <f t="shared" si="47"/>
        <v>-0.38217726861348611</v>
      </c>
      <c r="AC43" s="287">
        <f t="shared" si="48"/>
        <v>2.4568538696581239</v>
      </c>
      <c r="AD43" s="304" t="e">
        <f t="shared" si="49"/>
        <v>#NUM!</v>
      </c>
      <c r="AE43" s="304">
        <f t="shared" si="49"/>
        <v>0.99974411213620118</v>
      </c>
      <c r="AF43" s="305" t="e">
        <f t="shared" si="58"/>
        <v>#NUM!</v>
      </c>
      <c r="AG43" s="305" t="e">
        <f t="shared" si="59"/>
        <v>#NUM!</v>
      </c>
      <c r="AH43" s="305">
        <f t="shared" si="59"/>
        <v>2.5588786379882045E-4</v>
      </c>
      <c r="AI43" s="305" t="e">
        <f t="shared" si="59"/>
        <v>#NUM!</v>
      </c>
      <c r="AJ43" s="287">
        <f t="shared" si="60"/>
        <v>-1.1499999999999999</v>
      </c>
      <c r="AK43" s="287">
        <f t="shared" si="61"/>
        <v>0.85</v>
      </c>
      <c r="AL43" s="287">
        <f t="shared" si="50"/>
        <v>-0.26485447535985579</v>
      </c>
      <c r="AM43" s="302">
        <f t="shared" si="51"/>
        <v>-3.5145524640144268E-2</v>
      </c>
      <c r="AN43" s="287">
        <f>1-AN42</f>
        <v>0.6</v>
      </c>
      <c r="AO43" s="289">
        <f>$C$14</f>
        <v>0.25</v>
      </c>
      <c r="AP43" s="303">
        <f t="shared" si="52"/>
        <v>-0.37333308613321853</v>
      </c>
      <c r="AQ43" s="287">
        <f t="shared" si="53"/>
        <v>2.3999984108564041</v>
      </c>
      <c r="AR43" s="304" t="e">
        <f t="shared" si="54"/>
        <v>#NUM!</v>
      </c>
      <c r="AS43" s="304">
        <f t="shared" si="54"/>
        <v>0.99965574022028358</v>
      </c>
      <c r="AT43" s="305" t="e">
        <f t="shared" si="55"/>
        <v>#NUM!</v>
      </c>
      <c r="AU43" s="305" t="e">
        <f t="shared" si="56"/>
        <v>#NUM!</v>
      </c>
      <c r="AV43" s="305">
        <f t="shared" si="56"/>
        <v>3.4425977971641597E-4</v>
      </c>
      <c r="AW43" s="320" t="e">
        <f t="shared" si="56"/>
        <v>#NUM!</v>
      </c>
    </row>
    <row r="44" spans="1:49" s="71" customFormat="1" ht="15" customHeight="1">
      <c r="A44" s="631" t="s">
        <v>447</v>
      </c>
      <c r="B44" s="759">
        <f>0.5*ERFC(Q/SQRT(2))</f>
        <v>2.8293386878541771E-5</v>
      </c>
      <c r="C44" s="136"/>
      <c r="D44" s="136"/>
      <c r="E44" s="757" t="s">
        <v>436</v>
      </c>
      <c r="F44" s="454">
        <v>0.16</v>
      </c>
      <c r="G44" s="758">
        <f t="shared" si="62"/>
        <v>6.2060606060606061</v>
      </c>
      <c r="H44" s="631" t="s">
        <v>10</v>
      </c>
      <c r="I44" s="66"/>
      <c r="J44" s="66"/>
      <c r="K44" s="66"/>
      <c r="L44" s="66"/>
      <c r="M44" s="66"/>
      <c r="N44" s="83"/>
      <c r="O44" s="66"/>
      <c r="P44" s="66"/>
      <c r="Q44" s="66"/>
      <c r="R44" s="84"/>
      <c r="S44" s="66"/>
      <c r="T44" s="86"/>
      <c r="U44" s="86"/>
      <c r="V44" s="66"/>
      <c r="Y44" s="303">
        <f>$L$11/$C$4</f>
        <v>1.0526315789473684</v>
      </c>
      <c r="Z44" s="287">
        <f t="shared" si="57"/>
        <v>-0.10000000000000002</v>
      </c>
      <c r="AA44" s="287">
        <f t="shared" si="46"/>
        <v>-0.13157894736842102</v>
      </c>
      <c r="AB44" s="287">
        <f t="shared" si="47"/>
        <v>-0.27298376329534707</v>
      </c>
      <c r="AC44" s="287">
        <f t="shared" si="48"/>
        <v>2.3476603643399856</v>
      </c>
      <c r="AD44" s="304" t="e">
        <f t="shared" si="49"/>
        <v>#NUM!</v>
      </c>
      <c r="AE44" s="304">
        <f t="shared" si="49"/>
        <v>0.99955006286703796</v>
      </c>
      <c r="AF44" s="305" t="e">
        <f t="shared" si="58"/>
        <v>#NUM!</v>
      </c>
      <c r="AG44" s="305" t="e">
        <f t="shared" si="59"/>
        <v>#NUM!</v>
      </c>
      <c r="AH44" s="305">
        <f t="shared" si="59"/>
        <v>4.4993713296204163E-4</v>
      </c>
      <c r="AI44" s="305" t="e">
        <f t="shared" si="59"/>
        <v>#NUM!</v>
      </c>
      <c r="AJ44" s="287">
        <f t="shared" si="60"/>
        <v>-1.1000000000000001</v>
      </c>
      <c r="AK44" s="287">
        <f t="shared" si="61"/>
        <v>0.9</v>
      </c>
      <c r="AL44" s="287">
        <f t="shared" si="50"/>
        <v>-0.21485447535985577</v>
      </c>
      <c r="AM44" s="302">
        <f t="shared" si="51"/>
        <v>1.4854475359855734E-2</v>
      </c>
      <c r="AN44" s="287">
        <f>1-AN41</f>
        <v>0.7</v>
      </c>
      <c r="AO44" s="289">
        <v>0.5</v>
      </c>
      <c r="AP44" s="303">
        <f t="shared" si="52"/>
        <v>-0.26666649009515597</v>
      </c>
      <c r="AQ44" s="287">
        <f t="shared" si="53"/>
        <v>2.2933318148183415</v>
      </c>
      <c r="AR44" s="304" t="e">
        <f t="shared" si="54"/>
        <v>#NUM!</v>
      </c>
      <c r="AS44" s="304">
        <f t="shared" si="54"/>
        <v>0.99940915035612643</v>
      </c>
      <c r="AT44" s="305" t="e">
        <f t="shared" si="55"/>
        <v>#NUM!</v>
      </c>
      <c r="AU44" s="305" t="e">
        <f t="shared" si="56"/>
        <v>#NUM!</v>
      </c>
      <c r="AV44" s="305">
        <f t="shared" si="56"/>
        <v>5.9084964387356997E-4</v>
      </c>
      <c r="AW44" s="320" t="e">
        <f t="shared" si="56"/>
        <v>#NUM!</v>
      </c>
    </row>
    <row r="45" spans="1:49" s="71" customFormat="1" ht="15" customHeight="1">
      <c r="A45" s="602" t="s">
        <v>455</v>
      </c>
      <c r="B45" s="604"/>
      <c r="C45" s="136"/>
      <c r="D45" s="136"/>
      <c r="E45" s="757" t="s">
        <v>437</v>
      </c>
      <c r="F45" s="454">
        <v>4.0000000000000001E-3</v>
      </c>
      <c r="G45" s="758">
        <f t="shared" si="62"/>
        <v>0.15515151515151515</v>
      </c>
      <c r="H45" s="631" t="s">
        <v>10</v>
      </c>
      <c r="I45" s="66"/>
      <c r="J45" s="66"/>
      <c r="K45" s="66"/>
      <c r="L45" s="66"/>
      <c r="M45" s="66"/>
      <c r="N45" s="83"/>
      <c r="O45" s="66"/>
      <c r="P45" s="66"/>
      <c r="Q45" s="66"/>
      <c r="R45" s="84"/>
      <c r="S45" s="66"/>
      <c r="T45" s="86"/>
      <c r="U45" s="86"/>
      <c r="V45" s="66"/>
      <c r="Y45" s="303"/>
      <c r="Z45" s="287">
        <f t="shared" si="57"/>
        <v>-5.0000000000000017E-2</v>
      </c>
      <c r="AA45" s="287">
        <f t="shared" si="46"/>
        <v>-7.8947368421052655E-2</v>
      </c>
      <c r="AB45" s="287">
        <f t="shared" si="47"/>
        <v>-0.16379025797720834</v>
      </c>
      <c r="AC45" s="287">
        <f t="shared" si="48"/>
        <v>2.2384668590218468</v>
      </c>
      <c r="AD45" s="304" t="e">
        <f t="shared" si="49"/>
        <v>#NUM!</v>
      </c>
      <c r="AE45" s="304">
        <f t="shared" si="49"/>
        <v>0.99922636937172093</v>
      </c>
      <c r="AF45" s="305" t="e">
        <f t="shared" si="58"/>
        <v>#NUM!</v>
      </c>
      <c r="AG45" s="305" t="e">
        <f t="shared" si="59"/>
        <v>#NUM!</v>
      </c>
      <c r="AH45" s="305">
        <f t="shared" si="59"/>
        <v>7.7363062827906504E-4</v>
      </c>
      <c r="AI45" s="305" t="e">
        <f t="shared" si="59"/>
        <v>#NUM!</v>
      </c>
      <c r="AJ45" s="287">
        <f t="shared" si="60"/>
        <v>-1.05</v>
      </c>
      <c r="AK45" s="287">
        <f t="shared" si="61"/>
        <v>0.95</v>
      </c>
      <c r="AL45" s="287">
        <f t="shared" si="50"/>
        <v>-0.16485447535985576</v>
      </c>
      <c r="AM45" s="302">
        <f t="shared" si="51"/>
        <v>6.4854475359855737E-2</v>
      </c>
      <c r="AN45" s="287">
        <f>AN43</f>
        <v>0.6</v>
      </c>
      <c r="AO45" s="289">
        <f>1-$C$14</f>
        <v>0.75</v>
      </c>
      <c r="AP45" s="303">
        <f t="shared" si="52"/>
        <v>-0.15999989405709367</v>
      </c>
      <c r="AQ45" s="287">
        <f t="shared" si="53"/>
        <v>2.1866652187802793</v>
      </c>
      <c r="AR45" s="304" t="e">
        <f t="shared" si="54"/>
        <v>#NUM!</v>
      </c>
      <c r="AS45" s="304">
        <f t="shared" si="54"/>
        <v>0.99900731323470993</v>
      </c>
      <c r="AT45" s="305" t="e">
        <f t="shared" si="55"/>
        <v>#NUM!</v>
      </c>
      <c r="AU45" s="305" t="e">
        <f t="shared" si="56"/>
        <v>#NUM!</v>
      </c>
      <c r="AV45" s="305">
        <f t="shared" si="56"/>
        <v>9.9268676529007394E-4</v>
      </c>
      <c r="AW45" s="320" t="e">
        <f t="shared" si="56"/>
        <v>#NUM!</v>
      </c>
    </row>
    <row r="46" spans="1:49" s="71" customFormat="1" ht="15" customHeight="1">
      <c r="A46" s="766">
        <v>3.8610000000000002</v>
      </c>
      <c r="B46" s="767"/>
      <c r="C46" s="136"/>
      <c r="D46" s="136"/>
      <c r="E46" s="755" t="s">
        <v>454</v>
      </c>
      <c r="F46" s="794">
        <v>0.17699999999999999</v>
      </c>
      <c r="G46" s="758">
        <f>F46*10^6/$C$4</f>
        <v>6.8654545454545453</v>
      </c>
      <c r="H46" s="631" t="s">
        <v>10</v>
      </c>
      <c r="I46" s="66"/>
      <c r="J46" s="66"/>
      <c r="K46" s="66"/>
      <c r="L46" s="66"/>
      <c r="M46" s="66"/>
      <c r="N46" s="83"/>
      <c r="O46" s="66"/>
      <c r="P46" s="66"/>
      <c r="Q46" s="66"/>
      <c r="R46" s="84"/>
      <c r="S46" s="66"/>
      <c r="T46" s="86"/>
      <c r="U46" s="86"/>
      <c r="V46" s="66"/>
      <c r="Y46" s="303"/>
      <c r="Z46" s="287">
        <f t="shared" si="57"/>
        <v>0</v>
      </c>
      <c r="AA46" s="287">
        <f t="shared" si="46"/>
        <v>-2.6315789473684181E-2</v>
      </c>
      <c r="AB46" s="287">
        <f t="shared" si="47"/>
        <v>-5.4596752659069367E-2</v>
      </c>
      <c r="AC46" s="287">
        <f t="shared" si="48"/>
        <v>2.1292733537037076</v>
      </c>
      <c r="AD46" s="304" t="e">
        <f t="shared" si="49"/>
        <v>#NUM!</v>
      </c>
      <c r="AE46" s="304">
        <f t="shared" si="49"/>
        <v>0.99869911547460377</v>
      </c>
      <c r="AF46" s="305" t="e">
        <f t="shared" si="58"/>
        <v>#NUM!</v>
      </c>
      <c r="AG46" s="305" t="e">
        <f t="shared" si="59"/>
        <v>#NUM!</v>
      </c>
      <c r="AH46" s="305">
        <f t="shared" si="59"/>
        <v>1.3008845253962287E-3</v>
      </c>
      <c r="AI46" s="305" t="e">
        <f t="shared" si="59"/>
        <v>#NUM!</v>
      </c>
      <c r="AJ46" s="287">
        <f t="shared" si="60"/>
        <v>-1</v>
      </c>
      <c r="AK46" s="287">
        <f t="shared" si="61"/>
        <v>1</v>
      </c>
      <c r="AL46" s="287">
        <f t="shared" si="50"/>
        <v>-0.11485447535985575</v>
      </c>
      <c r="AM46" s="302">
        <f t="shared" si="51"/>
        <v>0.11485447535985575</v>
      </c>
      <c r="AN46" s="287">
        <f>AN42</f>
        <v>0.4</v>
      </c>
      <c r="AO46" s="289">
        <f>AO45</f>
        <v>0.75</v>
      </c>
      <c r="AP46" s="303">
        <f t="shared" si="52"/>
        <v>-5.3333298019031146E-2</v>
      </c>
      <c r="AQ46" s="287">
        <f t="shared" si="53"/>
        <v>2.0799986227422167</v>
      </c>
      <c r="AR46" s="304" t="e">
        <f t="shared" si="54"/>
        <v>#NUM!</v>
      </c>
      <c r="AS46" s="304">
        <f t="shared" si="54"/>
        <v>0.99836719401510843</v>
      </c>
      <c r="AT46" s="305" t="e">
        <f t="shared" si="55"/>
        <v>#NUM!</v>
      </c>
      <c r="AU46" s="305" t="e">
        <f t="shared" si="56"/>
        <v>#NUM!</v>
      </c>
      <c r="AV46" s="305">
        <f t="shared" si="56"/>
        <v>1.6328059848915721E-3</v>
      </c>
      <c r="AW46" s="320" t="e">
        <f t="shared" si="56"/>
        <v>#NUM!</v>
      </c>
    </row>
    <row r="47" spans="1:49" s="71" customFormat="1" ht="15" customHeight="1">
      <c r="A47" s="609" t="s">
        <v>456</v>
      </c>
      <c r="B47" s="611"/>
      <c r="C47" s="136"/>
      <c r="D47" s="136"/>
      <c r="E47" s="796" t="s">
        <v>439</v>
      </c>
      <c r="F47" s="761">
        <f>G47/(1000000/$C$4)</f>
        <v>0.72029104928028842</v>
      </c>
      <c r="G47" s="768">
        <f>(1000000/C4)-G7</f>
        <v>27.938561911477855</v>
      </c>
      <c r="H47" s="797" t="s">
        <v>10</v>
      </c>
      <c r="I47" s="66"/>
      <c r="J47" s="66"/>
      <c r="K47" s="66"/>
      <c r="L47" s="66"/>
      <c r="M47" s="66"/>
      <c r="N47" s="83"/>
      <c r="O47" s="66"/>
      <c r="P47" s="66"/>
      <c r="Q47" s="66"/>
      <c r="R47" s="84"/>
      <c r="S47" s="66"/>
      <c r="T47" s="86"/>
      <c r="U47" s="86"/>
      <c r="V47" s="66"/>
      <c r="X47" s="93"/>
      <c r="Y47" s="306"/>
      <c r="Z47" s="287">
        <f t="shared" si="57"/>
        <v>0.05</v>
      </c>
      <c r="AA47" s="287">
        <f t="shared" si="46"/>
        <v>2.6315789473684237E-2</v>
      </c>
      <c r="AB47" s="287">
        <f t="shared" si="47"/>
        <v>5.4596752659069485E-2</v>
      </c>
      <c r="AC47" s="287">
        <f t="shared" si="48"/>
        <v>2.0200798483855689</v>
      </c>
      <c r="AD47" s="304">
        <f t="shared" si="49"/>
        <v>0.53077234065742418</v>
      </c>
      <c r="AE47" s="304">
        <f t="shared" si="49"/>
        <v>0.99786048686956852</v>
      </c>
      <c r="AF47" s="305">
        <f t="shared" si="58"/>
        <v>0.5286328275269927</v>
      </c>
      <c r="AG47" s="305">
        <f t="shared" si="59"/>
        <v>0.46922765934257582</v>
      </c>
      <c r="AH47" s="305">
        <f t="shared" si="59"/>
        <v>2.1395131304314807E-3</v>
      </c>
      <c r="AI47" s="305">
        <f t="shared" si="59"/>
        <v>0.4713671724730073</v>
      </c>
      <c r="AJ47" s="287">
        <f t="shared" si="60"/>
        <v>-0.95</v>
      </c>
      <c r="AK47" s="287">
        <f t="shared" si="61"/>
        <v>1.05</v>
      </c>
      <c r="AL47" s="287">
        <f t="shared" si="50"/>
        <v>-6.4854475359855751E-2</v>
      </c>
      <c r="AM47" s="302">
        <f t="shared" si="51"/>
        <v>0.16485447535985576</v>
      </c>
      <c r="AN47" s="308">
        <f>AN41</f>
        <v>0.3</v>
      </c>
      <c r="AO47" s="319">
        <v>0.5</v>
      </c>
      <c r="AP47" s="303">
        <f t="shared" si="52"/>
        <v>5.3333298019031257E-2</v>
      </c>
      <c r="AQ47" s="287">
        <f t="shared" si="53"/>
        <v>1.9733320267041543</v>
      </c>
      <c r="AR47" s="304">
        <f t="shared" si="54"/>
        <v>0.53006158569907713</v>
      </c>
      <c r="AS47" s="304">
        <f t="shared" si="54"/>
        <v>0.99737039496708058</v>
      </c>
      <c r="AT47" s="305">
        <f t="shared" si="55"/>
        <v>0.5274319806661576</v>
      </c>
      <c r="AU47" s="305">
        <f t="shared" si="56"/>
        <v>0.46993841430092287</v>
      </c>
      <c r="AV47" s="305">
        <f t="shared" si="56"/>
        <v>2.6296050329194243E-3</v>
      </c>
      <c r="AW47" s="320">
        <f t="shared" si="56"/>
        <v>0.4725680193338424</v>
      </c>
    </row>
    <row r="48" spans="1:49" s="71" customFormat="1" ht="15" customHeight="1">
      <c r="A48" s="801">
        <v>6.9371999999999998</v>
      </c>
      <c r="B48" s="802"/>
      <c r="C48" s="136"/>
      <c r="D48" s="136"/>
      <c r="E48" s="757" t="s">
        <v>438</v>
      </c>
      <c r="F48" s="732">
        <f>G48/(1000000/$C$4)</f>
        <v>0.72288819470704391</v>
      </c>
      <c r="G48" s="626">
        <f>SQRT((G42^2)+(G47^2))</f>
        <v>28.039299673485342</v>
      </c>
      <c r="H48" s="631" t="s">
        <v>10</v>
      </c>
      <c r="I48" s="66"/>
      <c r="J48" s="66"/>
      <c r="K48" s="66"/>
      <c r="L48" s="66"/>
      <c r="M48" s="66"/>
      <c r="N48" s="83"/>
      <c r="O48" s="66"/>
      <c r="P48" s="66"/>
      <c r="Q48" s="66"/>
      <c r="R48" s="84"/>
      <c r="S48" s="66"/>
      <c r="T48" s="86"/>
      <c r="U48" s="86"/>
      <c r="V48" s="66"/>
      <c r="X48" s="93"/>
      <c r="Y48" s="306"/>
      <c r="Z48" s="287">
        <f t="shared" si="57"/>
        <v>0.1</v>
      </c>
      <c r="AA48" s="287">
        <f t="shared" si="46"/>
        <v>7.8947368421052655E-2</v>
      </c>
      <c r="AB48" s="287">
        <f t="shared" si="47"/>
        <v>0.16379025797720834</v>
      </c>
      <c r="AC48" s="287">
        <f t="shared" si="48"/>
        <v>1.9108863430674301</v>
      </c>
      <c r="AD48" s="304">
        <f t="shared" si="49"/>
        <v>0.59158900826761174</v>
      </c>
      <c r="AE48" s="304">
        <f t="shared" si="49"/>
        <v>0.99655796976992439</v>
      </c>
      <c r="AF48" s="305">
        <f t="shared" si="58"/>
        <v>0.58814697803753613</v>
      </c>
      <c r="AG48" s="305">
        <f t="shared" si="59"/>
        <v>0.40841099173238826</v>
      </c>
      <c r="AH48" s="305">
        <f t="shared" si="59"/>
        <v>3.44203023007561E-3</v>
      </c>
      <c r="AI48" s="305">
        <f t="shared" si="59"/>
        <v>0.41185302196246387</v>
      </c>
      <c r="AJ48" s="287">
        <f t="shared" si="60"/>
        <v>-0.9</v>
      </c>
      <c r="AK48" s="287">
        <f t="shared" si="61"/>
        <v>1.1000000000000001</v>
      </c>
      <c r="AL48" s="287">
        <f t="shared" si="50"/>
        <v>-1.4854475359855748E-2</v>
      </c>
      <c r="AM48" s="302">
        <f t="shared" si="51"/>
        <v>0.21485447535985575</v>
      </c>
      <c r="AP48" s="303">
        <f t="shared" si="52"/>
        <v>0.15999989405709367</v>
      </c>
      <c r="AQ48" s="287">
        <f t="shared" si="53"/>
        <v>1.8666654306660921</v>
      </c>
      <c r="AR48" s="304">
        <f t="shared" si="54"/>
        <v>0.58950584832911113</v>
      </c>
      <c r="AS48" s="304">
        <f t="shared" si="54"/>
        <v>0.99585302939517284</v>
      </c>
      <c r="AT48" s="305">
        <f t="shared" si="55"/>
        <v>0.58535887772428397</v>
      </c>
      <c r="AU48" s="305">
        <f t="shared" si="56"/>
        <v>0.41049415167088887</v>
      </c>
      <c r="AV48" s="305">
        <f t="shared" si="56"/>
        <v>4.1469706048271604E-3</v>
      </c>
      <c r="AW48" s="320">
        <f t="shared" si="56"/>
        <v>0.41464112227571603</v>
      </c>
    </row>
    <row r="49" spans="1:49" s="71" customFormat="1" ht="15" customHeight="1">
      <c r="A49" s="247" t="s">
        <v>433</v>
      </c>
      <c r="B49" s="459" t="s">
        <v>432</v>
      </c>
      <c r="C49" s="762"/>
      <c r="D49" s="762"/>
      <c r="E49" s="763" t="s">
        <v>452</v>
      </c>
      <c r="F49" s="798">
        <f>G49/(1000000/$C$4)</f>
        <v>0.89988819470704384</v>
      </c>
      <c r="G49" s="799">
        <f>G46+G48</f>
        <v>34.904754218939885</v>
      </c>
      <c r="H49" s="800" t="s">
        <v>10</v>
      </c>
      <c r="I49" s="66"/>
      <c r="J49" s="66"/>
      <c r="K49" s="66"/>
      <c r="L49" s="66"/>
      <c r="M49" s="66"/>
      <c r="N49" s="83"/>
      <c r="O49" s="66"/>
      <c r="P49" s="66"/>
      <c r="Q49" s="66"/>
      <c r="R49" s="84"/>
      <c r="S49" s="66"/>
      <c r="T49" s="86"/>
      <c r="U49" s="86"/>
      <c r="V49" s="66"/>
      <c r="X49" s="93"/>
      <c r="Y49" s="306"/>
      <c r="Z49" s="287">
        <f t="shared" si="57"/>
        <v>0.15000000000000002</v>
      </c>
      <c r="AA49" s="287">
        <f t="shared" si="46"/>
        <v>0.13157894736842107</v>
      </c>
      <c r="AB49" s="287">
        <f t="shared" si="47"/>
        <v>0.27298376329534724</v>
      </c>
      <c r="AC49" s="287">
        <f t="shared" si="48"/>
        <v>1.8016928377492913</v>
      </c>
      <c r="AD49" s="304">
        <f t="shared" si="49"/>
        <v>0.65027289858792203</v>
      </c>
      <c r="AE49" s="304">
        <f t="shared" si="49"/>
        <v>0.99458254134928747</v>
      </c>
      <c r="AF49" s="305">
        <f t="shared" si="58"/>
        <v>0.64485543993720951</v>
      </c>
      <c r="AG49" s="305">
        <f t="shared" si="59"/>
        <v>0.34972710141207797</v>
      </c>
      <c r="AH49" s="305">
        <f t="shared" si="59"/>
        <v>5.4174586507125255E-3</v>
      </c>
      <c r="AI49" s="305">
        <f t="shared" si="59"/>
        <v>0.35514456006279049</v>
      </c>
      <c r="AJ49" s="287">
        <f t="shared" si="60"/>
        <v>-0.85</v>
      </c>
      <c r="AK49" s="287">
        <f t="shared" si="61"/>
        <v>1.1499999999999999</v>
      </c>
      <c r="AL49" s="287">
        <f t="shared" si="50"/>
        <v>3.5145524640144268E-2</v>
      </c>
      <c r="AM49" s="302">
        <f t="shared" si="51"/>
        <v>0.26485447535985579</v>
      </c>
      <c r="AP49" s="303">
        <f t="shared" si="52"/>
        <v>0.26666649009515608</v>
      </c>
      <c r="AQ49" s="287">
        <f t="shared" si="53"/>
        <v>1.75999883462803</v>
      </c>
      <c r="AR49" s="304">
        <f t="shared" si="54"/>
        <v>0.64695903659301823</v>
      </c>
      <c r="AS49" s="304">
        <f t="shared" si="54"/>
        <v>0.99359510726055622</v>
      </c>
      <c r="AT49" s="305">
        <f t="shared" si="55"/>
        <v>0.64055414385357445</v>
      </c>
      <c r="AU49" s="305">
        <f t="shared" si="56"/>
        <v>0.35304096340698177</v>
      </c>
      <c r="AV49" s="305">
        <f t="shared" si="56"/>
        <v>6.4048927394437793E-3</v>
      </c>
      <c r="AW49" s="320">
        <f t="shared" si="56"/>
        <v>0.35944585614642555</v>
      </c>
    </row>
    <row r="50" spans="1:49" s="71" customFormat="1" ht="15" customHeight="1">
      <c r="A50" s="457">
        <v>2.5758000000000001</v>
      </c>
      <c r="B50" s="457">
        <v>0.85</v>
      </c>
      <c r="C50" s="136"/>
      <c r="D50" s="388"/>
      <c r="E50" s="668" t="s">
        <v>442</v>
      </c>
      <c r="F50" s="761">
        <f>((G48*(A50/A48))+B50*(G46))/(1000000/$C$4)</f>
        <v>0.41886022486398022</v>
      </c>
      <c r="G50" s="764">
        <f>F50*(1000000/$C$4)</f>
        <v>16.246699631087719</v>
      </c>
      <c r="H50" s="631" t="s">
        <v>10</v>
      </c>
      <c r="I50" s="66"/>
      <c r="J50" s="66"/>
      <c r="K50" s="66"/>
      <c r="L50" s="66"/>
      <c r="M50" s="66"/>
      <c r="N50" s="83"/>
      <c r="O50" s="83"/>
      <c r="P50" s="83"/>
      <c r="Q50" s="66"/>
      <c r="R50" s="84"/>
      <c r="S50" s="66"/>
      <c r="T50" s="86"/>
      <c r="U50" s="86"/>
      <c r="V50" s="66"/>
      <c r="X50" s="93"/>
      <c r="Y50" s="306"/>
      <c r="Z50" s="287">
        <f t="shared" si="57"/>
        <v>0.2</v>
      </c>
      <c r="AA50" s="287">
        <f t="shared" si="46"/>
        <v>0.18421052631578949</v>
      </c>
      <c r="AB50" s="287">
        <f t="shared" si="47"/>
        <v>0.38217726861348611</v>
      </c>
      <c r="AC50" s="287">
        <f t="shared" si="48"/>
        <v>1.6924993324311524</v>
      </c>
      <c r="AD50" s="304">
        <f t="shared" si="49"/>
        <v>0.70556706940179748</v>
      </c>
      <c r="AE50" s="304">
        <f t="shared" si="49"/>
        <v>0.99165702138699963</v>
      </c>
      <c r="AF50" s="305">
        <f t="shared" si="58"/>
        <v>0.69722409078879721</v>
      </c>
      <c r="AG50" s="305">
        <f t="shared" si="59"/>
        <v>0.29443293059820252</v>
      </c>
      <c r="AH50" s="305">
        <f t="shared" si="59"/>
        <v>8.3429786130003736E-3</v>
      </c>
      <c r="AI50" s="305">
        <f t="shared" si="59"/>
        <v>0.30277590921120279</v>
      </c>
      <c r="AJ50" s="287">
        <f t="shared" si="60"/>
        <v>-0.8</v>
      </c>
      <c r="AK50" s="287">
        <f t="shared" si="61"/>
        <v>1.2</v>
      </c>
      <c r="AL50" s="287">
        <f t="shared" si="50"/>
        <v>8.5145524640144257E-2</v>
      </c>
      <c r="AM50" s="302">
        <f t="shared" si="51"/>
        <v>0.31485447535985578</v>
      </c>
      <c r="AP50" s="303">
        <f t="shared" si="52"/>
        <v>0.37333308613321853</v>
      </c>
      <c r="AQ50" s="287">
        <f t="shared" si="53"/>
        <v>1.6533322385899674</v>
      </c>
      <c r="AR50" s="304">
        <f t="shared" si="54"/>
        <v>0.70124086200258207</v>
      </c>
      <c r="AS50" s="304">
        <f t="shared" si="54"/>
        <v>0.99031065072414082</v>
      </c>
      <c r="AT50" s="305">
        <f t="shared" si="55"/>
        <v>0.69155151272672288</v>
      </c>
      <c r="AU50" s="305">
        <f t="shared" si="56"/>
        <v>0.29875913799741793</v>
      </c>
      <c r="AV50" s="305">
        <f t="shared" si="56"/>
        <v>9.6893492758591826E-3</v>
      </c>
      <c r="AW50" s="320">
        <f t="shared" si="56"/>
        <v>0.30844848727327712</v>
      </c>
    </row>
    <row r="51" spans="1:49" s="71" customFormat="1" ht="15" customHeight="1">
      <c r="A51" s="457">
        <v>6.1093999999999999</v>
      </c>
      <c r="B51" s="458">
        <v>1</v>
      </c>
      <c r="C51" s="450"/>
      <c r="D51" s="450"/>
      <c r="E51" s="668" t="s">
        <v>441</v>
      </c>
      <c r="F51" s="761">
        <f>((G48*(A51/A48))+G46)/(1000000/$C$4)</f>
        <v>0.81362762162590307</v>
      </c>
      <c r="G51" s="764">
        <f>F51*(1000000/$C$4)</f>
        <v>31.558889566095637</v>
      </c>
      <c r="H51" s="797" t="s">
        <v>10</v>
      </c>
      <c r="I51" s="66"/>
      <c r="J51" s="66"/>
      <c r="K51" s="66"/>
      <c r="L51" s="66"/>
      <c r="M51" s="66"/>
      <c r="N51" s="83"/>
      <c r="O51" s="83"/>
      <c r="P51" s="83"/>
      <c r="Q51" s="83"/>
      <c r="R51" s="207"/>
      <c r="S51" s="66"/>
      <c r="T51" s="86"/>
      <c r="U51" s="86"/>
      <c r="V51" s="66"/>
      <c r="X51" s="93"/>
      <c r="Y51" s="306"/>
      <c r="Z51" s="287">
        <f t="shared" si="57"/>
        <v>0.25</v>
      </c>
      <c r="AA51" s="287">
        <f t="shared" si="46"/>
        <v>0.23684210526315791</v>
      </c>
      <c r="AB51" s="287">
        <f t="shared" si="47"/>
        <v>0.49137077393162493</v>
      </c>
      <c r="AC51" s="287">
        <f t="shared" si="48"/>
        <v>1.5833058271130134</v>
      </c>
      <c r="AD51" s="304">
        <f t="shared" si="49"/>
        <v>0.75644201969115787</v>
      </c>
      <c r="AE51" s="304">
        <f t="shared" si="49"/>
        <v>0.9874263522349056</v>
      </c>
      <c r="AF51" s="305">
        <f t="shared" si="58"/>
        <v>0.74386837192606348</v>
      </c>
      <c r="AG51" s="305">
        <f t="shared" si="59"/>
        <v>0.24355798030884213</v>
      </c>
      <c r="AH51" s="305">
        <f t="shared" si="59"/>
        <v>1.2573647765094398E-2</v>
      </c>
      <c r="AI51" s="305">
        <f t="shared" si="59"/>
        <v>0.25613162807393652</v>
      </c>
      <c r="AJ51" s="287">
        <f t="shared" si="60"/>
        <v>-0.75</v>
      </c>
      <c r="AK51" s="287">
        <f t="shared" si="61"/>
        <v>1.25</v>
      </c>
      <c r="AL51" s="287">
        <f t="shared" si="50"/>
        <v>0.13514552464014423</v>
      </c>
      <c r="AM51" s="302">
        <f t="shared" si="51"/>
        <v>0.36485447535985577</v>
      </c>
      <c r="AP51" s="303">
        <f t="shared" si="52"/>
        <v>0.47999968217128092</v>
      </c>
      <c r="AQ51" s="287">
        <f t="shared" si="53"/>
        <v>1.5466656425519048</v>
      </c>
      <c r="AR51" s="304">
        <f t="shared" si="54"/>
        <v>0.7513746924346264</v>
      </c>
      <c r="AS51" s="304">
        <f t="shared" si="54"/>
        <v>0.98564024975385067</v>
      </c>
      <c r="AT51" s="305">
        <f t="shared" si="55"/>
        <v>0.73701494218847707</v>
      </c>
      <c r="AU51" s="305">
        <f t="shared" si="56"/>
        <v>0.2486253075653736</v>
      </c>
      <c r="AV51" s="305">
        <f t="shared" si="56"/>
        <v>1.4359750246149328E-2</v>
      </c>
      <c r="AW51" s="320">
        <f t="shared" si="56"/>
        <v>0.26298505781152293</v>
      </c>
    </row>
    <row r="52" spans="1:49" s="71" customFormat="1" ht="15" customHeight="1">
      <c r="C52" s="83"/>
      <c r="D52" s="136"/>
      <c r="E52" s="757" t="s">
        <v>440</v>
      </c>
      <c r="F52" s="732">
        <f>G52/(1000000/C4)</f>
        <v>0.1001118052929561</v>
      </c>
      <c r="G52" s="626">
        <f>(1000000/C4)-G49</f>
        <v>3.8831245689389036</v>
      </c>
      <c r="H52" s="631" t="s">
        <v>10</v>
      </c>
      <c r="I52" s="66"/>
      <c r="J52" s="66"/>
      <c r="K52" s="66"/>
      <c r="L52" s="66"/>
      <c r="M52" s="66"/>
      <c r="N52" s="83"/>
      <c r="O52" s="83"/>
      <c r="P52" s="83"/>
      <c r="Q52" s="66"/>
      <c r="R52" s="84"/>
      <c r="S52" s="66"/>
      <c r="T52" s="86"/>
      <c r="U52" s="86"/>
      <c r="V52" s="66"/>
      <c r="X52" s="93"/>
      <c r="Y52" s="306"/>
      <c r="Z52" s="287">
        <f t="shared" si="57"/>
        <v>0.3</v>
      </c>
      <c r="AA52" s="287">
        <f t="shared" si="46"/>
        <v>0.28947368421052633</v>
      </c>
      <c r="AB52" s="287">
        <f t="shared" si="47"/>
        <v>0.60056427924976374</v>
      </c>
      <c r="AC52" s="287">
        <f t="shared" si="48"/>
        <v>1.4741123217948746</v>
      </c>
      <c r="AD52" s="304">
        <f t="shared" si="49"/>
        <v>0.80215008224181039</v>
      </c>
      <c r="AE52" s="304">
        <f t="shared" si="49"/>
        <v>0.98145216395617674</v>
      </c>
      <c r="AF52" s="305">
        <f t="shared" si="58"/>
        <v>0.78360224619798702</v>
      </c>
      <c r="AG52" s="305">
        <f t="shared" si="59"/>
        <v>0.19784991775818961</v>
      </c>
      <c r="AH52" s="305">
        <f t="shared" si="59"/>
        <v>1.8547836043823263E-2</v>
      </c>
      <c r="AI52" s="305">
        <f t="shared" si="59"/>
        <v>0.21639775380201298</v>
      </c>
      <c r="AJ52" s="287">
        <f t="shared" si="60"/>
        <v>-0.7</v>
      </c>
      <c r="AK52" s="287">
        <f t="shared" si="61"/>
        <v>1.3</v>
      </c>
      <c r="AL52" s="287">
        <f t="shared" si="50"/>
        <v>0.18514552464014422</v>
      </c>
      <c r="AM52" s="302">
        <f t="shared" si="51"/>
        <v>0.41485447535985576</v>
      </c>
      <c r="AP52" s="303">
        <f t="shared" si="52"/>
        <v>0.58666627820934325</v>
      </c>
      <c r="AQ52" s="287">
        <f t="shared" si="53"/>
        <v>1.4399990465138426</v>
      </c>
      <c r="AR52" s="304">
        <f t="shared" si="54"/>
        <v>0.7966377037671899</v>
      </c>
      <c r="AS52" s="304">
        <f t="shared" si="54"/>
        <v>0.9791482148648174</v>
      </c>
      <c r="AT52" s="305">
        <f t="shared" si="55"/>
        <v>0.7757859186320073</v>
      </c>
      <c r="AU52" s="305">
        <f t="shared" si="56"/>
        <v>0.2033622962328101</v>
      </c>
      <c r="AV52" s="305">
        <f t="shared" si="56"/>
        <v>2.0851785135182599E-2</v>
      </c>
      <c r="AW52" s="320">
        <f t="shared" si="56"/>
        <v>0.2242140813679927</v>
      </c>
    </row>
    <row r="53" spans="1:49" s="71" customFormat="1" ht="15" customHeight="1">
      <c r="K53" s="590"/>
      <c r="L53" s="590"/>
      <c r="M53" s="590"/>
      <c r="N53" s="590"/>
      <c r="O53" s="589"/>
      <c r="P53" s="589"/>
      <c r="Q53" s="516"/>
      <c r="R53" s="591"/>
      <c r="S53" s="516"/>
      <c r="T53" s="592"/>
      <c r="U53" s="592"/>
      <c r="V53" s="516"/>
      <c r="W53" s="516"/>
      <c r="X53" s="516"/>
      <c r="Y53" s="306"/>
      <c r="Z53" s="287">
        <f t="shared" si="57"/>
        <v>0.35</v>
      </c>
      <c r="AA53" s="287">
        <f t="shared" si="46"/>
        <v>0.34210526315789469</v>
      </c>
      <c r="AB53" s="287">
        <f t="shared" si="47"/>
        <v>0.70975778456790251</v>
      </c>
      <c r="AC53" s="287">
        <f t="shared" si="48"/>
        <v>1.3649188164767359</v>
      </c>
      <c r="AD53" s="304">
        <f t="shared" si="49"/>
        <v>0.84225007046030942</v>
      </c>
      <c r="AE53" s="304">
        <f t="shared" si="49"/>
        <v>0.97321433505306199</v>
      </c>
      <c r="AF53" s="305">
        <f t="shared" si="58"/>
        <v>0.81546440551337129</v>
      </c>
      <c r="AG53" s="305">
        <f t="shared" si="59"/>
        <v>0.15774992953969058</v>
      </c>
      <c r="AH53" s="305">
        <f t="shared" si="59"/>
        <v>2.6785664946938015E-2</v>
      </c>
      <c r="AI53" s="305">
        <f t="shared" si="59"/>
        <v>0.18453559448662871</v>
      </c>
      <c r="AJ53" s="287">
        <f t="shared" si="60"/>
        <v>-0.65</v>
      </c>
      <c r="AK53" s="287">
        <f t="shared" si="61"/>
        <v>1.35</v>
      </c>
      <c r="AL53" s="287">
        <f t="shared" si="50"/>
        <v>0.23514552464014421</v>
      </c>
      <c r="AM53" s="302">
        <f t="shared" si="51"/>
        <v>0.46485447535985575</v>
      </c>
      <c r="AP53" s="303">
        <f t="shared" ref="AP53:AP69" si="63">MAX(MIN(B_1*Tb_eff*($AA53)/(SQRT(2)*$AP$39),10),-10)</f>
        <v>0.69333287424740564</v>
      </c>
      <c r="AQ53" s="287">
        <f t="shared" ref="AQ53:AQ69" si="64">MAX(MIN(B_1*Tb_eff*(1-$AA53)/(SQRT(2)*$AP$39),10),-10)</f>
        <v>1.3333324504757802</v>
      </c>
      <c r="AR53" s="304">
        <f t="shared" si="54"/>
        <v>0.83658542948794845</v>
      </c>
      <c r="AS53" s="304">
        <f t="shared" si="54"/>
        <v>0.9703266916251112</v>
      </c>
      <c r="AT53" s="305">
        <f t="shared" si="55"/>
        <v>0.80691212111305965</v>
      </c>
      <c r="AU53" s="305">
        <f t="shared" si="56"/>
        <v>0.16341457051205155</v>
      </c>
      <c r="AV53" s="305">
        <f t="shared" si="56"/>
        <v>2.9673308374888796E-2</v>
      </c>
      <c r="AW53" s="320">
        <f t="shared" si="56"/>
        <v>0.19308787888694035</v>
      </c>
    </row>
    <row r="54" spans="1:49" s="71" customFormat="1" ht="15" customHeight="1">
      <c r="A54" s="585"/>
      <c r="B54" s="591"/>
      <c r="C54" s="594"/>
      <c r="D54" s="522"/>
      <c r="E54" s="522"/>
      <c r="F54" s="672"/>
      <c r="G54" s="672"/>
      <c r="H54" s="672"/>
      <c r="I54" s="591"/>
      <c r="J54" s="522"/>
      <c r="K54" s="522"/>
      <c r="L54" s="88" t="s">
        <v>101</v>
      </c>
      <c r="M54" s="97"/>
      <c r="N54" s="97"/>
      <c r="O54" s="751"/>
      <c r="P54" s="751"/>
      <c r="Q54" s="83"/>
      <c r="R54" s="206"/>
      <c r="S54" s="810" t="s">
        <v>172</v>
      </c>
      <c r="T54" s="522"/>
      <c r="U54" s="523"/>
      <c r="V54" s="675"/>
      <c r="W54" s="523"/>
      <c r="X54" s="523"/>
      <c r="Y54" s="525"/>
      <c r="Z54" s="287">
        <f>Z53+$Y$42</f>
        <v>0.39999999999999997</v>
      </c>
      <c r="AA54" s="287">
        <f t="shared" si="46"/>
        <v>0.39473684210526311</v>
      </c>
      <c r="AB54" s="287">
        <f t="shared" si="47"/>
        <v>0.81895128988604138</v>
      </c>
      <c r="AC54" s="287">
        <f t="shared" si="48"/>
        <v>1.2557253111585971</v>
      </c>
      <c r="AD54" s="304">
        <f t="shared" si="49"/>
        <v>0.87660299607433823</v>
      </c>
      <c r="AE54" s="304">
        <f t="shared" si="49"/>
        <v>0.96212230530586151</v>
      </c>
      <c r="AF54" s="305">
        <f t="shared" si="58"/>
        <v>0.83872530138019963</v>
      </c>
      <c r="AG54" s="305">
        <f t="shared" si="59"/>
        <v>0.12339700392566177</v>
      </c>
      <c r="AH54" s="305">
        <f t="shared" si="59"/>
        <v>3.7877694694138486E-2</v>
      </c>
      <c r="AI54" s="305">
        <f t="shared" si="59"/>
        <v>0.16127469861980037</v>
      </c>
      <c r="AJ54" s="287">
        <f t="shared" si="60"/>
        <v>-0.60000000000000009</v>
      </c>
      <c r="AK54" s="287">
        <f t="shared" si="61"/>
        <v>1.4</v>
      </c>
      <c r="AL54" s="287">
        <f t="shared" si="50"/>
        <v>0.2851455246401442</v>
      </c>
      <c r="AM54" s="302">
        <f t="shared" si="51"/>
        <v>0.51485447535985573</v>
      </c>
      <c r="AP54" s="303">
        <f>MAX(MIN(B_1*Tb_eff*($AA54)/(SQRT(2)*$AP$39),10),-10)</f>
        <v>0.79999947028546803</v>
      </c>
      <c r="AQ54" s="287">
        <f>MAX(MIN(B_1*Tb_eff*(1-$AA54)/(SQRT(2)*$AP$39),10),-10)</f>
        <v>1.226665854437718</v>
      </c>
      <c r="AR54" s="304">
        <f t="shared" si="54"/>
        <v>0.8710502376049577</v>
      </c>
      <c r="AS54" s="304">
        <f t="shared" si="54"/>
        <v>0.95860898994581267</v>
      </c>
      <c r="AT54" s="305">
        <f t="shared" si="55"/>
        <v>0.82965922755077037</v>
      </c>
      <c r="AU54" s="305">
        <f t="shared" si="56"/>
        <v>0.1289497623950423</v>
      </c>
      <c r="AV54" s="305">
        <f t="shared" si="56"/>
        <v>4.1391010054187327E-2</v>
      </c>
      <c r="AW54" s="320">
        <f t="shared" si="56"/>
        <v>0.17034077244922963</v>
      </c>
    </row>
    <row r="55" spans="1:49" s="71" customFormat="1" ht="15" customHeight="1">
      <c r="A55" s="585"/>
      <c r="B55" s="591"/>
      <c r="C55" s="594"/>
      <c r="D55" s="522"/>
      <c r="E55" s="522"/>
      <c r="F55" s="672"/>
      <c r="G55" s="672"/>
      <c r="H55" s="672"/>
      <c r="I55" s="591"/>
      <c r="J55" s="522"/>
      <c r="K55" s="522"/>
      <c r="L55" s="83" t="s">
        <v>464</v>
      </c>
      <c r="M55" s="97"/>
      <c r="N55" s="97"/>
      <c r="O55" s="751"/>
      <c r="P55" s="751"/>
      <c r="Q55" s="83"/>
      <c r="R55" s="83"/>
      <c r="S55" s="810" t="s">
        <v>289</v>
      </c>
      <c r="T55" s="522"/>
      <c r="U55" s="523"/>
      <c r="V55" s="675"/>
      <c r="W55" s="523"/>
      <c r="X55" s="523"/>
      <c r="Y55" s="525"/>
      <c r="Z55" s="287">
        <f t="shared" si="57"/>
        <v>0.44999999999999996</v>
      </c>
      <c r="AA55" s="287">
        <f t="shared" si="46"/>
        <v>0.44736842105263153</v>
      </c>
      <c r="AB55" s="287">
        <f t="shared" si="47"/>
        <v>0.92814479520418025</v>
      </c>
      <c r="AC55" s="287">
        <f t="shared" si="48"/>
        <v>1.1465318058404581</v>
      </c>
      <c r="AD55" s="304">
        <f t="shared" si="49"/>
        <v>0.90534022123050817</v>
      </c>
      <c r="AE55" s="304">
        <f t="shared" si="49"/>
        <v>0.94753842318364656</v>
      </c>
      <c r="AF55" s="305">
        <f t="shared" si="58"/>
        <v>0.85287864441415473</v>
      </c>
      <c r="AG55" s="305">
        <f t="shared" si="59"/>
        <v>9.4659778769491831E-2</v>
      </c>
      <c r="AH55" s="305">
        <f t="shared" si="59"/>
        <v>5.2461576816353439E-2</v>
      </c>
      <c r="AI55" s="305">
        <f t="shared" si="59"/>
        <v>0.14712135558584527</v>
      </c>
      <c r="AJ55" s="287">
        <f t="shared" si="60"/>
        <v>-0.55000000000000004</v>
      </c>
      <c r="AK55" s="287">
        <f t="shared" si="61"/>
        <v>1.45</v>
      </c>
      <c r="AL55" s="287">
        <f t="shared" si="50"/>
        <v>0.33514552464014419</v>
      </c>
      <c r="AM55" s="302">
        <f t="shared" si="51"/>
        <v>0.56485447535985567</v>
      </c>
      <c r="AP55" s="303">
        <f>MAX(MIN(B_1*Tb_eff*($AA55)/(SQRT(2)*$AP$39),10),-10)</f>
        <v>0.90666606632353031</v>
      </c>
      <c r="AQ55" s="287">
        <f>MAX(MIN(B_1*Tb_eff*(1-$AA55)/(SQRT(2)*$AP$39),10),-10)</f>
        <v>1.1199992583996554</v>
      </c>
      <c r="AR55" s="304">
        <f t="shared" si="54"/>
        <v>0.90011711810060258</v>
      </c>
      <c r="AS55" s="304">
        <f t="shared" si="54"/>
        <v>0.94339380785386595</v>
      </c>
      <c r="AT55" s="305">
        <f t="shared" si="55"/>
        <v>0.84351092595446842</v>
      </c>
      <c r="AU55" s="305">
        <f t="shared" si="56"/>
        <v>9.9882881899397424E-2</v>
      </c>
      <c r="AV55" s="305">
        <f t="shared" si="56"/>
        <v>5.6606192146134049E-2</v>
      </c>
      <c r="AW55" s="320">
        <f t="shared" si="56"/>
        <v>0.15648907404553158</v>
      </c>
    </row>
    <row r="56" spans="1:49" s="71" customFormat="1" ht="15" customHeight="1">
      <c r="A56" s="715"/>
      <c r="B56" s="687"/>
      <c r="C56" s="689"/>
      <c r="D56" s="684"/>
      <c r="E56" s="684"/>
      <c r="F56" s="685"/>
      <c r="G56" s="685"/>
      <c r="H56" s="685"/>
      <c r="I56" s="687"/>
      <c r="J56" s="684"/>
      <c r="K56" s="684"/>
      <c r="L56" s="684"/>
      <c r="M56" s="685"/>
      <c r="N56" s="688"/>
      <c r="O56" s="688"/>
      <c r="P56" s="688"/>
      <c r="Q56" s="688"/>
      <c r="R56" s="716"/>
      <c r="S56" s="688"/>
      <c r="T56" s="684"/>
      <c r="U56" s="688"/>
      <c r="V56" s="717"/>
      <c r="W56" s="688"/>
      <c r="X56" s="688"/>
      <c r="Y56" s="306"/>
      <c r="Z56" s="287">
        <f>Z55+$Y$42</f>
        <v>0.49999999999999994</v>
      </c>
      <c r="AA56" s="287">
        <f t="shared" si="46"/>
        <v>0.49999999999999994</v>
      </c>
      <c r="AB56" s="287">
        <f t="shared" si="47"/>
        <v>1.0373383005223191</v>
      </c>
      <c r="AC56" s="287">
        <f t="shared" si="48"/>
        <v>1.0373383005223191</v>
      </c>
      <c r="AD56" s="304">
        <f t="shared" si="49"/>
        <v>0.92881438162784768</v>
      </c>
      <c r="AE56" s="304">
        <f t="shared" si="49"/>
        <v>0.92881438162784768</v>
      </c>
      <c r="AF56" s="305">
        <f t="shared" si="58"/>
        <v>0.85762876325569537</v>
      </c>
      <c r="AG56" s="305">
        <f t="shared" si="59"/>
        <v>7.1185618372152315E-2</v>
      </c>
      <c r="AH56" s="305">
        <f t="shared" si="59"/>
        <v>7.1185618372152315E-2</v>
      </c>
      <c r="AI56" s="305">
        <f t="shared" si="59"/>
        <v>0.14237123674430463</v>
      </c>
      <c r="AJ56" s="287">
        <f t="shared" si="60"/>
        <v>-0.5</v>
      </c>
      <c r="AK56" s="287">
        <f t="shared" si="61"/>
        <v>1.5</v>
      </c>
      <c r="AL56" s="287">
        <f t="shared" si="50"/>
        <v>0.38514552464014418</v>
      </c>
      <c r="AM56" s="302">
        <f t="shared" si="51"/>
        <v>0.61485447535985571</v>
      </c>
      <c r="AP56" s="303">
        <f t="shared" si="63"/>
        <v>1.0133326623615928</v>
      </c>
      <c r="AQ56" s="287">
        <f t="shared" si="64"/>
        <v>1.0133326623615928</v>
      </c>
      <c r="AR56" s="304">
        <f t="shared" si="54"/>
        <v>0.92408088795037369</v>
      </c>
      <c r="AS56" s="304">
        <f t="shared" si="54"/>
        <v>0.92408088795037369</v>
      </c>
      <c r="AT56" s="305">
        <f t="shared" si="55"/>
        <v>0.84816177590074737</v>
      </c>
      <c r="AU56" s="305">
        <f t="shared" si="56"/>
        <v>7.5919112049626314E-2</v>
      </c>
      <c r="AV56" s="305">
        <f t="shared" si="56"/>
        <v>7.5919112049626314E-2</v>
      </c>
      <c r="AW56" s="320">
        <f t="shared" si="56"/>
        <v>0.15183822409925263</v>
      </c>
    </row>
    <row r="57" spans="1:49" s="71" customFormat="1" ht="15" customHeight="1">
      <c r="A57" s="585"/>
      <c r="B57" s="591"/>
      <c r="C57" s="594"/>
      <c r="D57" s="522"/>
      <c r="E57" s="522"/>
      <c r="F57" s="672"/>
      <c r="G57" s="672"/>
      <c r="H57" s="672"/>
      <c r="I57" s="591"/>
      <c r="J57" s="522"/>
      <c r="K57" s="522"/>
      <c r="L57" s="684"/>
      <c r="M57" s="672"/>
      <c r="N57" s="523"/>
      <c r="O57" s="523"/>
      <c r="P57" s="523"/>
      <c r="Q57" s="523"/>
      <c r="R57" s="673"/>
      <c r="S57" s="523"/>
      <c r="T57" s="522"/>
      <c r="U57" s="523"/>
      <c r="V57" s="675"/>
      <c r="W57" s="523"/>
      <c r="X57" s="523"/>
      <c r="Y57" s="306"/>
      <c r="Z57" s="287">
        <f t="shared" si="57"/>
        <v>0.54999999999999993</v>
      </c>
      <c r="AA57" s="287">
        <f t="shared" si="46"/>
        <v>0.55263157894736836</v>
      </c>
      <c r="AB57" s="287">
        <f t="shared" si="47"/>
        <v>1.1465318058404579</v>
      </c>
      <c r="AC57" s="287">
        <f t="shared" si="48"/>
        <v>0.92814479520418047</v>
      </c>
      <c r="AD57" s="304">
        <f t="shared" si="49"/>
        <v>0.94753842318364656</v>
      </c>
      <c r="AE57" s="304">
        <f t="shared" si="49"/>
        <v>0.90534022123050817</v>
      </c>
      <c r="AF57" s="305">
        <f t="shared" si="58"/>
        <v>0.85287864441415473</v>
      </c>
      <c r="AG57" s="305">
        <f t="shared" si="59"/>
        <v>5.2461576816353439E-2</v>
      </c>
      <c r="AH57" s="305">
        <f t="shared" si="59"/>
        <v>9.4659778769491831E-2</v>
      </c>
      <c r="AI57" s="305">
        <f t="shared" si="59"/>
        <v>0.14712135558584527</v>
      </c>
      <c r="AJ57" s="287">
        <f t="shared" si="60"/>
        <v>-0.45000000000000007</v>
      </c>
      <c r="AK57" s="287">
        <f t="shared" si="61"/>
        <v>1.5499999999999998</v>
      </c>
      <c r="AL57" s="287">
        <f t="shared" si="50"/>
        <v>0.43514552464014417</v>
      </c>
      <c r="AM57" s="302">
        <f t="shared" si="51"/>
        <v>0.66485447535985565</v>
      </c>
      <c r="AP57" s="303">
        <f t="shared" si="63"/>
        <v>1.1199992583996552</v>
      </c>
      <c r="AQ57" s="287">
        <f t="shared" si="64"/>
        <v>0.90666606632353064</v>
      </c>
      <c r="AR57" s="304">
        <f t="shared" si="54"/>
        <v>0.94339380785386595</v>
      </c>
      <c r="AS57" s="304">
        <f t="shared" si="54"/>
        <v>0.90011711810060258</v>
      </c>
      <c r="AT57" s="305">
        <f t="shared" si="55"/>
        <v>0.84351092595446842</v>
      </c>
      <c r="AU57" s="305">
        <f t="shared" si="56"/>
        <v>5.6606192146134049E-2</v>
      </c>
      <c r="AV57" s="305">
        <f t="shared" si="56"/>
        <v>9.9882881899397424E-2</v>
      </c>
      <c r="AW57" s="320">
        <f t="shared" si="56"/>
        <v>0.15648907404553158</v>
      </c>
    </row>
    <row r="58" spans="1:49" s="71" customFormat="1" ht="15" customHeight="1">
      <c r="A58" s="585"/>
      <c r="B58" s="591"/>
      <c r="C58" s="594"/>
      <c r="D58" s="522"/>
      <c r="E58" s="522"/>
      <c r="F58" s="672"/>
      <c r="G58" s="672"/>
      <c r="H58" s="672"/>
      <c r="I58" s="591"/>
      <c r="J58" s="522"/>
      <c r="K58" s="522"/>
      <c r="L58" s="684"/>
      <c r="M58" s="672"/>
      <c r="N58" s="523"/>
      <c r="O58" s="523"/>
      <c r="P58" s="523"/>
      <c r="Q58" s="523"/>
      <c r="R58" s="673"/>
      <c r="S58" s="523"/>
      <c r="T58" s="522"/>
      <c r="U58" s="523"/>
      <c r="V58" s="675"/>
      <c r="W58" s="523"/>
      <c r="X58" s="523"/>
      <c r="Y58" s="306"/>
      <c r="Z58" s="287">
        <f t="shared" si="57"/>
        <v>0.6</v>
      </c>
      <c r="AA58" s="287">
        <f t="shared" si="46"/>
        <v>0.60526315789473684</v>
      </c>
      <c r="AB58" s="287">
        <f t="shared" si="47"/>
        <v>1.2557253111585969</v>
      </c>
      <c r="AC58" s="287">
        <f t="shared" si="48"/>
        <v>0.81895128988604149</v>
      </c>
      <c r="AD58" s="304">
        <f t="shared" si="49"/>
        <v>0.96212230530586151</v>
      </c>
      <c r="AE58" s="304">
        <f t="shared" si="49"/>
        <v>0.87660299607433823</v>
      </c>
      <c r="AF58" s="305">
        <f t="shared" si="58"/>
        <v>0.83872530138019963</v>
      </c>
      <c r="AG58" s="305">
        <f t="shared" si="59"/>
        <v>3.7877694694138486E-2</v>
      </c>
      <c r="AH58" s="305">
        <f t="shared" si="59"/>
        <v>0.12339700392566177</v>
      </c>
      <c r="AI58" s="305">
        <f t="shared" si="59"/>
        <v>0.16127469861980037</v>
      </c>
      <c r="AJ58" s="287">
        <f t="shared" si="60"/>
        <v>-0.4</v>
      </c>
      <c r="AK58" s="287">
        <f t="shared" si="61"/>
        <v>1.6</v>
      </c>
      <c r="AL58" s="287">
        <f t="shared" si="50"/>
        <v>0.48514552464014421</v>
      </c>
      <c r="AM58" s="302">
        <f t="shared" si="51"/>
        <v>0.71485447535985569</v>
      </c>
      <c r="AP58" s="303">
        <f t="shared" si="63"/>
        <v>1.2266658544377176</v>
      </c>
      <c r="AQ58" s="287">
        <f t="shared" si="64"/>
        <v>0.79999947028546814</v>
      </c>
      <c r="AR58" s="304">
        <f t="shared" si="54"/>
        <v>0.95860898994581267</v>
      </c>
      <c r="AS58" s="304">
        <f t="shared" si="54"/>
        <v>0.8710502376049577</v>
      </c>
      <c r="AT58" s="305">
        <f t="shared" si="55"/>
        <v>0.82965922755077037</v>
      </c>
      <c r="AU58" s="305">
        <f t="shared" si="56"/>
        <v>4.1391010054187327E-2</v>
      </c>
      <c r="AV58" s="305">
        <f t="shared" si="56"/>
        <v>0.1289497623950423</v>
      </c>
      <c r="AW58" s="320">
        <f t="shared" si="56"/>
        <v>0.17034077244922963</v>
      </c>
    </row>
    <row r="59" spans="1:49" s="71" customFormat="1" ht="15" customHeight="1">
      <c r="A59" s="585"/>
      <c r="B59" s="591"/>
      <c r="C59" s="594"/>
      <c r="D59" s="522"/>
      <c r="E59" s="522"/>
      <c r="F59" s="672"/>
      <c r="G59" s="672"/>
      <c r="H59" s="672"/>
      <c r="I59" s="591"/>
      <c r="J59" s="522"/>
      <c r="K59" s="522"/>
      <c r="L59" s="684"/>
      <c r="M59" s="672"/>
      <c r="N59" s="523"/>
      <c r="O59" s="523"/>
      <c r="P59" s="523"/>
      <c r="Q59" s="523"/>
      <c r="R59" s="673"/>
      <c r="S59" s="523"/>
      <c r="T59" s="522"/>
      <c r="U59" s="523"/>
      <c r="V59" s="675"/>
      <c r="W59" s="523"/>
      <c r="X59" s="523"/>
      <c r="Y59" s="306"/>
      <c r="Z59" s="287">
        <f t="shared" si="57"/>
        <v>0.65</v>
      </c>
      <c r="AA59" s="287">
        <f t="shared" si="46"/>
        <v>0.65789473684210531</v>
      </c>
      <c r="AB59" s="287">
        <f t="shared" si="47"/>
        <v>1.3649188164767359</v>
      </c>
      <c r="AC59" s="287">
        <f t="shared" si="48"/>
        <v>0.70975778456790251</v>
      </c>
      <c r="AD59" s="304">
        <f t="shared" si="49"/>
        <v>0.97321433505306199</v>
      </c>
      <c r="AE59" s="304">
        <f t="shared" si="49"/>
        <v>0.84225007046030942</v>
      </c>
      <c r="AF59" s="305">
        <f t="shared" si="58"/>
        <v>0.81546440551337129</v>
      </c>
      <c r="AG59" s="305">
        <f t="shared" si="59"/>
        <v>2.6785664946938015E-2</v>
      </c>
      <c r="AH59" s="305">
        <f t="shared" si="59"/>
        <v>0.15774992953969058</v>
      </c>
      <c r="AI59" s="305">
        <f t="shared" si="59"/>
        <v>0.18453559448662871</v>
      </c>
      <c r="AJ59" s="287">
        <f t="shared" si="60"/>
        <v>-0.35</v>
      </c>
      <c r="AK59" s="287">
        <f t="shared" si="61"/>
        <v>1.65</v>
      </c>
      <c r="AL59" s="287">
        <f t="shared" si="50"/>
        <v>0.53514552464014431</v>
      </c>
      <c r="AM59" s="302">
        <f t="shared" si="51"/>
        <v>0.76485447535985573</v>
      </c>
      <c r="AP59" s="303">
        <f t="shared" si="63"/>
        <v>1.3333324504757802</v>
      </c>
      <c r="AQ59" s="287">
        <f t="shared" si="64"/>
        <v>0.69333287424740564</v>
      </c>
      <c r="AR59" s="304">
        <f t="shared" si="54"/>
        <v>0.9703266916251112</v>
      </c>
      <c r="AS59" s="304">
        <f t="shared" si="54"/>
        <v>0.83658542948794845</v>
      </c>
      <c r="AT59" s="305">
        <f t="shared" si="55"/>
        <v>0.80691212111305965</v>
      </c>
      <c r="AU59" s="305">
        <f t="shared" si="56"/>
        <v>2.9673308374888796E-2</v>
      </c>
      <c r="AV59" s="305">
        <f t="shared" si="56"/>
        <v>0.16341457051205155</v>
      </c>
      <c r="AW59" s="320">
        <f t="shared" si="56"/>
        <v>0.19308787888694035</v>
      </c>
    </row>
    <row r="60" spans="1:49" s="71" customFormat="1" ht="15" customHeight="1">
      <c r="A60" s="585"/>
      <c r="B60" s="591"/>
      <c r="C60" s="594"/>
      <c r="D60" s="522"/>
      <c r="E60" s="522"/>
      <c r="F60" s="672"/>
      <c r="G60" s="672"/>
      <c r="H60" s="672"/>
      <c r="I60" s="591"/>
      <c r="J60" s="522"/>
      <c r="K60" s="522"/>
      <c r="L60" s="684"/>
      <c r="M60" s="672"/>
      <c r="N60" s="523"/>
      <c r="O60" s="523"/>
      <c r="P60" s="523"/>
      <c r="Q60" s="523"/>
      <c r="R60" s="673"/>
      <c r="S60" s="523"/>
      <c r="T60" s="522"/>
      <c r="U60" s="523"/>
      <c r="V60" s="675"/>
      <c r="W60" s="523"/>
      <c r="X60" s="523"/>
      <c r="Y60" s="306"/>
      <c r="Z60" s="287">
        <f t="shared" si="57"/>
        <v>0.70000000000000007</v>
      </c>
      <c r="AA60" s="287">
        <f t="shared" si="46"/>
        <v>0.71052631578947378</v>
      </c>
      <c r="AB60" s="287">
        <f t="shared" si="47"/>
        <v>1.4741123217948746</v>
      </c>
      <c r="AC60" s="287">
        <f t="shared" si="48"/>
        <v>0.60056427924976352</v>
      </c>
      <c r="AD60" s="304">
        <f t="shared" si="49"/>
        <v>0.98145216395617674</v>
      </c>
      <c r="AE60" s="304">
        <f t="shared" si="49"/>
        <v>0.80215008224181039</v>
      </c>
      <c r="AF60" s="305">
        <f t="shared" si="58"/>
        <v>0.78360224619798702</v>
      </c>
      <c r="AG60" s="305">
        <f t="shared" si="59"/>
        <v>1.8547836043823263E-2</v>
      </c>
      <c r="AH60" s="305">
        <f t="shared" si="59"/>
        <v>0.19784991775818961</v>
      </c>
      <c r="AI60" s="305">
        <f t="shared" si="59"/>
        <v>0.21639775380201298</v>
      </c>
      <c r="AJ60" s="287">
        <f t="shared" si="60"/>
        <v>-0.29999999999999993</v>
      </c>
      <c r="AK60" s="287">
        <f t="shared" si="61"/>
        <v>1.7000000000000002</v>
      </c>
      <c r="AL60" s="287">
        <f t="shared" si="50"/>
        <v>0.58514552464014435</v>
      </c>
      <c r="AM60" s="302">
        <f t="shared" si="51"/>
        <v>0.81485447535985578</v>
      </c>
      <c r="AP60" s="303">
        <f t="shared" si="63"/>
        <v>1.4399990465138426</v>
      </c>
      <c r="AQ60" s="287">
        <f t="shared" si="64"/>
        <v>0.58666627820934303</v>
      </c>
      <c r="AR60" s="304">
        <f t="shared" si="54"/>
        <v>0.9791482148648174</v>
      </c>
      <c r="AS60" s="304">
        <f t="shared" si="54"/>
        <v>0.7966377037671899</v>
      </c>
      <c r="AT60" s="305">
        <f t="shared" si="55"/>
        <v>0.7757859186320073</v>
      </c>
      <c r="AU60" s="305">
        <f t="shared" si="56"/>
        <v>2.0851785135182599E-2</v>
      </c>
      <c r="AV60" s="305">
        <f t="shared" si="56"/>
        <v>0.2033622962328101</v>
      </c>
      <c r="AW60" s="320">
        <f t="shared" si="56"/>
        <v>0.2242140813679927</v>
      </c>
    </row>
    <row r="61" spans="1:49" s="71" customFormat="1" ht="15" customHeight="1">
      <c r="A61" s="715"/>
      <c r="B61" s="687"/>
      <c r="C61" s="724"/>
      <c r="D61" s="684"/>
      <c r="E61" s="684"/>
      <c r="F61" s="685"/>
      <c r="G61" s="685"/>
      <c r="H61" s="685"/>
      <c r="I61" s="687"/>
      <c r="J61" s="684"/>
      <c r="K61" s="684"/>
      <c r="L61" s="684"/>
      <c r="M61" s="685"/>
      <c r="N61" s="688"/>
      <c r="O61" s="688"/>
      <c r="P61" s="688"/>
      <c r="Q61" s="688"/>
      <c r="R61" s="716"/>
      <c r="S61" s="688"/>
      <c r="T61" s="684"/>
      <c r="U61" s="688"/>
      <c r="V61" s="717"/>
      <c r="W61" s="688"/>
      <c r="X61" s="688"/>
      <c r="Y61" s="306"/>
      <c r="Z61" s="287">
        <f t="shared" si="57"/>
        <v>0.75000000000000011</v>
      </c>
      <c r="AA61" s="287">
        <f t="shared" si="46"/>
        <v>0.76315789473684226</v>
      </c>
      <c r="AB61" s="287">
        <f t="shared" si="47"/>
        <v>1.5833058271130136</v>
      </c>
      <c r="AC61" s="287">
        <f t="shared" si="48"/>
        <v>0.49137077393162454</v>
      </c>
      <c r="AD61" s="304">
        <f t="shared" si="49"/>
        <v>0.9874263522349056</v>
      </c>
      <c r="AE61" s="304">
        <f t="shared" si="49"/>
        <v>0.75644201969115765</v>
      </c>
      <c r="AF61" s="305">
        <f t="shared" si="58"/>
        <v>0.74386837192606325</v>
      </c>
      <c r="AG61" s="305">
        <f t="shared" si="59"/>
        <v>1.2573647765094398E-2</v>
      </c>
      <c r="AH61" s="305">
        <f t="shared" si="59"/>
        <v>0.24355798030884235</v>
      </c>
      <c r="AI61" s="305">
        <f t="shared" si="59"/>
        <v>0.25613162807393675</v>
      </c>
      <c r="AJ61" s="287">
        <f t="shared" si="60"/>
        <v>-0.24999999999999989</v>
      </c>
      <c r="AK61" s="287">
        <f t="shared" si="61"/>
        <v>1.75</v>
      </c>
      <c r="AL61" s="287">
        <f t="shared" si="50"/>
        <v>0.6351455246401444</v>
      </c>
      <c r="AM61" s="302">
        <f t="shared" si="51"/>
        <v>0.86485447535985582</v>
      </c>
      <c r="AP61" s="303">
        <f t="shared" si="63"/>
        <v>1.5466656425519052</v>
      </c>
      <c r="AQ61" s="287">
        <f t="shared" si="64"/>
        <v>0.47999968217128053</v>
      </c>
      <c r="AR61" s="304">
        <f t="shared" si="54"/>
        <v>0.98564024975385067</v>
      </c>
      <c r="AS61" s="304">
        <f t="shared" si="54"/>
        <v>0.75137469243462629</v>
      </c>
      <c r="AT61" s="305">
        <f t="shared" si="55"/>
        <v>0.73701494218847685</v>
      </c>
      <c r="AU61" s="305">
        <f t="shared" si="56"/>
        <v>1.4359750246149328E-2</v>
      </c>
      <c r="AV61" s="305">
        <f t="shared" si="56"/>
        <v>0.24862530756537371</v>
      </c>
      <c r="AW61" s="320">
        <f t="shared" si="56"/>
        <v>0.26298505781152315</v>
      </c>
    </row>
    <row r="62" spans="1:49" s="71" customFormat="1" ht="15" customHeight="1">
      <c r="A62" s="585"/>
      <c r="B62" s="591"/>
      <c r="C62" s="747"/>
      <c r="D62" s="522"/>
      <c r="E62" s="522"/>
      <c r="F62" s="672"/>
      <c r="G62" s="672"/>
      <c r="H62" s="672"/>
      <c r="I62" s="591"/>
      <c r="J62" s="522"/>
      <c r="K62" s="522"/>
      <c r="L62" s="522"/>
      <c r="M62" s="672"/>
      <c r="N62" s="523"/>
      <c r="O62" s="523"/>
      <c r="P62" s="688"/>
      <c r="Q62" s="688"/>
      <c r="R62" s="673"/>
      <c r="S62" s="523"/>
      <c r="T62" s="522"/>
      <c r="U62" s="523"/>
      <c r="V62" s="675"/>
      <c r="W62" s="523"/>
      <c r="X62" s="523"/>
      <c r="Y62" s="306"/>
      <c r="Z62" s="287">
        <f t="shared" si="57"/>
        <v>0.80000000000000016</v>
      </c>
      <c r="AA62" s="287">
        <f t="shared" si="46"/>
        <v>0.81578947368421062</v>
      </c>
      <c r="AB62" s="287">
        <f t="shared" si="47"/>
        <v>1.6924993324311528</v>
      </c>
      <c r="AC62" s="287">
        <f t="shared" si="48"/>
        <v>0.38217726861348583</v>
      </c>
      <c r="AD62" s="304">
        <f t="shared" si="49"/>
        <v>0.99165702138699963</v>
      </c>
      <c r="AE62" s="304">
        <f t="shared" si="49"/>
        <v>0.70556706940179736</v>
      </c>
      <c r="AF62" s="305">
        <f t="shared" si="58"/>
        <v>0.69722409078879699</v>
      </c>
      <c r="AG62" s="305">
        <f t="shared" si="59"/>
        <v>8.3429786130003736E-3</v>
      </c>
      <c r="AH62" s="305">
        <f t="shared" si="59"/>
        <v>0.29443293059820264</v>
      </c>
      <c r="AI62" s="305">
        <f t="shared" si="59"/>
        <v>0.30277590921120301</v>
      </c>
      <c r="AJ62" s="287">
        <f t="shared" si="60"/>
        <v>-0.19999999999999984</v>
      </c>
      <c r="AK62" s="287">
        <f t="shared" si="61"/>
        <v>1.8000000000000003</v>
      </c>
      <c r="AL62" s="287">
        <f t="shared" si="50"/>
        <v>0.68514552464014444</v>
      </c>
      <c r="AM62" s="302">
        <f t="shared" si="51"/>
        <v>0.91485447535985587</v>
      </c>
      <c r="AP62" s="303">
        <f t="shared" si="63"/>
        <v>1.6533322385899676</v>
      </c>
      <c r="AQ62" s="287">
        <f t="shared" si="64"/>
        <v>0.37333308613321825</v>
      </c>
      <c r="AR62" s="304">
        <f t="shared" si="54"/>
        <v>0.99031065072414082</v>
      </c>
      <c r="AS62" s="304">
        <f t="shared" si="54"/>
        <v>0.70124086200258207</v>
      </c>
      <c r="AT62" s="305">
        <f t="shared" si="55"/>
        <v>0.69155151272672288</v>
      </c>
      <c r="AU62" s="305">
        <f t="shared" si="56"/>
        <v>9.6893492758591826E-3</v>
      </c>
      <c r="AV62" s="305">
        <f t="shared" si="56"/>
        <v>0.29875913799741793</v>
      </c>
      <c r="AW62" s="320">
        <f t="shared" si="56"/>
        <v>0.30844848727327712</v>
      </c>
    </row>
    <row r="63" spans="1:49" s="71" customFormat="1" ht="15" customHeight="1">
      <c r="A63" s="585"/>
      <c r="B63" s="591"/>
      <c r="C63" s="594"/>
      <c r="D63" s="522"/>
      <c r="E63" s="522"/>
      <c r="F63" s="672"/>
      <c r="G63" s="672"/>
      <c r="H63" s="672"/>
      <c r="I63" s="591"/>
      <c r="J63" s="522"/>
      <c r="K63" s="522"/>
      <c r="L63" s="522"/>
      <c r="M63" s="672"/>
      <c r="N63" s="523"/>
      <c r="O63" s="523"/>
      <c r="P63" s="688"/>
      <c r="Q63" s="688"/>
      <c r="R63" s="673"/>
      <c r="S63" s="523"/>
      <c r="T63" s="522"/>
      <c r="U63" s="523"/>
      <c r="V63" s="675"/>
      <c r="W63" s="523"/>
      <c r="X63" s="523"/>
      <c r="Y63" s="306"/>
      <c r="Z63" s="287">
        <f t="shared" si="57"/>
        <v>0.8500000000000002</v>
      </c>
      <c r="AA63" s="287">
        <f t="shared" si="46"/>
        <v>0.8684210526315792</v>
      </c>
      <c r="AB63" s="287">
        <f t="shared" si="47"/>
        <v>1.8016928377492918</v>
      </c>
      <c r="AC63" s="287">
        <f t="shared" si="48"/>
        <v>0.27298376329534663</v>
      </c>
      <c r="AD63" s="304">
        <f t="shared" si="49"/>
        <v>0.99458254134928747</v>
      </c>
      <c r="AE63" s="304">
        <f t="shared" si="49"/>
        <v>0.65027289858792159</v>
      </c>
      <c r="AF63" s="305">
        <f t="shared" si="58"/>
        <v>0.64485543993720906</v>
      </c>
      <c r="AG63" s="305">
        <f t="shared" si="59"/>
        <v>5.4174586507125255E-3</v>
      </c>
      <c r="AH63" s="305">
        <f t="shared" si="59"/>
        <v>0.34972710141207841</v>
      </c>
      <c r="AI63" s="305">
        <f t="shared" si="59"/>
        <v>0.35514456006279094</v>
      </c>
      <c r="AJ63" s="287">
        <f t="shared" si="60"/>
        <v>-0.1499999999999998</v>
      </c>
      <c r="AK63" s="287">
        <f t="shared" si="61"/>
        <v>1.85</v>
      </c>
      <c r="AL63" s="287">
        <f t="shared" si="50"/>
        <v>0.73514552464014449</v>
      </c>
      <c r="AM63" s="302">
        <f t="shared" si="51"/>
        <v>0.96485447535985591</v>
      </c>
      <c r="AP63" s="303">
        <f t="shared" si="63"/>
        <v>1.7599988346280302</v>
      </c>
      <c r="AQ63" s="287">
        <f t="shared" si="64"/>
        <v>0.26666649009515553</v>
      </c>
      <c r="AR63" s="304">
        <f t="shared" si="54"/>
        <v>0.99359510726055622</v>
      </c>
      <c r="AS63" s="304">
        <f t="shared" si="54"/>
        <v>0.64695903659301801</v>
      </c>
      <c r="AT63" s="305">
        <f t="shared" si="55"/>
        <v>0.64055414385357423</v>
      </c>
      <c r="AU63" s="305">
        <f t="shared" si="56"/>
        <v>6.4048927394437793E-3</v>
      </c>
      <c r="AV63" s="305">
        <f t="shared" si="56"/>
        <v>0.35304096340698199</v>
      </c>
      <c r="AW63" s="320">
        <f t="shared" si="56"/>
        <v>0.35944585614642577</v>
      </c>
    </row>
    <row r="64" spans="1:49" s="71" customFormat="1" ht="15" customHeight="1">
      <c r="A64" s="585"/>
      <c r="B64" s="591"/>
      <c r="C64" s="594"/>
      <c r="D64" s="522"/>
      <c r="E64" s="522"/>
      <c r="F64" s="672"/>
      <c r="G64" s="672"/>
      <c r="H64" s="672"/>
      <c r="I64" s="591"/>
      <c r="J64" s="522"/>
      <c r="K64" s="522"/>
      <c r="L64" s="522"/>
      <c r="M64" s="672"/>
      <c r="N64" s="523"/>
      <c r="O64" s="523"/>
      <c r="P64" s="688"/>
      <c r="Q64" s="688"/>
      <c r="R64" s="673"/>
      <c r="S64" s="523"/>
      <c r="T64" s="522"/>
      <c r="U64" s="523"/>
      <c r="V64" s="675"/>
      <c r="W64" s="523"/>
      <c r="X64" s="523"/>
      <c r="Y64" s="306"/>
      <c r="Z64" s="287">
        <f t="shared" si="57"/>
        <v>0.90000000000000024</v>
      </c>
      <c r="AA64" s="287">
        <f t="shared" si="46"/>
        <v>0.92105263157894757</v>
      </c>
      <c r="AB64" s="287">
        <f t="shared" si="47"/>
        <v>1.9108863430674303</v>
      </c>
      <c r="AC64" s="287">
        <f t="shared" si="48"/>
        <v>0.16379025797720789</v>
      </c>
      <c r="AD64" s="304">
        <f t="shared" si="49"/>
        <v>0.99655796976992439</v>
      </c>
      <c r="AE64" s="304">
        <f t="shared" si="49"/>
        <v>0.5915890082676114</v>
      </c>
      <c r="AF64" s="305">
        <f t="shared" si="58"/>
        <v>0.58814697803753591</v>
      </c>
      <c r="AG64" s="305">
        <f t="shared" si="59"/>
        <v>3.44203023007561E-3</v>
      </c>
      <c r="AH64" s="305">
        <f t="shared" si="59"/>
        <v>0.4084109917323886</v>
      </c>
      <c r="AI64" s="305">
        <f t="shared" si="59"/>
        <v>0.41185302196246409</v>
      </c>
      <c r="AJ64" s="287">
        <f t="shared" si="60"/>
        <v>-9.9999999999999756E-2</v>
      </c>
      <c r="AK64" s="287">
        <f t="shared" si="61"/>
        <v>1.9000000000000004</v>
      </c>
      <c r="AL64" s="287">
        <f t="shared" si="50"/>
        <v>0.78514552464014453</v>
      </c>
      <c r="AM64" s="302">
        <f t="shared" si="51"/>
        <v>1.0148544753598561</v>
      </c>
      <c r="AP64" s="303">
        <f t="shared" si="63"/>
        <v>1.8666654306660924</v>
      </c>
      <c r="AQ64" s="287">
        <f t="shared" si="64"/>
        <v>0.15999989405709322</v>
      </c>
      <c r="AR64" s="304">
        <f t="shared" si="54"/>
        <v>0.99585302939517284</v>
      </c>
      <c r="AS64" s="304">
        <f t="shared" si="54"/>
        <v>0.5895058483291109</v>
      </c>
      <c r="AT64" s="305">
        <f t="shared" si="55"/>
        <v>0.58535887772428374</v>
      </c>
      <c r="AU64" s="305">
        <f t="shared" si="56"/>
        <v>4.1469706048271604E-3</v>
      </c>
      <c r="AV64" s="305">
        <f t="shared" si="56"/>
        <v>0.4104941516708891</v>
      </c>
      <c r="AW64" s="320">
        <f t="shared" si="56"/>
        <v>0.41464112227571626</v>
      </c>
    </row>
    <row r="65" spans="1:49" s="71" customFormat="1" ht="15" customHeight="1">
      <c r="A65" s="585"/>
      <c r="B65" s="591"/>
      <c r="C65" s="594"/>
      <c r="D65" s="522"/>
      <c r="E65" s="522"/>
      <c r="F65" s="672"/>
      <c r="G65" s="672"/>
      <c r="H65" s="672"/>
      <c r="I65" s="591"/>
      <c r="J65" s="522"/>
      <c r="K65" s="522"/>
      <c r="L65" s="522"/>
      <c r="M65" s="672"/>
      <c r="N65" s="523"/>
      <c r="O65" s="523"/>
      <c r="P65" s="688"/>
      <c r="Q65" s="688"/>
      <c r="R65" s="673"/>
      <c r="S65" s="523"/>
      <c r="T65" s="522"/>
      <c r="U65" s="523"/>
      <c r="V65" s="675"/>
      <c r="W65" s="523"/>
      <c r="X65" s="523"/>
      <c r="Y65" s="306"/>
      <c r="Z65" s="287">
        <f t="shared" si="57"/>
        <v>0.95000000000000029</v>
      </c>
      <c r="AA65" s="287">
        <f t="shared" si="46"/>
        <v>0.97368421052631604</v>
      </c>
      <c r="AB65" s="287">
        <f t="shared" si="47"/>
        <v>2.0200798483855693</v>
      </c>
      <c r="AC65" s="287">
        <f t="shared" si="48"/>
        <v>5.4596752659068909E-2</v>
      </c>
      <c r="AD65" s="304">
        <f t="shared" si="49"/>
        <v>0.99786048686956852</v>
      </c>
      <c r="AE65" s="304">
        <f t="shared" si="49"/>
        <v>0.53077234065742385</v>
      </c>
      <c r="AF65" s="305">
        <f t="shared" si="58"/>
        <v>0.52863282752699225</v>
      </c>
      <c r="AG65" s="305">
        <f>1-AD65</f>
        <v>2.1395131304314807E-3</v>
      </c>
      <c r="AH65" s="305">
        <f t="shared" ref="AH65:AI69" si="65">1-AE65</f>
        <v>0.46922765934257615</v>
      </c>
      <c r="AI65" s="305">
        <f t="shared" si="65"/>
        <v>0.47136717247300775</v>
      </c>
      <c r="AJ65" s="287">
        <f t="shared" si="60"/>
        <v>-4.9999999999999711E-2</v>
      </c>
      <c r="AK65" s="287">
        <f t="shared" si="61"/>
        <v>1.9500000000000002</v>
      </c>
      <c r="AL65" s="287">
        <f t="shared" si="50"/>
        <v>0.83514552464014458</v>
      </c>
      <c r="AM65" s="302">
        <f t="shared" si="51"/>
        <v>1.0648544753598561</v>
      </c>
      <c r="AP65" s="303">
        <f t="shared" si="63"/>
        <v>1.973332026704155</v>
      </c>
      <c r="AQ65" s="287">
        <f t="shared" si="64"/>
        <v>5.3333298019030695E-2</v>
      </c>
      <c r="AR65" s="304">
        <f t="shared" si="54"/>
        <v>0.99737039496708058</v>
      </c>
      <c r="AS65" s="304">
        <f t="shared" si="54"/>
        <v>0.5300615856990768</v>
      </c>
      <c r="AT65" s="305">
        <f t="shared" si="55"/>
        <v>0.52743198066615737</v>
      </c>
      <c r="AU65" s="305">
        <f t="shared" si="56"/>
        <v>2.6296050329194243E-3</v>
      </c>
      <c r="AV65" s="305">
        <f t="shared" si="56"/>
        <v>0.4699384143009232</v>
      </c>
      <c r="AW65" s="320">
        <f t="shared" si="56"/>
        <v>0.47256801933384263</v>
      </c>
    </row>
    <row r="66" spans="1:49" s="71" customFormat="1" ht="15" customHeight="1">
      <c r="A66" s="585"/>
      <c r="B66" s="591"/>
      <c r="C66" s="594"/>
      <c r="D66" s="522"/>
      <c r="E66" s="522"/>
      <c r="F66" s="672"/>
      <c r="G66" s="672"/>
      <c r="H66" s="672"/>
      <c r="I66" s="591"/>
      <c r="J66" s="522"/>
      <c r="K66" s="522"/>
      <c r="L66" s="522"/>
      <c r="M66" s="672"/>
      <c r="N66" s="523"/>
      <c r="O66" s="523"/>
      <c r="P66" s="688"/>
      <c r="Q66" s="688"/>
      <c r="R66" s="673"/>
      <c r="S66" s="523"/>
      <c r="T66" s="522"/>
      <c r="U66" s="523"/>
      <c r="V66" s="675"/>
      <c r="W66" s="523"/>
      <c r="X66" s="523"/>
      <c r="Y66" s="306"/>
      <c r="Z66" s="287">
        <f t="shared" si="57"/>
        <v>1.0000000000000002</v>
      </c>
      <c r="AA66" s="287">
        <f t="shared" si="46"/>
        <v>1.0263157894736845</v>
      </c>
      <c r="AB66" s="287">
        <f t="shared" si="47"/>
        <v>2.1292733537037085</v>
      </c>
      <c r="AC66" s="287">
        <f t="shared" si="48"/>
        <v>-5.4596752659070061E-2</v>
      </c>
      <c r="AD66" s="304">
        <f t="shared" si="49"/>
        <v>0.99869911547460388</v>
      </c>
      <c r="AE66" s="304" t="e">
        <f t="shared" si="49"/>
        <v>#NUM!</v>
      </c>
      <c r="AF66" s="305" t="e">
        <f t="shared" si="58"/>
        <v>#NUM!</v>
      </c>
      <c r="AG66" s="305">
        <f>1-AD66</f>
        <v>1.3008845253961177E-3</v>
      </c>
      <c r="AH66" s="305" t="e">
        <f t="shared" si="65"/>
        <v>#NUM!</v>
      </c>
      <c r="AI66" s="305" t="e">
        <f t="shared" si="65"/>
        <v>#NUM!</v>
      </c>
      <c r="AJ66" s="287">
        <f t="shared" si="60"/>
        <v>0</v>
      </c>
      <c r="AK66" s="287">
        <f t="shared" si="61"/>
        <v>2</v>
      </c>
      <c r="AL66" s="287">
        <f t="shared" si="50"/>
        <v>0.88514552464014451</v>
      </c>
      <c r="AM66" s="302">
        <f t="shared" si="51"/>
        <v>1.1148544753598559</v>
      </c>
      <c r="AP66" s="303">
        <f t="shared" si="63"/>
        <v>2.0799986227422176</v>
      </c>
      <c r="AQ66" s="287">
        <f t="shared" si="64"/>
        <v>-5.3333298019031819E-2</v>
      </c>
      <c r="AR66" s="304">
        <f t="shared" si="54"/>
        <v>0.99836719401510843</v>
      </c>
      <c r="AS66" s="304" t="e">
        <f t="shared" si="54"/>
        <v>#NUM!</v>
      </c>
      <c r="AT66" s="305" t="e">
        <f t="shared" si="55"/>
        <v>#NUM!</v>
      </c>
      <c r="AU66" s="305">
        <f t="shared" si="56"/>
        <v>1.6328059848915721E-3</v>
      </c>
      <c r="AV66" s="305" t="e">
        <f t="shared" si="56"/>
        <v>#NUM!</v>
      </c>
      <c r="AW66" s="320" t="e">
        <f t="shared" si="56"/>
        <v>#NUM!</v>
      </c>
    </row>
    <row r="67" spans="1:49" s="71" customFormat="1" ht="16.5">
      <c r="A67" s="715"/>
      <c r="B67" s="687"/>
      <c r="C67" s="724"/>
      <c r="D67" s="684"/>
      <c r="E67" s="684"/>
      <c r="F67" s="685"/>
      <c r="G67" s="685"/>
      <c r="H67" s="685"/>
      <c r="I67" s="687"/>
      <c r="J67" s="684"/>
      <c r="K67" s="684"/>
      <c r="L67" s="684"/>
      <c r="M67" s="685"/>
      <c r="N67" s="688"/>
      <c r="O67" s="688"/>
      <c r="P67" s="688"/>
      <c r="Q67" s="688"/>
      <c r="R67" s="716"/>
      <c r="S67" s="688"/>
      <c r="T67" s="684"/>
      <c r="U67" s="688"/>
      <c r="V67" s="717"/>
      <c r="W67" s="688"/>
      <c r="X67" s="688"/>
      <c r="Y67" s="306"/>
      <c r="Z67" s="287">
        <f t="shared" si="57"/>
        <v>1.0500000000000003</v>
      </c>
      <c r="AA67" s="287">
        <f t="shared" si="46"/>
        <v>1.0789473684210529</v>
      </c>
      <c r="AB67" s="287">
        <f t="shared" si="47"/>
        <v>2.2384668590218468</v>
      </c>
      <c r="AC67" s="287">
        <f t="shared" si="48"/>
        <v>-0.16379025797720881</v>
      </c>
      <c r="AD67" s="304">
        <f t="shared" si="49"/>
        <v>0.99922636937172093</v>
      </c>
      <c r="AE67" s="304" t="e">
        <f t="shared" si="49"/>
        <v>#NUM!</v>
      </c>
      <c r="AF67" s="305" t="e">
        <f t="shared" si="58"/>
        <v>#NUM!</v>
      </c>
      <c r="AG67" s="305">
        <f>1-AD67</f>
        <v>7.7363062827906504E-4</v>
      </c>
      <c r="AH67" s="305" t="e">
        <f t="shared" si="65"/>
        <v>#NUM!</v>
      </c>
      <c r="AI67" s="305" t="e">
        <f t="shared" si="65"/>
        <v>#NUM!</v>
      </c>
      <c r="AJ67" s="287">
        <f t="shared" si="60"/>
        <v>5.0000000000000266E-2</v>
      </c>
      <c r="AK67" s="287">
        <f t="shared" si="61"/>
        <v>2.0500000000000003</v>
      </c>
      <c r="AL67" s="287">
        <f t="shared" si="50"/>
        <v>0.93514552464014455</v>
      </c>
      <c r="AM67" s="302">
        <f t="shared" si="51"/>
        <v>1.164854475359856</v>
      </c>
      <c r="AP67" s="303">
        <f t="shared" si="63"/>
        <v>2.1866652187802798</v>
      </c>
      <c r="AQ67" s="287">
        <f t="shared" si="64"/>
        <v>-0.15999989405709411</v>
      </c>
      <c r="AR67" s="304">
        <f t="shared" si="54"/>
        <v>0.99900731323470993</v>
      </c>
      <c r="AS67" s="304" t="e">
        <f t="shared" si="54"/>
        <v>#NUM!</v>
      </c>
      <c r="AT67" s="305" t="e">
        <f t="shared" si="55"/>
        <v>#NUM!</v>
      </c>
      <c r="AU67" s="305">
        <f t="shared" si="56"/>
        <v>9.9268676529007394E-4</v>
      </c>
      <c r="AV67" s="305" t="e">
        <f t="shared" si="56"/>
        <v>#NUM!</v>
      </c>
      <c r="AW67" s="320" t="e">
        <f t="shared" si="56"/>
        <v>#NUM!</v>
      </c>
    </row>
    <row r="68" spans="1:49" s="71" customFormat="1" ht="16.5">
      <c r="A68" s="585"/>
      <c r="B68" s="591"/>
      <c r="C68" s="594"/>
      <c r="D68" s="684"/>
      <c r="E68" s="522"/>
      <c r="F68" s="672"/>
      <c r="G68" s="672"/>
      <c r="H68" s="672"/>
      <c r="I68" s="591"/>
      <c r="J68" s="522"/>
      <c r="K68" s="522"/>
      <c r="L68" s="522"/>
      <c r="M68" s="672"/>
      <c r="N68" s="523"/>
      <c r="O68" s="523"/>
      <c r="P68" s="523"/>
      <c r="Q68" s="523"/>
      <c r="R68" s="673"/>
      <c r="S68" s="523"/>
      <c r="T68" s="522"/>
      <c r="U68" s="523"/>
      <c r="V68" s="675"/>
      <c r="W68" s="523"/>
      <c r="X68" s="523"/>
      <c r="Y68" s="306"/>
      <c r="Z68" s="287">
        <f t="shared" si="57"/>
        <v>1.1000000000000003</v>
      </c>
      <c r="AA68" s="287">
        <f t="shared" si="46"/>
        <v>1.1315789473684212</v>
      </c>
      <c r="AB68" s="287">
        <f t="shared" si="47"/>
        <v>2.347660364339986</v>
      </c>
      <c r="AC68" s="287">
        <f t="shared" si="48"/>
        <v>-0.27298376329534757</v>
      </c>
      <c r="AD68" s="304">
        <f t="shared" si="49"/>
        <v>0.99955006286703796</v>
      </c>
      <c r="AE68" s="304" t="e">
        <f t="shared" si="49"/>
        <v>#NUM!</v>
      </c>
      <c r="AF68" s="305" t="e">
        <f t="shared" si="58"/>
        <v>#NUM!</v>
      </c>
      <c r="AG68" s="305">
        <f>1-AD68</f>
        <v>4.4993713296204163E-4</v>
      </c>
      <c r="AH68" s="305" t="e">
        <f t="shared" si="65"/>
        <v>#NUM!</v>
      </c>
      <c r="AI68" s="305" t="e">
        <f t="shared" si="65"/>
        <v>#NUM!</v>
      </c>
      <c r="AJ68" s="287">
        <f t="shared" si="60"/>
        <v>0.10000000000000031</v>
      </c>
      <c r="AK68" s="287">
        <f t="shared" si="61"/>
        <v>2.1000000000000005</v>
      </c>
      <c r="AL68" s="287">
        <f t="shared" si="50"/>
        <v>0.9851455246401446</v>
      </c>
      <c r="AM68" s="302">
        <f t="shared" si="51"/>
        <v>1.214854475359856</v>
      </c>
      <c r="AP68" s="303">
        <f t="shared" si="63"/>
        <v>2.2933318148183424</v>
      </c>
      <c r="AQ68" s="287">
        <f t="shared" si="64"/>
        <v>-0.26666649009515642</v>
      </c>
      <c r="AR68" s="304">
        <f t="shared" si="54"/>
        <v>0.99940915035612643</v>
      </c>
      <c r="AS68" s="304" t="e">
        <f t="shared" si="54"/>
        <v>#NUM!</v>
      </c>
      <c r="AT68" s="305" t="e">
        <f t="shared" si="55"/>
        <v>#NUM!</v>
      </c>
      <c r="AU68" s="305">
        <f t="shared" si="56"/>
        <v>5.9084964387356997E-4</v>
      </c>
      <c r="AV68" s="305" t="e">
        <f t="shared" si="56"/>
        <v>#NUM!</v>
      </c>
      <c r="AW68" s="320" t="e">
        <f t="shared" si="56"/>
        <v>#NUM!</v>
      </c>
    </row>
    <row r="69" spans="1:49" s="71" customFormat="1" ht="16.5">
      <c r="A69" s="585"/>
      <c r="B69" s="591"/>
      <c r="C69" s="594"/>
      <c r="D69" s="684"/>
      <c r="E69" s="522"/>
      <c r="F69" s="672"/>
      <c r="G69" s="672"/>
      <c r="H69" s="672"/>
      <c r="I69" s="591"/>
      <c r="J69" s="522"/>
      <c r="K69" s="522"/>
      <c r="L69" s="522"/>
      <c r="M69" s="672"/>
      <c r="N69" s="523"/>
      <c r="O69" s="523"/>
      <c r="P69" s="523"/>
      <c r="Q69" s="523"/>
      <c r="R69" s="673"/>
      <c r="S69" s="523"/>
      <c r="T69" s="522"/>
      <c r="U69" s="523"/>
      <c r="V69" s="675"/>
      <c r="W69" s="523"/>
      <c r="X69" s="523"/>
      <c r="Y69" s="307"/>
      <c r="Z69" s="308">
        <f t="shared" si="57"/>
        <v>1.1500000000000004</v>
      </c>
      <c r="AA69" s="308">
        <f t="shared" si="46"/>
        <v>1.1842105263157898</v>
      </c>
      <c r="AB69" s="308">
        <f t="shared" si="47"/>
        <v>2.4568538696581252</v>
      </c>
      <c r="AC69" s="308">
        <f t="shared" si="48"/>
        <v>-0.38217726861348672</v>
      </c>
      <c r="AD69" s="309">
        <f t="shared" si="49"/>
        <v>0.99974411213620118</v>
      </c>
      <c r="AE69" s="309" t="e">
        <f t="shared" si="49"/>
        <v>#NUM!</v>
      </c>
      <c r="AF69" s="310" t="e">
        <f t="shared" si="58"/>
        <v>#NUM!</v>
      </c>
      <c r="AG69" s="310">
        <f>1-AD69</f>
        <v>2.5588786379882045E-4</v>
      </c>
      <c r="AH69" s="310" t="e">
        <f t="shared" si="65"/>
        <v>#NUM!</v>
      </c>
      <c r="AI69" s="310" t="e">
        <f t="shared" si="65"/>
        <v>#NUM!</v>
      </c>
      <c r="AJ69" s="308">
        <f t="shared" si="60"/>
        <v>0.15000000000000036</v>
      </c>
      <c r="AK69" s="308">
        <f t="shared" si="61"/>
        <v>2.1500000000000004</v>
      </c>
      <c r="AL69" s="308">
        <f t="shared" si="50"/>
        <v>1.0351455246401446</v>
      </c>
      <c r="AM69" s="311">
        <f t="shared" si="51"/>
        <v>1.2648544753598561</v>
      </c>
      <c r="AP69" s="321">
        <f t="shared" si="63"/>
        <v>2.399998410856405</v>
      </c>
      <c r="AQ69" s="308">
        <f t="shared" si="64"/>
        <v>-0.37333308613321914</v>
      </c>
      <c r="AR69" s="309">
        <f t="shared" si="54"/>
        <v>0.99965574022028358</v>
      </c>
      <c r="AS69" s="309" t="e">
        <f t="shared" si="54"/>
        <v>#NUM!</v>
      </c>
      <c r="AT69" s="310" t="e">
        <f t="shared" si="55"/>
        <v>#NUM!</v>
      </c>
      <c r="AU69" s="310">
        <f t="shared" si="56"/>
        <v>3.4425977971641597E-4</v>
      </c>
      <c r="AV69" s="310" t="e">
        <f t="shared" si="56"/>
        <v>#NUM!</v>
      </c>
      <c r="AW69" s="322" t="e">
        <f t="shared" si="56"/>
        <v>#NUM!</v>
      </c>
    </row>
    <row r="70" spans="1:49" ht="16.5">
      <c r="A70" s="585"/>
      <c r="B70" s="591"/>
      <c r="C70" s="594"/>
      <c r="D70" s="684"/>
      <c r="E70" s="522"/>
      <c r="F70" s="672"/>
      <c r="G70" s="672"/>
      <c r="H70" s="672"/>
      <c r="I70" s="591"/>
      <c r="J70" s="522"/>
      <c r="K70" s="522"/>
      <c r="L70" s="522"/>
      <c r="M70" s="672"/>
      <c r="N70" s="523"/>
      <c r="O70" s="523"/>
      <c r="P70" s="523"/>
      <c r="Q70" s="523"/>
      <c r="R70" s="673"/>
      <c r="S70" s="523"/>
      <c r="T70" s="522"/>
      <c r="U70" s="523"/>
      <c r="V70" s="675"/>
      <c r="W70" s="523"/>
      <c r="X70" s="523"/>
    </row>
    <row r="71" spans="1:49" ht="16.5">
      <c r="A71" s="585"/>
      <c r="B71" s="591"/>
      <c r="C71" s="594"/>
      <c r="D71" s="684"/>
      <c r="E71" s="522"/>
      <c r="F71" s="672"/>
      <c r="G71" s="672"/>
      <c r="H71" s="672"/>
      <c r="I71" s="591"/>
      <c r="J71" s="522"/>
      <c r="K71" s="522"/>
      <c r="L71" s="522"/>
      <c r="M71" s="672"/>
      <c r="N71" s="523"/>
      <c r="O71" s="523"/>
      <c r="P71" s="523"/>
      <c r="Q71" s="523"/>
      <c r="R71" s="673"/>
      <c r="S71" s="523"/>
      <c r="T71" s="522"/>
      <c r="U71" s="523"/>
      <c r="V71" s="675"/>
      <c r="W71" s="523"/>
      <c r="X71" s="523"/>
      <c r="Y71" s="13"/>
    </row>
    <row r="72" spans="1:49" ht="16.5">
      <c r="A72" s="585"/>
      <c r="B72" s="591"/>
      <c r="C72" s="594"/>
      <c r="D72" s="684"/>
      <c r="E72" s="522"/>
      <c r="F72" s="672"/>
      <c r="G72" s="672"/>
      <c r="H72" s="672"/>
      <c r="I72" s="591"/>
      <c r="J72" s="522"/>
      <c r="K72" s="522"/>
      <c r="L72" s="522"/>
      <c r="M72" s="672"/>
      <c r="N72" s="523"/>
      <c r="O72" s="523"/>
      <c r="P72" s="523"/>
      <c r="Q72" s="523"/>
      <c r="R72" s="673"/>
      <c r="S72" s="523"/>
      <c r="T72" s="522"/>
      <c r="U72" s="523"/>
      <c r="V72" s="675"/>
      <c r="W72" s="523"/>
      <c r="X72" s="523"/>
      <c r="Y72" s="687"/>
      <c r="Z72" s="687"/>
      <c r="AA72" s="687"/>
      <c r="AB72" s="687"/>
      <c r="AC72" s="687"/>
      <c r="AD72" s="687"/>
      <c r="AE72" s="687"/>
      <c r="AF72" s="687"/>
      <c r="AG72" s="687"/>
      <c r="AH72" s="687"/>
      <c r="AI72" s="687"/>
      <c r="AJ72" s="687"/>
      <c r="AK72" s="687"/>
      <c r="AL72" s="687"/>
      <c r="AM72" s="723"/>
      <c r="AN72" s="522"/>
      <c r="AO72" s="684"/>
      <c r="AP72" s="581"/>
      <c r="AQ72" s="98"/>
    </row>
    <row r="73" spans="1:49" ht="16.5">
      <c r="A73" s="585"/>
      <c r="B73" s="591"/>
      <c r="C73" s="594"/>
      <c r="D73" s="684"/>
      <c r="E73" s="522"/>
      <c r="F73" s="672"/>
      <c r="G73" s="672"/>
      <c r="H73" s="672"/>
      <c r="I73" s="591"/>
      <c r="J73" s="522"/>
      <c r="K73" s="522"/>
      <c r="L73" s="522"/>
      <c r="M73" s="672"/>
      <c r="N73" s="523"/>
      <c r="O73" s="523"/>
      <c r="P73" s="523"/>
      <c r="Q73" s="523"/>
      <c r="R73" s="673"/>
      <c r="S73" s="523"/>
      <c r="T73" s="522"/>
      <c r="U73" s="523"/>
      <c r="V73" s="675"/>
      <c r="W73" s="523"/>
      <c r="X73" s="523"/>
      <c r="Y73" s="688"/>
      <c r="Z73" s="684"/>
      <c r="AA73" s="718"/>
      <c r="AB73" s="688"/>
      <c r="AC73" s="684"/>
      <c r="AD73" s="684"/>
      <c r="AE73" s="684"/>
      <c r="AF73" s="684"/>
      <c r="AG73" s="687"/>
      <c r="AH73" s="684"/>
      <c r="AI73" s="684"/>
      <c r="AJ73" s="684"/>
      <c r="AK73" s="684"/>
      <c r="AL73" s="684"/>
      <c r="AM73" s="723"/>
      <c r="AN73" s="522"/>
      <c r="AO73" s="684"/>
      <c r="AP73" s="581"/>
      <c r="AQ73" s="98"/>
    </row>
    <row r="74" spans="1:49" ht="16.5">
      <c r="A74" s="585"/>
      <c r="B74" s="591"/>
      <c r="C74" s="594"/>
      <c r="D74" s="684"/>
      <c r="E74" s="522"/>
      <c r="F74" s="672"/>
      <c r="G74" s="672"/>
      <c r="H74" s="672"/>
      <c r="I74" s="591"/>
      <c r="J74" s="522"/>
      <c r="K74" s="522"/>
      <c r="L74" s="522"/>
      <c r="M74" s="672"/>
      <c r="N74" s="523"/>
      <c r="O74" s="523"/>
      <c r="P74" s="523"/>
      <c r="Q74" s="523"/>
      <c r="R74" s="673"/>
      <c r="S74" s="523"/>
      <c r="T74" s="522"/>
      <c r="U74" s="523"/>
      <c r="V74" s="675"/>
      <c r="W74" s="523"/>
      <c r="X74" s="523"/>
      <c r="Y74" s="688"/>
      <c r="Z74" s="522"/>
      <c r="AA74" s="676"/>
      <c r="AB74" s="523"/>
      <c r="AC74" s="522"/>
      <c r="AD74" s="522"/>
      <c r="AE74" s="522"/>
      <c r="AF74" s="522"/>
      <c r="AG74" s="591"/>
      <c r="AH74" s="522"/>
      <c r="AI74" s="522"/>
      <c r="AJ74" s="522"/>
      <c r="AK74" s="522"/>
      <c r="AL74" s="522"/>
      <c r="AM74" s="723"/>
      <c r="AN74" s="522"/>
      <c r="AO74" s="684"/>
      <c r="AP74" s="581"/>
      <c r="AQ74" s="98"/>
    </row>
    <row r="75" spans="1:49" ht="16.5">
      <c r="A75" s="585"/>
      <c r="B75" s="591"/>
      <c r="C75" s="594"/>
      <c r="D75" s="684"/>
      <c r="E75" s="522"/>
      <c r="F75" s="672"/>
      <c r="G75" s="672"/>
      <c r="H75" s="672"/>
      <c r="I75" s="591"/>
      <c r="J75" s="522"/>
      <c r="K75" s="522"/>
      <c r="L75" s="522"/>
      <c r="M75" s="672"/>
      <c r="N75" s="523"/>
      <c r="O75" s="523"/>
      <c r="P75" s="523"/>
      <c r="Q75" s="523"/>
      <c r="R75" s="673"/>
      <c r="S75" s="523"/>
      <c r="T75" s="522"/>
      <c r="U75" s="523"/>
      <c r="V75" s="675"/>
      <c r="W75" s="523"/>
      <c r="X75" s="523"/>
      <c r="Y75" s="688"/>
      <c r="Z75" s="522"/>
      <c r="AA75" s="676"/>
      <c r="AB75" s="523"/>
      <c r="AC75" s="522"/>
      <c r="AD75" s="522"/>
      <c r="AE75" s="522"/>
      <c r="AF75" s="522"/>
      <c r="AG75" s="591"/>
      <c r="AH75" s="522"/>
      <c r="AI75" s="522"/>
      <c r="AJ75" s="522"/>
      <c r="AK75" s="522"/>
      <c r="AL75" s="522"/>
      <c r="AM75" s="723"/>
      <c r="AN75" s="522"/>
      <c r="AO75" s="684"/>
      <c r="AP75" s="579"/>
      <c r="AQ75" s="98"/>
    </row>
    <row r="76" spans="1:49" ht="16.5">
      <c r="A76" s="585"/>
      <c r="B76" s="591"/>
      <c r="C76" s="594"/>
      <c r="D76" s="684"/>
      <c r="E76" s="522"/>
      <c r="F76" s="672"/>
      <c r="G76" s="672"/>
      <c r="H76" s="672"/>
      <c r="I76" s="591"/>
      <c r="J76" s="522"/>
      <c r="K76" s="522"/>
      <c r="L76" s="522"/>
      <c r="M76" s="672"/>
      <c r="N76" s="523"/>
      <c r="O76" s="523"/>
      <c r="P76" s="523"/>
      <c r="Q76" s="523"/>
      <c r="R76" s="673"/>
      <c r="S76" s="523"/>
      <c r="T76" s="522"/>
      <c r="U76" s="523"/>
      <c r="V76" s="675"/>
      <c r="W76" s="523"/>
      <c r="X76" s="523"/>
      <c r="Y76" s="688"/>
      <c r="Z76" s="522"/>
      <c r="AA76" s="676"/>
      <c r="AB76" s="523"/>
      <c r="AC76" s="522"/>
      <c r="AD76" s="522"/>
      <c r="AE76" s="522"/>
      <c r="AF76" s="522"/>
      <c r="AG76" s="591"/>
      <c r="AH76" s="522"/>
      <c r="AI76" s="522"/>
      <c r="AJ76" s="522"/>
      <c r="AK76" s="522"/>
      <c r="AL76" s="522"/>
      <c r="AM76" s="723"/>
      <c r="AN76" s="522"/>
      <c r="AO76" s="684"/>
      <c r="AP76" s="686"/>
      <c r="AQ76" s="98"/>
    </row>
    <row r="77" spans="1:49" ht="16.5">
      <c r="A77" s="585"/>
      <c r="B77" s="591"/>
      <c r="C77" s="594"/>
      <c r="D77" s="684"/>
      <c r="E77" s="522"/>
      <c r="F77" s="672"/>
      <c r="G77" s="672"/>
      <c r="H77" s="672"/>
      <c r="I77" s="591"/>
      <c r="J77" s="522"/>
      <c r="K77" s="522"/>
      <c r="L77" s="522"/>
      <c r="M77" s="672"/>
      <c r="N77" s="523"/>
      <c r="O77" s="523"/>
      <c r="P77" s="523"/>
      <c r="Q77" s="523"/>
      <c r="R77" s="673"/>
      <c r="S77" s="523"/>
      <c r="T77" s="522"/>
      <c r="U77" s="523"/>
      <c r="V77" s="675"/>
      <c r="W77" s="523"/>
      <c r="X77" s="523"/>
      <c r="Y77" s="688"/>
      <c r="Z77" s="522"/>
      <c r="AA77" s="676"/>
      <c r="AB77" s="523"/>
      <c r="AC77" s="522"/>
      <c r="AD77" s="522"/>
      <c r="AE77" s="522"/>
      <c r="AF77" s="522"/>
      <c r="AG77" s="591"/>
      <c r="AH77" s="522"/>
      <c r="AI77" s="522"/>
      <c r="AJ77" s="522"/>
      <c r="AK77" s="522"/>
      <c r="AL77" s="522"/>
      <c r="AM77" s="723"/>
      <c r="AN77" s="522"/>
      <c r="AO77" s="684"/>
      <c r="AP77" s="741"/>
      <c r="AQ77" s="98"/>
    </row>
    <row r="78" spans="1:49" ht="16.5">
      <c r="A78" s="677"/>
      <c r="B78" s="677"/>
      <c r="C78" s="677"/>
      <c r="D78" s="677"/>
      <c r="E78" s="677"/>
      <c r="F78" s="677"/>
      <c r="G78" s="677"/>
      <c r="H78" s="677"/>
      <c r="I78" s="677"/>
      <c r="J78" s="678"/>
      <c r="K78" s="679"/>
      <c r="L78" s="680"/>
      <c r="M78" s="680"/>
      <c r="N78" s="680"/>
      <c r="O78" s="681"/>
      <c r="P78" s="681"/>
      <c r="Q78" s="596"/>
      <c r="R78" s="596"/>
      <c r="S78" s="596"/>
      <c r="T78" s="682"/>
      <c r="U78" s="682"/>
      <c r="V78" s="596"/>
      <c r="W78" s="596"/>
      <c r="X78" s="683"/>
      <c r="Y78" s="688"/>
      <c r="Z78" s="522"/>
      <c r="AA78" s="676"/>
      <c r="AB78" s="523"/>
      <c r="AC78" s="522"/>
      <c r="AD78" s="522"/>
      <c r="AE78" s="522"/>
      <c r="AF78" s="522"/>
      <c r="AG78" s="591"/>
      <c r="AH78" s="522"/>
      <c r="AI78" s="522"/>
      <c r="AJ78" s="522"/>
      <c r="AK78" s="522"/>
      <c r="AL78" s="522"/>
      <c r="AM78" s="683"/>
      <c r="AN78" s="683"/>
      <c r="AO78" s="683"/>
      <c r="AP78" s="686"/>
      <c r="AQ78" s="98"/>
    </row>
    <row r="79" spans="1:49" ht="16.5">
      <c r="A79" s="677"/>
      <c r="B79" s="677"/>
      <c r="C79" s="677"/>
      <c r="D79" s="677"/>
      <c r="E79" s="677"/>
      <c r="F79" s="677"/>
      <c r="G79" s="677"/>
      <c r="H79" s="677"/>
      <c r="I79" s="677"/>
      <c r="J79" s="678"/>
      <c r="K79" s="679"/>
      <c r="L79" s="680"/>
      <c r="M79" s="680"/>
      <c r="N79" s="680"/>
      <c r="O79" s="681"/>
      <c r="P79" s="681"/>
      <c r="Q79" s="596"/>
      <c r="R79" s="596"/>
      <c r="S79" s="596"/>
      <c r="T79" s="682"/>
      <c r="U79" s="682"/>
      <c r="V79" s="596"/>
      <c r="W79" s="596"/>
      <c r="X79" s="683"/>
      <c r="Y79" s="688"/>
      <c r="Z79" s="522"/>
      <c r="AA79" s="676"/>
      <c r="AB79" s="523"/>
      <c r="AC79" s="522"/>
      <c r="AD79" s="522"/>
      <c r="AE79" s="522"/>
      <c r="AF79" s="522"/>
      <c r="AG79" s="591"/>
      <c r="AH79" s="522"/>
      <c r="AI79" s="522"/>
      <c r="AJ79" s="522"/>
      <c r="AK79" s="522"/>
      <c r="AL79" s="522"/>
      <c r="AM79" s="683"/>
      <c r="AN79" s="683"/>
      <c r="AO79" s="683"/>
      <c r="AP79" s="741"/>
      <c r="AQ79" s="98"/>
    </row>
    <row r="80" spans="1:49" ht="16.5">
      <c r="A80" s="677"/>
      <c r="B80" s="677"/>
      <c r="C80" s="677"/>
      <c r="D80" s="677"/>
      <c r="E80" s="677"/>
      <c r="F80" s="677"/>
      <c r="G80" s="677"/>
      <c r="H80" s="677"/>
      <c r="I80" s="677"/>
      <c r="J80" s="678"/>
      <c r="K80" s="679"/>
      <c r="L80" s="680"/>
      <c r="M80" s="680"/>
      <c r="N80" s="680"/>
      <c r="O80" s="681"/>
      <c r="P80" s="681"/>
      <c r="Q80" s="596"/>
      <c r="R80" s="596"/>
      <c r="S80" s="596"/>
      <c r="T80" s="682"/>
      <c r="U80" s="682"/>
      <c r="V80" s="596"/>
      <c r="W80" s="596"/>
      <c r="X80" s="683"/>
      <c r="Y80" s="688"/>
      <c r="Z80" s="522"/>
      <c r="AA80" s="676"/>
      <c r="AB80" s="523"/>
      <c r="AC80" s="522"/>
      <c r="AD80" s="522"/>
      <c r="AE80" s="522"/>
      <c r="AF80" s="522"/>
      <c r="AG80" s="591"/>
      <c r="AH80" s="522"/>
      <c r="AI80" s="522"/>
      <c r="AJ80" s="522"/>
      <c r="AK80" s="522"/>
      <c r="AL80" s="522"/>
      <c r="AM80" s="683"/>
      <c r="AN80" s="683"/>
      <c r="AO80" s="683"/>
      <c r="AP80" s="686"/>
      <c r="AQ80" s="98"/>
    </row>
    <row r="81" spans="1:43" ht="16.5">
      <c r="A81" s="677"/>
      <c r="B81" s="677"/>
      <c r="C81" s="677"/>
      <c r="D81" s="677"/>
      <c r="E81" s="677"/>
      <c r="F81" s="677"/>
      <c r="G81" s="677"/>
      <c r="H81" s="677"/>
      <c r="I81" s="677"/>
      <c r="J81" s="678"/>
      <c r="K81" s="679"/>
      <c r="L81" s="680"/>
      <c r="M81" s="680"/>
      <c r="N81" s="680"/>
      <c r="O81" s="681"/>
      <c r="P81" s="681"/>
      <c r="Q81" s="596"/>
      <c r="R81" s="596"/>
      <c r="S81" s="596"/>
      <c r="T81" s="682"/>
      <c r="U81" s="682"/>
      <c r="V81" s="596"/>
      <c r="W81" s="596"/>
      <c r="X81" s="683"/>
      <c r="Y81" s="688"/>
      <c r="Z81" s="522"/>
      <c r="AA81" s="676"/>
      <c r="AB81" s="523"/>
      <c r="AC81" s="522"/>
      <c r="AD81" s="522"/>
      <c r="AE81" s="522"/>
      <c r="AF81" s="522"/>
      <c r="AG81" s="591"/>
      <c r="AH81" s="522"/>
      <c r="AI81" s="522"/>
      <c r="AJ81" s="522"/>
      <c r="AK81" s="522"/>
      <c r="AL81" s="522"/>
      <c r="AM81" s="683"/>
      <c r="AN81" s="683"/>
      <c r="AO81" s="683"/>
      <c r="AP81" s="741"/>
      <c r="AQ81" s="98"/>
    </row>
    <row r="82" spans="1:43" ht="16.5">
      <c r="A82" s="677"/>
      <c r="B82" s="677"/>
      <c r="C82" s="677"/>
      <c r="D82" s="677"/>
      <c r="E82" s="677"/>
      <c r="F82" s="677"/>
      <c r="G82" s="677"/>
      <c r="H82" s="677"/>
      <c r="I82" s="677"/>
      <c r="J82" s="678"/>
      <c r="K82" s="679"/>
      <c r="L82" s="680"/>
      <c r="M82" s="680"/>
      <c r="N82" s="680"/>
      <c r="O82" s="681"/>
      <c r="P82" s="681"/>
      <c r="Q82" s="596"/>
      <c r="R82" s="596"/>
      <c r="S82" s="596"/>
      <c r="T82" s="682"/>
      <c r="U82" s="682"/>
      <c r="V82" s="596"/>
      <c r="W82" s="596"/>
      <c r="X82" s="683"/>
      <c r="Y82" s="688"/>
      <c r="Z82" s="522"/>
      <c r="AA82" s="676"/>
      <c r="AB82" s="523"/>
      <c r="AC82" s="522"/>
      <c r="AD82" s="522"/>
      <c r="AE82" s="522"/>
      <c r="AF82" s="522"/>
      <c r="AG82" s="591"/>
      <c r="AH82" s="522"/>
      <c r="AI82" s="522"/>
      <c r="AJ82" s="522"/>
      <c r="AK82" s="522"/>
      <c r="AL82" s="522"/>
      <c r="AM82" s="683"/>
      <c r="AN82" s="683"/>
      <c r="AO82" s="683"/>
      <c r="AP82" s="686"/>
      <c r="AQ82" s="98"/>
    </row>
    <row r="83" spans="1:43" ht="16.5">
      <c r="A83" s="677"/>
      <c r="B83" s="677"/>
      <c r="C83" s="677"/>
      <c r="D83" s="677"/>
      <c r="E83" s="677"/>
      <c r="F83" s="677"/>
      <c r="G83" s="677"/>
      <c r="H83" s="677"/>
      <c r="I83" s="677"/>
      <c r="J83" s="678"/>
      <c r="K83" s="679"/>
      <c r="L83" s="680"/>
      <c r="M83" s="680"/>
      <c r="N83" s="680"/>
      <c r="O83" s="681"/>
      <c r="P83" s="681"/>
      <c r="Q83" s="596"/>
      <c r="R83" s="596"/>
      <c r="S83" s="596"/>
      <c r="T83" s="682"/>
      <c r="U83" s="682"/>
      <c r="V83" s="596"/>
      <c r="W83" s="596"/>
      <c r="X83" s="683"/>
      <c r="Y83" s="688"/>
      <c r="Z83" s="522"/>
      <c r="AA83" s="676"/>
      <c r="AB83" s="523"/>
      <c r="AC83" s="522"/>
      <c r="AD83" s="522"/>
      <c r="AE83" s="522"/>
      <c r="AF83" s="522"/>
      <c r="AG83" s="591"/>
      <c r="AH83" s="522"/>
      <c r="AI83" s="522"/>
      <c r="AJ83" s="522"/>
      <c r="AK83" s="522"/>
      <c r="AL83" s="522"/>
      <c r="AM83" s="683"/>
      <c r="AN83" s="683"/>
      <c r="AO83" s="683"/>
      <c r="AP83" s="741"/>
      <c r="AQ83" s="98"/>
    </row>
    <row r="84" spans="1:43" ht="16.5">
      <c r="A84" s="677"/>
      <c r="B84" s="677"/>
      <c r="C84" s="677"/>
      <c r="D84" s="677"/>
      <c r="E84" s="677"/>
      <c r="F84" s="677"/>
      <c r="G84" s="677"/>
      <c r="H84" s="677"/>
      <c r="I84" s="677"/>
      <c r="J84" s="678"/>
      <c r="K84" s="679"/>
      <c r="L84" s="680"/>
      <c r="M84" s="680"/>
      <c r="N84" s="680"/>
      <c r="O84" s="681"/>
      <c r="P84" s="681"/>
      <c r="Q84" s="596"/>
      <c r="R84" s="596"/>
      <c r="S84" s="596"/>
      <c r="T84" s="682"/>
      <c r="U84" s="682"/>
      <c r="V84" s="596"/>
      <c r="W84" s="596"/>
      <c r="X84" s="683"/>
      <c r="Y84" s="688"/>
      <c r="Z84" s="522"/>
      <c r="AA84" s="676"/>
      <c r="AB84" s="523"/>
      <c r="AC84" s="522"/>
      <c r="AD84" s="522"/>
      <c r="AE84" s="522"/>
      <c r="AF84" s="522"/>
      <c r="AG84" s="591"/>
      <c r="AH84" s="522"/>
      <c r="AI84" s="522"/>
      <c r="AJ84" s="522"/>
      <c r="AK84" s="522"/>
      <c r="AL84" s="522"/>
      <c r="AM84" s="683"/>
      <c r="AN84" s="683"/>
      <c r="AO84" s="683"/>
      <c r="AP84" s="686"/>
      <c r="AQ84" s="98"/>
    </row>
    <row r="85" spans="1:43" ht="16.5">
      <c r="A85" s="677"/>
      <c r="B85" s="677"/>
      <c r="C85" s="677"/>
      <c r="D85" s="677"/>
      <c r="E85" s="677"/>
      <c r="F85" s="677"/>
      <c r="G85" s="677"/>
      <c r="H85" s="677"/>
      <c r="I85" s="677"/>
      <c r="J85" s="678"/>
      <c r="K85" s="679"/>
      <c r="L85" s="680"/>
      <c r="M85" s="680"/>
      <c r="N85" s="680"/>
      <c r="O85" s="681"/>
      <c r="P85" s="681"/>
      <c r="Q85" s="596"/>
      <c r="R85" s="596"/>
      <c r="S85" s="596"/>
      <c r="T85" s="682"/>
      <c r="U85" s="682"/>
      <c r="V85" s="596"/>
      <c r="W85" s="596"/>
      <c r="X85" s="683"/>
      <c r="Y85" s="688"/>
      <c r="Z85" s="522"/>
      <c r="AA85" s="676"/>
      <c r="AB85" s="523"/>
      <c r="AC85" s="522"/>
      <c r="AD85" s="522"/>
      <c r="AE85" s="522"/>
      <c r="AF85" s="522"/>
      <c r="AG85" s="591"/>
      <c r="AH85" s="522"/>
      <c r="AI85" s="522"/>
      <c r="AJ85" s="522"/>
      <c r="AK85" s="522"/>
      <c r="AL85" s="522"/>
      <c r="AM85" s="683"/>
      <c r="AN85" s="683"/>
      <c r="AO85" s="683"/>
      <c r="AP85" s="741"/>
      <c r="AQ85" s="98"/>
    </row>
    <row r="86" spans="1:43" ht="16.5">
      <c r="A86" s="677"/>
      <c r="B86" s="677"/>
      <c r="C86" s="677"/>
      <c r="D86" s="677"/>
      <c r="E86" s="677"/>
      <c r="F86" s="677"/>
      <c r="G86" s="677"/>
      <c r="H86" s="677"/>
      <c r="I86" s="677"/>
      <c r="J86" s="678"/>
      <c r="K86" s="679"/>
      <c r="L86" s="680"/>
      <c r="M86" s="680"/>
      <c r="N86" s="680"/>
      <c r="O86" s="681"/>
      <c r="P86" s="681"/>
      <c r="Q86" s="596"/>
      <c r="R86" s="596"/>
      <c r="S86" s="596"/>
      <c r="T86" s="682"/>
      <c r="U86" s="682"/>
      <c r="V86" s="596"/>
      <c r="W86" s="596"/>
      <c r="X86" s="683"/>
      <c r="Y86" s="688"/>
      <c r="Z86" s="522"/>
      <c r="AA86" s="676"/>
      <c r="AB86" s="523"/>
      <c r="AC86" s="522"/>
      <c r="AD86" s="522"/>
      <c r="AE86" s="522"/>
      <c r="AF86" s="522"/>
      <c r="AG86" s="591"/>
      <c r="AH86" s="522"/>
      <c r="AI86" s="522"/>
      <c r="AJ86" s="522"/>
      <c r="AK86" s="522"/>
      <c r="AL86" s="522"/>
      <c r="AM86" s="683"/>
      <c r="AN86" s="683"/>
      <c r="AO86" s="683"/>
      <c r="AP86" s="686"/>
      <c r="AQ86" s="98"/>
    </row>
    <row r="87" spans="1:43" ht="16.5">
      <c r="A87" s="677"/>
      <c r="B87" s="677"/>
      <c r="C87" s="677"/>
      <c r="D87" s="677"/>
      <c r="E87" s="677"/>
      <c r="F87" s="677"/>
      <c r="G87" s="677"/>
      <c r="H87" s="677"/>
      <c r="I87" s="677"/>
      <c r="J87" s="678"/>
      <c r="K87" s="679"/>
      <c r="L87" s="680"/>
      <c r="M87" s="680"/>
      <c r="N87" s="680"/>
      <c r="O87" s="681"/>
      <c r="P87" s="681"/>
      <c r="Q87" s="596"/>
      <c r="R87" s="596"/>
      <c r="S87" s="596"/>
      <c r="T87" s="682"/>
      <c r="U87" s="682"/>
      <c r="V87" s="596"/>
      <c r="W87" s="596"/>
      <c r="X87" s="683"/>
      <c r="Y87" s="688"/>
      <c r="Z87" s="522"/>
      <c r="AA87" s="676"/>
      <c r="AB87" s="523"/>
      <c r="AC87" s="522"/>
      <c r="AD87" s="522"/>
      <c r="AE87" s="522"/>
      <c r="AF87" s="522"/>
      <c r="AG87" s="591"/>
      <c r="AH87" s="522"/>
      <c r="AI87" s="522"/>
      <c r="AJ87" s="522"/>
      <c r="AK87" s="522"/>
      <c r="AL87" s="522"/>
      <c r="AM87" s="683"/>
      <c r="AN87" s="683"/>
      <c r="AO87" s="683"/>
      <c r="AP87" s="742"/>
      <c r="AQ87" s="98"/>
    </row>
    <row r="88" spans="1:43" ht="16.5">
      <c r="A88" s="687"/>
      <c r="B88" s="687"/>
      <c r="C88" s="687"/>
      <c r="D88" s="687"/>
      <c r="E88" s="687"/>
      <c r="F88" s="687"/>
      <c r="G88" s="743"/>
      <c r="H88" s="743"/>
      <c r="I88" s="687"/>
      <c r="J88" s="687"/>
      <c r="K88" s="687"/>
      <c r="L88" s="687"/>
      <c r="M88" s="687"/>
      <c r="N88" s="687"/>
      <c r="O88" s="687"/>
      <c r="P88" s="687"/>
      <c r="Q88" s="687"/>
      <c r="R88" s="744"/>
      <c r="S88" s="687"/>
      <c r="T88" s="687"/>
      <c r="U88" s="687"/>
      <c r="V88" s="687"/>
      <c r="W88" s="687"/>
      <c r="X88" s="687"/>
      <c r="Y88" s="688"/>
      <c r="Z88" s="522"/>
      <c r="AA88" s="676"/>
      <c r="AB88" s="523"/>
      <c r="AC88" s="522"/>
      <c r="AD88" s="522"/>
      <c r="AE88" s="522"/>
      <c r="AF88" s="522"/>
      <c r="AG88" s="591"/>
      <c r="AH88" s="522"/>
      <c r="AI88" s="522"/>
      <c r="AJ88" s="522"/>
      <c r="AK88" s="522"/>
      <c r="AL88" s="522"/>
      <c r="AM88" s="687"/>
      <c r="AN88" s="745"/>
      <c r="AO88" s="686"/>
      <c r="AP88" s="98"/>
      <c r="AQ88" s="98"/>
    </row>
    <row r="89" spans="1:43" ht="16.5">
      <c r="A89" s="715"/>
      <c r="B89" s="687"/>
      <c r="C89" s="689"/>
      <c r="D89" s="684"/>
      <c r="E89" s="684"/>
      <c r="F89" s="685"/>
      <c r="G89" s="685"/>
      <c r="H89" s="685"/>
      <c r="I89" s="687"/>
      <c r="J89" s="684"/>
      <c r="K89" s="684"/>
      <c r="L89" s="684"/>
      <c r="M89" s="685"/>
      <c r="N89" s="688"/>
      <c r="O89" s="688"/>
      <c r="P89" s="688"/>
      <c r="Q89" s="688"/>
      <c r="R89" s="716"/>
      <c r="S89" s="688"/>
      <c r="T89" s="684"/>
      <c r="U89" s="688"/>
      <c r="V89" s="717"/>
      <c r="W89" s="688"/>
      <c r="X89" s="688"/>
      <c r="Y89" s="721"/>
      <c r="Z89" s="720"/>
      <c r="AA89" s="731"/>
      <c r="AB89" s="721"/>
      <c r="AC89" s="720"/>
      <c r="AD89" s="720"/>
      <c r="AE89" s="720"/>
      <c r="AF89" s="720"/>
      <c r="AG89" s="727"/>
      <c r="AH89" s="720"/>
      <c r="AI89" s="720"/>
      <c r="AJ89" s="720"/>
      <c r="AK89" s="720"/>
      <c r="AL89" s="720"/>
      <c r="AM89" s="684"/>
      <c r="AN89" s="684"/>
      <c r="AO89" s="741"/>
      <c r="AP89" s="98"/>
      <c r="AQ89" s="98"/>
    </row>
    <row r="90" spans="1:43" ht="16.5">
      <c r="A90" s="585"/>
      <c r="B90" s="591"/>
      <c r="C90" s="594"/>
      <c r="D90" s="522"/>
      <c r="E90" s="522"/>
      <c r="F90" s="672"/>
      <c r="G90" s="672"/>
      <c r="H90" s="672"/>
      <c r="I90" s="591"/>
      <c r="J90" s="522"/>
      <c r="K90" s="522"/>
      <c r="L90" s="522"/>
      <c r="M90" s="672"/>
      <c r="N90" s="523"/>
      <c r="O90" s="523"/>
      <c r="P90" s="523"/>
      <c r="Q90" s="719"/>
      <c r="R90" s="673"/>
      <c r="S90" s="523"/>
      <c r="T90" s="522"/>
      <c r="U90" s="523"/>
      <c r="V90" s="675"/>
      <c r="W90" s="523"/>
      <c r="X90" s="523"/>
      <c r="Y90" s="742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684"/>
      <c r="AN90" s="684"/>
      <c r="AO90" s="686"/>
      <c r="AP90" s="98"/>
      <c r="AQ90" s="98"/>
    </row>
    <row r="91" spans="1:43" ht="16.5">
      <c r="A91" s="585"/>
      <c r="B91" s="591"/>
      <c r="C91" s="594"/>
      <c r="D91" s="522"/>
      <c r="E91" s="522"/>
      <c r="F91" s="672"/>
      <c r="G91" s="672"/>
      <c r="H91" s="672"/>
      <c r="I91" s="591"/>
      <c r="J91" s="522"/>
      <c r="K91" s="522"/>
      <c r="L91" s="522"/>
      <c r="M91" s="672"/>
      <c r="N91" s="523"/>
      <c r="O91" s="523"/>
      <c r="P91" s="523"/>
      <c r="Q91" s="719"/>
      <c r="R91" s="673"/>
      <c r="S91" s="523"/>
      <c r="T91" s="522"/>
      <c r="U91" s="523"/>
      <c r="V91" s="675"/>
      <c r="W91" s="523"/>
      <c r="X91" s="523"/>
      <c r="Y91" s="742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684"/>
      <c r="AN91" s="684"/>
      <c r="AO91" s="741"/>
      <c r="AP91" s="98"/>
      <c r="AQ91" s="98"/>
    </row>
    <row r="92" spans="1:43" ht="16.5">
      <c r="A92" s="585"/>
      <c r="B92" s="591"/>
      <c r="C92" s="594"/>
      <c r="D92" s="522"/>
      <c r="E92" s="522"/>
      <c r="F92" s="672"/>
      <c r="G92" s="672"/>
      <c r="H92" s="672"/>
      <c r="I92" s="591"/>
      <c r="J92" s="522"/>
      <c r="K92" s="522"/>
      <c r="L92" s="522"/>
      <c r="M92" s="672"/>
      <c r="N92" s="523"/>
      <c r="O92" s="523"/>
      <c r="P92" s="523"/>
      <c r="Q92" s="719"/>
      <c r="R92" s="673"/>
      <c r="S92" s="523"/>
      <c r="T92" s="522"/>
      <c r="U92" s="523"/>
      <c r="V92" s="675"/>
      <c r="W92" s="523"/>
      <c r="X92" s="523"/>
      <c r="Y92" s="742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684"/>
      <c r="AN92" s="684"/>
      <c r="AO92" s="686"/>
      <c r="AP92" s="98"/>
      <c r="AQ92" s="98"/>
    </row>
    <row r="93" spans="1:43" ht="16.5">
      <c r="A93" s="585"/>
      <c r="B93" s="591"/>
      <c r="C93" s="594"/>
      <c r="D93" s="522"/>
      <c r="E93" s="522"/>
      <c r="F93" s="672"/>
      <c r="G93" s="672"/>
      <c r="H93" s="672"/>
      <c r="I93" s="591"/>
      <c r="J93" s="522"/>
      <c r="K93" s="522"/>
      <c r="L93" s="522"/>
      <c r="M93" s="672"/>
      <c r="N93" s="523"/>
      <c r="O93" s="523"/>
      <c r="P93" s="523"/>
      <c r="Q93" s="719"/>
      <c r="R93" s="673"/>
      <c r="S93" s="523"/>
      <c r="T93" s="522"/>
      <c r="U93" s="523"/>
      <c r="V93" s="675"/>
      <c r="W93" s="523"/>
      <c r="X93" s="523"/>
      <c r="Y93" s="742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684"/>
      <c r="AN93" s="684"/>
      <c r="AO93" s="741"/>
      <c r="AP93" s="98"/>
      <c r="AQ93" s="98"/>
    </row>
    <row r="94" spans="1:43" ht="16.5">
      <c r="A94" s="585"/>
      <c r="B94" s="591"/>
      <c r="C94" s="594"/>
      <c r="D94" s="522"/>
      <c r="E94" s="522"/>
      <c r="F94" s="672"/>
      <c r="G94" s="672"/>
      <c r="H94" s="672"/>
      <c r="I94" s="591"/>
      <c r="J94" s="522"/>
      <c r="K94" s="522"/>
      <c r="L94" s="522"/>
      <c r="M94" s="672"/>
      <c r="N94" s="523"/>
      <c r="O94" s="523"/>
      <c r="P94" s="523"/>
      <c r="Q94" s="719"/>
      <c r="R94" s="673"/>
      <c r="S94" s="523"/>
      <c r="T94" s="522"/>
      <c r="U94" s="523"/>
      <c r="V94" s="675"/>
      <c r="W94" s="523"/>
      <c r="X94" s="523"/>
      <c r="Y94" s="742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684"/>
      <c r="AN94" s="684"/>
      <c r="AO94" s="686"/>
      <c r="AP94" s="98"/>
      <c r="AQ94" s="98"/>
    </row>
    <row r="95" spans="1:43" ht="16.5">
      <c r="A95" s="585"/>
      <c r="B95" s="591"/>
      <c r="C95" s="594"/>
      <c r="D95" s="522"/>
      <c r="E95" s="522"/>
      <c r="F95" s="672"/>
      <c r="G95" s="672"/>
      <c r="H95" s="672"/>
      <c r="I95" s="591"/>
      <c r="J95" s="522"/>
      <c r="K95" s="522"/>
      <c r="L95" s="522"/>
      <c r="M95" s="672"/>
      <c r="N95" s="523"/>
      <c r="O95" s="523"/>
      <c r="P95" s="523"/>
      <c r="Q95" s="719"/>
      <c r="R95" s="673"/>
      <c r="S95" s="523"/>
      <c r="T95" s="522"/>
      <c r="U95" s="523"/>
      <c r="V95" s="675"/>
      <c r="W95" s="523"/>
      <c r="X95" s="523"/>
      <c r="Y95" s="742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684"/>
      <c r="AN95" s="684"/>
      <c r="AO95" s="741"/>
      <c r="AP95" s="98"/>
      <c r="AQ95" s="98"/>
    </row>
    <row r="96" spans="1:43" ht="16.5">
      <c r="A96" s="585"/>
      <c r="B96" s="591"/>
      <c r="C96" s="594"/>
      <c r="D96" s="522"/>
      <c r="E96" s="522"/>
      <c r="F96" s="672"/>
      <c r="G96" s="672"/>
      <c r="H96" s="672"/>
      <c r="I96" s="591"/>
      <c r="J96" s="522"/>
      <c r="K96" s="522"/>
      <c r="L96" s="522"/>
      <c r="M96" s="672"/>
      <c r="N96" s="523"/>
      <c r="O96" s="523"/>
      <c r="P96" s="523"/>
      <c r="Q96" s="719"/>
      <c r="R96" s="673"/>
      <c r="S96" s="523"/>
      <c r="T96" s="522"/>
      <c r="U96" s="523"/>
      <c r="V96" s="675"/>
      <c r="W96" s="523"/>
      <c r="X96" s="523"/>
      <c r="Y96" s="742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684"/>
      <c r="AN96" s="684"/>
      <c r="AO96" s="686"/>
      <c r="AP96" s="98"/>
      <c r="AQ96" s="98"/>
    </row>
    <row r="97" spans="1:43" ht="16.5">
      <c r="A97" s="585"/>
      <c r="B97" s="591"/>
      <c r="C97" s="594"/>
      <c r="D97" s="522"/>
      <c r="E97" s="522"/>
      <c r="F97" s="672"/>
      <c r="G97" s="672"/>
      <c r="H97" s="672"/>
      <c r="I97" s="591"/>
      <c r="J97" s="522"/>
      <c r="K97" s="522"/>
      <c r="L97" s="522"/>
      <c r="M97" s="672"/>
      <c r="N97" s="523"/>
      <c r="O97" s="523"/>
      <c r="P97" s="523"/>
      <c r="Q97" s="719"/>
      <c r="R97" s="673"/>
      <c r="S97" s="523"/>
      <c r="T97" s="522"/>
      <c r="U97" s="523"/>
      <c r="V97" s="675"/>
      <c r="W97" s="523"/>
      <c r="X97" s="523"/>
      <c r="Y97" s="742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684"/>
      <c r="AN97" s="684"/>
      <c r="AO97" s="741"/>
      <c r="AP97" s="98"/>
      <c r="AQ97" s="98"/>
    </row>
    <row r="98" spans="1:43" ht="16.5">
      <c r="A98" s="585"/>
      <c r="B98" s="591"/>
      <c r="C98" s="594"/>
      <c r="D98" s="522"/>
      <c r="E98" s="522"/>
      <c r="F98" s="672"/>
      <c r="G98" s="672"/>
      <c r="H98" s="672"/>
      <c r="I98" s="591"/>
      <c r="J98" s="522"/>
      <c r="K98" s="522"/>
      <c r="L98" s="522"/>
      <c r="M98" s="672"/>
      <c r="N98" s="523"/>
      <c r="O98" s="523"/>
      <c r="P98" s="523"/>
      <c r="Q98" s="719"/>
      <c r="R98" s="673"/>
      <c r="S98" s="523"/>
      <c r="T98" s="522"/>
      <c r="U98" s="523"/>
      <c r="V98" s="675"/>
      <c r="W98" s="523"/>
      <c r="X98" s="523"/>
      <c r="Y98" s="742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684"/>
      <c r="AN98" s="684"/>
      <c r="AO98" s="686"/>
      <c r="AP98" s="98"/>
      <c r="AQ98" s="98"/>
    </row>
    <row r="99" spans="1:43" ht="16.5">
      <c r="A99" s="585"/>
      <c r="B99" s="591"/>
      <c r="C99" s="594"/>
      <c r="D99" s="522"/>
      <c r="E99" s="522"/>
      <c r="F99" s="672"/>
      <c r="G99" s="672"/>
      <c r="H99" s="672"/>
      <c r="I99" s="591"/>
      <c r="J99" s="522"/>
      <c r="K99" s="522"/>
      <c r="L99" s="522"/>
      <c r="M99" s="672"/>
      <c r="N99" s="523"/>
      <c r="O99" s="523"/>
      <c r="P99" s="523"/>
      <c r="Q99" s="719"/>
      <c r="R99" s="673"/>
      <c r="S99" s="523"/>
      <c r="T99" s="522"/>
      <c r="U99" s="523"/>
      <c r="V99" s="675"/>
      <c r="W99" s="523"/>
      <c r="X99" s="523"/>
      <c r="Y99" s="742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684"/>
      <c r="AN99" s="684"/>
      <c r="AO99" s="741"/>
      <c r="AP99" s="98"/>
      <c r="AQ99" s="98"/>
    </row>
    <row r="100" spans="1:43" ht="16.5">
      <c r="A100" s="585"/>
      <c r="B100" s="591"/>
      <c r="C100" s="594"/>
      <c r="D100" s="522"/>
      <c r="E100" s="522"/>
      <c r="F100" s="672"/>
      <c r="G100" s="672"/>
      <c r="H100" s="672"/>
      <c r="I100" s="591"/>
      <c r="J100" s="522"/>
      <c r="K100" s="522"/>
      <c r="L100" s="522"/>
      <c r="M100" s="672"/>
      <c r="N100" s="523"/>
      <c r="O100" s="523"/>
      <c r="P100" s="523"/>
      <c r="Q100" s="719"/>
      <c r="R100" s="673"/>
      <c r="S100" s="523"/>
      <c r="T100" s="522"/>
      <c r="U100" s="523"/>
      <c r="V100" s="675"/>
      <c r="W100" s="523"/>
      <c r="X100" s="523"/>
      <c r="Y100" s="742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684"/>
      <c r="AN100" s="684"/>
      <c r="AO100" s="686"/>
      <c r="AP100" s="98"/>
      <c r="AQ100" s="98"/>
    </row>
    <row r="101" spans="1:43" ht="16.5">
      <c r="A101" s="585"/>
      <c r="B101" s="591"/>
      <c r="C101" s="594"/>
      <c r="D101" s="522"/>
      <c r="E101" s="522"/>
      <c r="F101" s="672"/>
      <c r="G101" s="672"/>
      <c r="H101" s="672"/>
      <c r="I101" s="591"/>
      <c r="J101" s="522"/>
      <c r="K101" s="522"/>
      <c r="L101" s="522"/>
      <c r="M101" s="672"/>
      <c r="N101" s="523"/>
      <c r="O101" s="523"/>
      <c r="P101" s="523"/>
      <c r="Q101" s="719"/>
      <c r="R101" s="673"/>
      <c r="S101" s="523"/>
      <c r="T101" s="522"/>
      <c r="U101" s="523"/>
      <c r="V101" s="675"/>
      <c r="W101" s="523"/>
      <c r="X101" s="523"/>
      <c r="Y101" s="742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684"/>
      <c r="AN101" s="684"/>
      <c r="AO101" s="742"/>
      <c r="AP101" s="98"/>
      <c r="AQ101" s="98"/>
    </row>
    <row r="102" spans="1:43" ht="16.5">
      <c r="A102" s="585"/>
      <c r="B102" s="591"/>
      <c r="C102" s="594"/>
      <c r="D102" s="522"/>
      <c r="E102" s="522"/>
      <c r="F102" s="672"/>
      <c r="G102" s="672"/>
      <c r="H102" s="672"/>
      <c r="I102" s="591"/>
      <c r="J102" s="522"/>
      <c r="K102" s="522"/>
      <c r="L102" s="522"/>
      <c r="M102" s="672"/>
      <c r="N102" s="523"/>
      <c r="O102" s="523"/>
      <c r="P102" s="523"/>
      <c r="Q102" s="719"/>
      <c r="R102" s="673"/>
      <c r="S102" s="523"/>
      <c r="T102" s="522"/>
      <c r="U102" s="523"/>
      <c r="V102" s="675"/>
      <c r="W102" s="523"/>
      <c r="X102" s="523"/>
      <c r="AM102" s="684"/>
      <c r="AN102" s="684"/>
      <c r="AO102" s="98"/>
      <c r="AP102" s="98"/>
      <c r="AQ102" s="98"/>
    </row>
    <row r="103" spans="1:43" ht="16.5">
      <c r="A103" s="585"/>
      <c r="B103" s="591"/>
      <c r="C103" s="594"/>
      <c r="D103" s="522"/>
      <c r="E103" s="522"/>
      <c r="F103" s="672"/>
      <c r="G103" s="672"/>
      <c r="H103" s="672"/>
      <c r="I103" s="591"/>
      <c r="J103" s="522"/>
      <c r="K103" s="522"/>
      <c r="L103" s="522"/>
      <c r="M103" s="672"/>
      <c r="N103" s="523"/>
      <c r="O103" s="523"/>
      <c r="P103" s="523"/>
      <c r="Q103" s="719"/>
      <c r="R103" s="673"/>
      <c r="S103" s="523"/>
      <c r="T103" s="522"/>
      <c r="U103" s="523"/>
      <c r="V103" s="675"/>
      <c r="W103" s="523"/>
      <c r="X103" s="523"/>
      <c r="AM103" s="684"/>
      <c r="AN103" s="684"/>
      <c r="AO103" s="98"/>
      <c r="AP103" s="98"/>
      <c r="AQ103" s="98"/>
    </row>
    <row r="104" spans="1:43" ht="16.5">
      <c r="A104" s="585"/>
      <c r="B104" s="591"/>
      <c r="C104" s="594"/>
      <c r="D104" s="522"/>
      <c r="E104" s="522"/>
      <c r="F104" s="672"/>
      <c r="G104" s="672"/>
      <c r="H104" s="672"/>
      <c r="I104" s="591"/>
      <c r="J104" s="522"/>
      <c r="K104" s="522"/>
      <c r="L104" s="522"/>
      <c r="M104" s="672"/>
      <c r="N104" s="523"/>
      <c r="O104" s="523"/>
      <c r="P104" s="523"/>
      <c r="Q104" s="719"/>
      <c r="R104" s="673"/>
      <c r="S104" s="523"/>
      <c r="T104" s="522"/>
      <c r="U104" s="523"/>
      <c r="V104" s="675"/>
      <c r="W104" s="523"/>
      <c r="X104" s="523"/>
      <c r="AM104" s="684"/>
      <c r="AN104" s="684"/>
      <c r="AO104" s="98"/>
      <c r="AP104" s="98"/>
      <c r="AQ104" s="98"/>
    </row>
    <row r="105" spans="1:43" ht="16.5">
      <c r="A105" s="726"/>
      <c r="B105" s="727"/>
      <c r="C105" s="722"/>
      <c r="D105" s="720"/>
      <c r="E105" s="720"/>
      <c r="F105" s="728"/>
      <c r="G105" s="728"/>
      <c r="H105" s="728"/>
      <c r="I105" s="727"/>
      <c r="J105" s="720"/>
      <c r="K105" s="720"/>
      <c r="L105" s="720"/>
      <c r="M105" s="728"/>
      <c r="N105" s="721"/>
      <c r="O105" s="721"/>
      <c r="P105" s="721"/>
      <c r="Q105" s="721"/>
      <c r="R105" s="729"/>
      <c r="S105" s="721"/>
      <c r="T105" s="720"/>
      <c r="U105" s="721"/>
      <c r="V105" s="730"/>
      <c r="W105" s="721"/>
      <c r="X105" s="721"/>
      <c r="AM105" s="720"/>
      <c r="AN105" s="720"/>
      <c r="AO105" s="98"/>
      <c r="AP105" s="98"/>
      <c r="AQ105" s="98"/>
    </row>
    <row r="106" spans="1:43">
      <c r="A106" s="205"/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S106" s="98"/>
      <c r="T106" s="746"/>
      <c r="U106" s="746"/>
      <c r="V106" s="98"/>
      <c r="W106" s="98"/>
      <c r="X106" s="742"/>
      <c r="AM106" s="98"/>
      <c r="AN106" s="98"/>
      <c r="AO106" s="98"/>
      <c r="AP106" s="98"/>
      <c r="AQ106" s="98"/>
    </row>
    <row r="107" spans="1:43">
      <c r="A107" s="205"/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S107" s="98"/>
      <c r="T107" s="746"/>
      <c r="U107" s="746"/>
      <c r="V107" s="98"/>
      <c r="W107" s="98"/>
      <c r="X107" s="742"/>
      <c r="AM107" s="98"/>
      <c r="AN107" s="98"/>
      <c r="AO107" s="98"/>
      <c r="AP107" s="98"/>
      <c r="AQ107" s="98"/>
    </row>
    <row r="108" spans="1:43">
      <c r="A108" s="205"/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S108" s="98"/>
      <c r="T108" s="746"/>
      <c r="U108" s="746"/>
      <c r="V108" s="98"/>
      <c r="W108" s="98"/>
      <c r="X108" s="742"/>
      <c r="AM108" s="98"/>
      <c r="AN108" s="98"/>
      <c r="AO108" s="98"/>
      <c r="AP108" s="98"/>
      <c r="AQ108" s="98"/>
    </row>
    <row r="109" spans="1:43">
      <c r="A109" s="205"/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S109" s="98"/>
      <c r="T109" s="746"/>
      <c r="U109" s="746"/>
      <c r="V109" s="98"/>
      <c r="W109" s="98"/>
      <c r="X109" s="742"/>
      <c r="AM109" s="98"/>
      <c r="AN109" s="98"/>
      <c r="AO109" s="98"/>
      <c r="AP109" s="98"/>
      <c r="AQ109" s="98"/>
    </row>
    <row r="110" spans="1:43">
      <c r="A110" s="205"/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S110" s="98"/>
      <c r="T110" s="746"/>
      <c r="U110" s="746"/>
      <c r="V110" s="98"/>
      <c r="W110" s="98"/>
      <c r="X110" s="742"/>
      <c r="AM110" s="98"/>
      <c r="AN110" s="98"/>
      <c r="AO110" s="98"/>
      <c r="AP110" s="98"/>
      <c r="AQ110" s="98"/>
    </row>
    <row r="111" spans="1:43">
      <c r="A111" s="205"/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S111" s="98"/>
      <c r="T111" s="746"/>
      <c r="U111" s="746"/>
      <c r="V111" s="98"/>
      <c r="W111" s="98"/>
      <c r="X111" s="742"/>
      <c r="AM111" s="98"/>
      <c r="AN111" s="98"/>
      <c r="AO111" s="98"/>
      <c r="AP111" s="98"/>
      <c r="AQ111" s="98"/>
    </row>
    <row r="112" spans="1:43">
      <c r="A112" s="205"/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S112" s="98"/>
      <c r="T112" s="746"/>
      <c r="U112" s="746"/>
      <c r="V112" s="98"/>
      <c r="W112" s="98"/>
      <c r="X112" s="742"/>
      <c r="AM112" s="98"/>
      <c r="AN112" s="98"/>
      <c r="AO112" s="98"/>
      <c r="AP112" s="98"/>
      <c r="AQ112" s="98"/>
    </row>
    <row r="113" spans="1:43">
      <c r="A113" s="205"/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S113" s="98"/>
      <c r="T113" s="746"/>
      <c r="U113" s="746"/>
      <c r="V113" s="98"/>
      <c r="W113" s="98"/>
      <c r="X113" s="742"/>
      <c r="AM113" s="98"/>
      <c r="AN113" s="98"/>
      <c r="AO113" s="98"/>
      <c r="AP113" s="98"/>
      <c r="AQ113" s="98"/>
    </row>
    <row r="114" spans="1:43">
      <c r="A114" s="205"/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S114" s="98"/>
      <c r="T114" s="746"/>
      <c r="U114" s="746"/>
      <c r="V114" s="98"/>
      <c r="W114" s="98"/>
      <c r="X114" s="742"/>
      <c r="AM114" s="98"/>
      <c r="AN114" s="98"/>
      <c r="AO114" s="98"/>
      <c r="AP114" s="98"/>
      <c r="AQ114" s="98"/>
    </row>
    <row r="115" spans="1:43">
      <c r="A115" s="205"/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S115" s="98"/>
      <c r="T115" s="746"/>
      <c r="U115" s="746"/>
      <c r="V115" s="98"/>
      <c r="W115" s="98"/>
      <c r="X115" s="742"/>
      <c r="AM115" s="98"/>
      <c r="AN115" s="98"/>
      <c r="AO115" s="98"/>
      <c r="AP115" s="98"/>
    </row>
    <row r="116" spans="1:43">
      <c r="A116" s="205"/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S116" s="98"/>
      <c r="T116" s="746"/>
      <c r="U116" s="746"/>
      <c r="V116" s="98"/>
      <c r="W116" s="98"/>
      <c r="X116" s="742"/>
      <c r="AM116" s="98"/>
      <c r="AN116" s="98"/>
      <c r="AO116" s="98"/>
      <c r="AP116" s="98"/>
    </row>
    <row r="117" spans="1:43">
      <c r="A117" s="205"/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S117" s="98"/>
      <c r="T117" s="746"/>
      <c r="U117" s="746"/>
      <c r="V117" s="98"/>
      <c r="W117" s="98"/>
      <c r="X117" s="742"/>
      <c r="AM117" s="98"/>
      <c r="AN117" s="98"/>
      <c r="AO117" s="98"/>
      <c r="AP117" s="98"/>
    </row>
    <row r="118" spans="1:43">
      <c r="E118" s="515"/>
      <c r="AP118" s="98"/>
    </row>
    <row r="119" spans="1:43">
      <c r="AP119" s="98"/>
    </row>
    <row r="120" spans="1:43">
      <c r="AP120" s="98"/>
    </row>
    <row r="121" spans="1:43">
      <c r="AP121" s="98"/>
    </row>
    <row r="122" spans="1:43">
      <c r="AP122" s="98"/>
    </row>
    <row r="123" spans="1:43">
      <c r="AP123" s="98"/>
    </row>
    <row r="124" spans="1:43">
      <c r="AP124" s="98"/>
    </row>
    <row r="125" spans="1:43">
      <c r="AP125" s="98"/>
    </row>
    <row r="126" spans="1:43">
      <c r="AP126" s="98"/>
    </row>
    <row r="127" spans="1:43">
      <c r="AP127" s="98"/>
    </row>
    <row r="128" spans="1:43">
      <c r="AP128" s="98"/>
    </row>
    <row r="129" spans="42:42">
      <c r="AP129" s="98"/>
    </row>
    <row r="130" spans="42:42">
      <c r="AP130" s="98"/>
    </row>
    <row r="131" spans="42:42">
      <c r="AP131" s="98"/>
    </row>
  </sheetData>
  <mergeCells count="6">
    <mergeCell ref="AG13:AH13"/>
    <mergeCell ref="R1:U1"/>
    <mergeCell ref="W1:X1"/>
    <mergeCell ref="J2:K2"/>
    <mergeCell ref="L2:M2"/>
    <mergeCell ref="W2:X2"/>
  </mergeCells>
  <conditionalFormatting sqref="G7">
    <cfRule type="cellIs" dxfId="0" priority="1" stopIfTrue="1" operator="lessThan">
      <formula>$G$8</formula>
    </cfRule>
  </conditionalFormatting>
  <hyperlinks>
    <hyperlink ref="V11" location="Notes!A193" display="Notes!A193"/>
    <hyperlink ref="B7" location="Notes!A189" display="Notes!A189"/>
  </hyperlinks>
  <printOptions horizontalCentered="1"/>
  <pageMargins left="0.5" right="0.5" top="0.45" bottom="0.5" header="0.3" footer="0.4"/>
  <pageSetup scale="67" orientation="landscape" r:id="rId1"/>
  <headerFooter alignWithMargins="0">
    <oddHeader xml:space="preserve">&amp;CSpreadsheet by Agilent Technologies&amp;R </oddHeader>
    <oddFooter>&amp;L&amp;F tab &amp;A page &amp;P of &amp;N&amp;CAvago Technologies&amp;RPrinted &amp;T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AW74"/>
  <sheetViews>
    <sheetView showGridLines="0" showOutlineSymbols="0" zoomScale="67" zoomScaleNormal="67" workbookViewId="0">
      <pane ySplit="3330" topLeftCell="A28"/>
      <selection activeCell="W12" sqref="W12"/>
      <selection pane="bottomLeft" activeCell="B54" sqref="B54"/>
    </sheetView>
  </sheetViews>
  <sheetFormatPr defaultColWidth="11.140625" defaultRowHeight="15.75"/>
  <cols>
    <col min="1" max="1" width="8.5703125" style="71" customWidth="1"/>
    <col min="2" max="2" width="8.28515625" style="13" customWidth="1"/>
    <col min="3" max="3" width="9.5703125" style="13" customWidth="1"/>
    <col min="4" max="4" width="7.28515625" style="13" bestFit="1" customWidth="1"/>
    <col min="5" max="5" width="6.28515625" style="13" customWidth="1"/>
    <col min="6" max="6" width="8.5703125" style="13" customWidth="1"/>
    <col min="7" max="7" width="9" style="13" customWidth="1"/>
    <col min="8" max="8" width="6.42578125" style="13" customWidth="1"/>
    <col min="9" max="9" width="6.5703125" style="13" customWidth="1"/>
    <col min="10" max="10" width="7.5703125" style="13" customWidth="1"/>
    <col min="11" max="11" width="7.28515625" style="13" customWidth="1"/>
    <col min="12" max="12" width="7.7109375" style="13" bestFit="1" customWidth="1"/>
    <col min="13" max="13" width="7.28515625" style="13" customWidth="1"/>
    <col min="14" max="14" width="6.5703125" style="13" customWidth="1"/>
    <col min="15" max="15" width="8.85546875" style="13" customWidth="1"/>
    <col min="16" max="16" width="9" style="13" customWidth="1"/>
    <col min="17" max="17" width="6.85546875" style="13" customWidth="1"/>
    <col min="18" max="18" width="8" style="98" customWidth="1"/>
    <col min="19" max="19" width="8" style="13" customWidth="1"/>
    <col min="20" max="20" width="7.7109375" style="95" customWidth="1"/>
    <col min="21" max="21" width="7.140625" style="95" customWidth="1"/>
    <col min="22" max="22" width="10.28515625" style="13" customWidth="1"/>
    <col min="23" max="23" width="7.7109375" style="13" customWidth="1"/>
    <col min="24" max="24" width="8.140625" style="19" customWidth="1"/>
    <col min="25" max="25" width="8.85546875" style="19" customWidth="1"/>
    <col min="26" max="26" width="8.140625" style="13" customWidth="1"/>
    <col min="27" max="27" width="8.5703125" style="13" customWidth="1"/>
    <col min="28" max="28" width="9" style="13" customWidth="1"/>
    <col min="29" max="29" width="8.140625" style="13" customWidth="1"/>
    <col min="30" max="30" width="7.5703125" style="13" customWidth="1"/>
    <col min="31" max="31" width="8.5703125" style="13" customWidth="1"/>
    <col min="32" max="32" width="8.85546875" style="13" customWidth="1"/>
    <col min="33" max="33" width="9.7109375" style="13" bestFit="1" customWidth="1"/>
    <col min="34" max="34" width="8.5703125" style="13" customWidth="1"/>
    <col min="35" max="35" width="8" style="13" customWidth="1"/>
    <col min="36" max="36" width="9.140625" style="13" customWidth="1"/>
    <col min="37" max="37" width="9.28515625" style="13" customWidth="1"/>
    <col min="38" max="38" width="5.85546875" style="13" customWidth="1"/>
    <col min="39" max="39" width="6.140625" style="13" customWidth="1"/>
    <col min="40" max="40" width="5.5703125" style="13" customWidth="1"/>
    <col min="41" max="41" width="7.140625" style="13" customWidth="1"/>
    <col min="42" max="42" width="8.28515625" style="13" customWidth="1"/>
    <col min="43" max="43" width="8.7109375" style="13" customWidth="1"/>
    <col min="44" max="45" width="8.7109375" style="13" bestFit="1" customWidth="1"/>
    <col min="46" max="46" width="9.7109375" style="13" bestFit="1" customWidth="1"/>
    <col min="47" max="47" width="8.7109375" style="13" bestFit="1" customWidth="1"/>
    <col min="48" max="48" width="5.85546875" style="13" bestFit="1" customWidth="1"/>
    <col min="49" max="49" width="9.5703125" style="13" bestFit="1" customWidth="1"/>
    <col min="50" max="16384" width="11.140625" style="13"/>
  </cols>
  <sheetData>
    <row r="1" spans="1:49" s="7" customFormat="1">
      <c r="A1" s="460" t="s">
        <v>0</v>
      </c>
      <c r="B1" s="461"/>
      <c r="C1" s="461"/>
      <c r="D1" s="461"/>
      <c r="E1" s="3"/>
      <c r="F1" s="3"/>
      <c r="G1" s="3"/>
      <c r="H1" s="3"/>
      <c r="I1" s="5"/>
      <c r="J1" s="5"/>
      <c r="K1" s="5"/>
      <c r="L1" s="5"/>
      <c r="M1" s="5"/>
      <c r="N1" s="462" t="s">
        <v>3</v>
      </c>
      <c r="O1" s="99" t="str">
        <f>'10GbE Notes'!G2</f>
        <v>3.2/3</v>
      </c>
      <c r="P1" s="5"/>
      <c r="Q1" s="463" t="s">
        <v>151</v>
      </c>
      <c r="R1" s="819" t="str">
        <f>'10GbE Notes'!A1</f>
        <v>10GEPBud3_1_16a.xls</v>
      </c>
      <c r="S1" s="820"/>
      <c r="T1" s="820"/>
      <c r="U1" s="820"/>
      <c r="V1" s="166" t="s">
        <v>12</v>
      </c>
      <c r="W1" s="821">
        <f>'10GbE Notes'!E2</f>
        <v>37181</v>
      </c>
      <c r="X1" s="822"/>
      <c r="Y1" s="515">
        <f>-12.59+5*LOG($C$4/10312.5)+10*LOG(Q/7.034)</f>
        <v>-13.022927918825527</v>
      </c>
      <c r="AA1" s="133"/>
      <c r="AB1" s="26"/>
      <c r="AD1" s="191"/>
      <c r="AF1" s="123"/>
      <c r="AG1" s="314"/>
      <c r="AH1" s="5"/>
      <c r="AJ1" s="118" t="s">
        <v>298</v>
      </c>
      <c r="AK1" s="367">
        <f>MAX(MIN(B_1*Tb_eff*($G$9+1)/(SQRT(8)*AG9),10),-10)</f>
        <v>1.1574511563722718</v>
      </c>
    </row>
    <row r="2" spans="1:49">
      <c r="A2" s="114" t="s">
        <v>128</v>
      </c>
      <c r="B2" s="597" t="s">
        <v>6</v>
      </c>
      <c r="C2" s="465" t="s">
        <v>7</v>
      </c>
      <c r="D2" s="598"/>
      <c r="E2" s="599"/>
      <c r="F2" s="597" t="s">
        <v>132</v>
      </c>
      <c r="G2" s="661">
        <f>Base!G2</f>
        <v>18</v>
      </c>
      <c r="H2" s="598" t="s">
        <v>10</v>
      </c>
      <c r="I2" s="601" t="s">
        <v>1</v>
      </c>
      <c r="J2" s="828" t="s">
        <v>149</v>
      </c>
      <c r="K2" s="828"/>
      <c r="L2" s="824" t="s">
        <v>2</v>
      </c>
      <c r="M2" s="825"/>
      <c r="N2" s="602"/>
      <c r="O2" s="603" t="s">
        <v>139</v>
      </c>
      <c r="P2" s="661">
        <f>Base!P2</f>
        <v>0.42399999999999999</v>
      </c>
      <c r="Q2" s="604" t="s">
        <v>140</v>
      </c>
      <c r="R2" s="605"/>
      <c r="T2" s="606" t="s">
        <v>11</v>
      </c>
      <c r="U2" s="607" t="str">
        <f>'10GbE Notes'!F16</f>
        <v>3.1.16a</v>
      </c>
      <c r="V2" s="608" t="s">
        <v>12</v>
      </c>
      <c r="W2" s="829">
        <f>'10GbE Notes'!D16</f>
        <v>37195</v>
      </c>
      <c r="X2" s="830"/>
      <c r="Y2" s="94"/>
      <c r="Z2" s="352"/>
      <c r="AA2" s="123"/>
      <c r="AB2" s="352"/>
      <c r="AC2" s="71"/>
      <c r="AD2" s="191"/>
      <c r="AE2" s="71"/>
      <c r="AF2" s="123"/>
      <c r="AG2" s="377"/>
      <c r="AH2" s="71"/>
      <c r="AI2" s="83"/>
      <c r="AJ2" s="118" t="s">
        <v>299</v>
      </c>
      <c r="AK2" s="368">
        <f>MAX(MIN(B_1*Tb_eff*(1-$G$9)/(SQRT(8)*AG9),10),-10)</f>
        <v>0.91722544467236644</v>
      </c>
    </row>
    <row r="3" spans="1:49" ht="15" customHeight="1">
      <c r="A3" s="609"/>
      <c r="B3" s="610" t="s">
        <v>28</v>
      </c>
      <c r="C3" s="661">
        <f>Base!Q</f>
        <v>4.0266099999999998</v>
      </c>
      <c r="D3" s="611"/>
      <c r="E3" s="612"/>
      <c r="F3" s="610" t="s">
        <v>133</v>
      </c>
      <c r="G3" s="613">
        <f>G2*1.518</f>
        <v>27.324000000000002</v>
      </c>
      <c r="H3" s="614" t="s">
        <v>10</v>
      </c>
      <c r="I3" s="240" t="s">
        <v>99</v>
      </c>
      <c r="J3" s="599"/>
      <c r="K3" s="603" t="s">
        <v>8</v>
      </c>
      <c r="L3" s="600">
        <f>L4+10*L5</f>
        <v>2</v>
      </c>
      <c r="M3" s="604" t="s">
        <v>9</v>
      </c>
      <c r="N3" s="149" t="s">
        <v>138</v>
      </c>
      <c r="O3" s="615" t="s">
        <v>141</v>
      </c>
      <c r="P3" s="612">
        <f>IF(Uc&lt;1000,850,1310)</f>
        <v>1310</v>
      </c>
      <c r="Q3" s="611" t="s">
        <v>125</v>
      </c>
      <c r="S3" s="616" t="s">
        <v>297</v>
      </c>
      <c r="T3" s="661">
        <f>Base!T3</f>
        <v>-9.3000000000000007</v>
      </c>
      <c r="U3" s="364" t="s">
        <v>117</v>
      </c>
      <c r="V3" s="617" t="s">
        <v>33</v>
      </c>
      <c r="W3" s="808">
        <f>0*AO39</f>
        <v>0</v>
      </c>
      <c r="X3" s="604" t="s">
        <v>152</v>
      </c>
      <c r="Y3" s="94"/>
      <c r="AA3" s="33" t="s">
        <v>41</v>
      </c>
      <c r="AB3" s="21">
        <v>2.5630000000000002</v>
      </c>
      <c r="AC3" s="20" t="s">
        <v>30</v>
      </c>
      <c r="AD3" s="191"/>
      <c r="AE3" s="71"/>
      <c r="AF3" s="33" t="s">
        <v>31</v>
      </c>
      <c r="AG3" s="198">
        <f>B_1*Tb_eff/(SQRT(8)*$T$7)</f>
        <v>1.9624228109863968</v>
      </c>
      <c r="AH3" s="20" t="s">
        <v>30</v>
      </c>
      <c r="AI3" s="83"/>
      <c r="AJ3" s="123" t="s">
        <v>300</v>
      </c>
      <c r="AK3" s="368">
        <f>ERF(AK1)+ERF(AK2)-1</f>
        <v>0.70376630015348418</v>
      </c>
    </row>
    <row r="4" spans="1:49" ht="15" customHeight="1">
      <c r="A4" s="618"/>
      <c r="B4" s="619" t="s">
        <v>38</v>
      </c>
      <c r="C4" s="662">
        <f>Base!C4</f>
        <v>25781.25</v>
      </c>
      <c r="D4" s="620" t="s">
        <v>39</v>
      </c>
      <c r="E4" s="612"/>
      <c r="F4" s="615" t="s">
        <v>131</v>
      </c>
      <c r="G4" s="661">
        <f>Base!G4</f>
        <v>-128</v>
      </c>
      <c r="H4" s="621" t="s">
        <v>37</v>
      </c>
      <c r="I4" s="474" t="s">
        <v>135</v>
      </c>
      <c r="J4" s="612"/>
      <c r="K4" s="610" t="s">
        <v>17</v>
      </c>
      <c r="L4" s="661">
        <f>Base!L4</f>
        <v>1</v>
      </c>
      <c r="M4" s="614" t="s">
        <v>9</v>
      </c>
      <c r="N4" s="609"/>
      <c r="O4" s="610" t="s">
        <v>18</v>
      </c>
      <c r="P4" s="622">
        <f>IF(Uc&gt;1000,$P$2/1.4846,$P$2/3.5)</f>
        <v>0.28559881449548702</v>
      </c>
      <c r="Q4" s="611"/>
      <c r="R4" s="366" t="s">
        <v>57</v>
      </c>
      <c r="S4" s="623" t="s">
        <v>27</v>
      </c>
      <c r="T4" s="661">
        <f>Base!T4</f>
        <v>-12</v>
      </c>
      <c r="U4" s="624" t="s">
        <v>23</v>
      </c>
      <c r="V4" s="169" t="s">
        <v>147</v>
      </c>
      <c r="W4" s="28"/>
      <c r="X4" s="625" t="str">
        <f>$L$3&amp;" km"</f>
        <v>2 km</v>
      </c>
      <c r="Y4" s="93"/>
      <c r="AA4" s="123" t="s">
        <v>24</v>
      </c>
      <c r="AB4" s="199">
        <f>0.7*$P$8*$C$7</f>
        <v>1.3019999999999999E-2</v>
      </c>
      <c r="AC4" s="8" t="s">
        <v>14</v>
      </c>
      <c r="AD4" s="67"/>
      <c r="AE4" s="71"/>
      <c r="AF4" s="33" t="s">
        <v>34</v>
      </c>
      <c r="AG4" s="65">
        <f>IF(ABS($AG$3)&lt;10,SIGN($AG$3)*ERF(ABS($AG$3)),SIGN($AG$3))</f>
        <v>0.99448466355799525</v>
      </c>
      <c r="AH4" s="20" t="s">
        <v>30</v>
      </c>
      <c r="AI4" s="83"/>
      <c r="AJ4" s="123" t="s">
        <v>301</v>
      </c>
      <c r="AK4" s="367">
        <f>AK3*(1-2*$L$10*10^(-$C17/10)*$AB$5*SQRT(2*ER*(AK3*(ER-1)+ER+1))/(AK3*(ER-1)))</f>
        <v>0.53845444029252054</v>
      </c>
    </row>
    <row r="5" spans="1:49" ht="15" customHeight="1">
      <c r="A5" s="114" t="s">
        <v>129</v>
      </c>
      <c r="B5" s="612"/>
      <c r="C5" s="612"/>
      <c r="D5" s="612"/>
      <c r="E5" s="612"/>
      <c r="F5" s="610" t="s">
        <v>42</v>
      </c>
      <c r="G5" s="626">
        <f>G4-2*C11</f>
        <v>-136.34059991327962</v>
      </c>
      <c r="H5" s="627" t="s">
        <v>37</v>
      </c>
      <c r="I5" s="477" t="s">
        <v>136</v>
      </c>
      <c r="J5" s="605"/>
      <c r="K5" s="619" t="s">
        <v>21</v>
      </c>
      <c r="L5" s="661">
        <f>Base!L5</f>
        <v>0.1</v>
      </c>
      <c r="M5" s="628" t="s">
        <v>9</v>
      </c>
      <c r="N5" s="609"/>
      <c r="O5" s="629" t="s">
        <v>139</v>
      </c>
      <c r="P5" s="622">
        <f>$P$4*((1/(0.00094*Uc)^4)+1.05)</f>
        <v>0.42994539252777514</v>
      </c>
      <c r="Q5" s="611" t="s">
        <v>140</v>
      </c>
      <c r="R5" s="630"/>
      <c r="S5" s="629" t="s">
        <v>43</v>
      </c>
      <c r="T5" s="664">
        <f>Base!T5</f>
        <v>19335.9375</v>
      </c>
      <c r="U5" s="614" t="s">
        <v>44</v>
      </c>
      <c r="V5" s="405" t="s">
        <v>271</v>
      </c>
      <c r="W5" s="664">
        <f>Base!W5</f>
        <v>19335.9375</v>
      </c>
      <c r="X5" s="407" t="s">
        <v>44</v>
      </c>
      <c r="Y5" s="93"/>
      <c r="AA5" s="281" t="s">
        <v>4</v>
      </c>
      <c r="AB5" s="284">
        <f>10^(($G$12+$T$4)/20)</f>
        <v>6.3095734448019317E-2</v>
      </c>
      <c r="AC5" s="285" t="s">
        <v>5</v>
      </c>
      <c r="AD5" s="64"/>
      <c r="AE5" s="71"/>
      <c r="AF5" s="194" t="s">
        <v>48</v>
      </c>
      <c r="AG5" s="22">
        <f>ERF(MAX(MIN(B_1*Tb_eff*($L$13+1)/(SQRT(8)*$T$7),10),-10))+ERF(MAX(MIN(B_1*Tb_eff*(1-$L$13)/(SQRT(8)*$T$7),10),-10))-1</f>
        <v>0.97076857005422212</v>
      </c>
      <c r="AH5" s="193" t="s">
        <v>30</v>
      </c>
      <c r="AI5" s="83"/>
    </row>
    <row r="6" spans="1:49" ht="15" customHeight="1">
      <c r="A6" s="609"/>
      <c r="B6" s="610" t="s">
        <v>137</v>
      </c>
      <c r="C6" s="663">
        <f>Base!Uc</f>
        <v>1295</v>
      </c>
      <c r="D6" s="623" t="s">
        <v>125</v>
      </c>
      <c r="E6" s="612"/>
      <c r="F6" s="610" t="s">
        <v>26</v>
      </c>
      <c r="G6" s="661">
        <f>Base!G6</f>
        <v>0.7</v>
      </c>
      <c r="H6" s="611"/>
      <c r="I6" s="612"/>
      <c r="J6" s="612"/>
      <c r="K6" s="629" t="s">
        <v>134</v>
      </c>
      <c r="L6" s="622">
        <f>C8-T3</f>
        <v>6.2000000000000011</v>
      </c>
      <c r="M6" s="631" t="s">
        <v>23</v>
      </c>
      <c r="N6" s="609"/>
      <c r="O6" s="615" t="s">
        <v>141</v>
      </c>
      <c r="P6" s="612">
        <f>Uc</f>
        <v>1295</v>
      </c>
      <c r="Q6" s="611" t="s">
        <v>125</v>
      </c>
      <c r="R6" s="632"/>
      <c r="S6" s="615" t="s">
        <v>51</v>
      </c>
      <c r="T6" s="26">
        <v>329</v>
      </c>
      <c r="U6" s="105" t="s">
        <v>46</v>
      </c>
      <c r="V6" s="402"/>
      <c r="W6" s="403"/>
      <c r="X6" s="404"/>
      <c r="Y6" s="93"/>
      <c r="AA6" s="195" t="s">
        <v>13</v>
      </c>
      <c r="AB6" s="196">
        <f>10^(C9/10)</f>
        <v>2.2404317927149706</v>
      </c>
      <c r="AC6" s="197" t="s">
        <v>5</v>
      </c>
      <c r="AD6" s="20"/>
      <c r="AF6" s="279" t="s">
        <v>277</v>
      </c>
      <c r="AG6" s="286">
        <f>kRIN*10^6*$AK$7*$AK$7/SQRT((1/F17)^2+(1/G17)^2+0.477*(1/$W$5)^2)*10^($G$4/10)</f>
        <v>3.1060185664143918E-3</v>
      </c>
      <c r="AH6" s="287" t="s">
        <v>367</v>
      </c>
      <c r="AI6" s="83"/>
    </row>
    <row r="7" spans="1:49" ht="15" customHeight="1">
      <c r="A7" s="609"/>
      <c r="B7" s="485" t="s">
        <v>406</v>
      </c>
      <c r="C7" s="661">
        <f>Base!C7</f>
        <v>0.2</v>
      </c>
      <c r="D7" s="623" t="s">
        <v>125</v>
      </c>
      <c r="E7" s="633"/>
      <c r="F7" s="668" t="s">
        <v>446</v>
      </c>
      <c r="G7" s="669">
        <f>G44</f>
        <v>6.2060606060606061</v>
      </c>
      <c r="H7" s="105" t="str">
        <f>IF(G9&lt;0,"should not be &lt; DCD!","ps inc. DCD")</f>
        <v>ps inc. DCD</v>
      </c>
      <c r="I7" s="612"/>
      <c r="J7" s="612"/>
      <c r="K7" s="634" t="s">
        <v>143</v>
      </c>
      <c r="L7" s="661">
        <f>Base!L7</f>
        <v>2</v>
      </c>
      <c r="M7" s="631" t="s">
        <v>23</v>
      </c>
      <c r="N7" s="609"/>
      <c r="O7" s="629" t="s">
        <v>124</v>
      </c>
      <c r="P7" s="664">
        <f>Base!P7</f>
        <v>1324</v>
      </c>
      <c r="Q7" s="611" t="s">
        <v>125</v>
      </c>
      <c r="R7" s="632"/>
      <c r="S7" s="615" t="s">
        <v>47</v>
      </c>
      <c r="T7" s="626">
        <f>T6*1000/$T$5</f>
        <v>17.014949494949494</v>
      </c>
      <c r="U7" s="611" t="s">
        <v>10</v>
      </c>
      <c r="V7" s="635" t="s">
        <v>122</v>
      </c>
      <c r="W7" s="612"/>
      <c r="X7" s="636"/>
      <c r="Y7" s="93"/>
      <c r="AA7" s="195" t="s">
        <v>19</v>
      </c>
      <c r="AB7" s="196">
        <f>(ER+1)/(ER-1)</f>
        <v>2.6123417762636829</v>
      </c>
      <c r="AC7" s="197" t="s">
        <v>5</v>
      </c>
      <c r="AD7" s="20"/>
      <c r="AF7" s="281" t="s">
        <v>106</v>
      </c>
      <c r="AG7" s="288">
        <f>(1-10^(-Pmn/5))/(Q*Q)</f>
        <v>0</v>
      </c>
      <c r="AH7" s="289" t="s">
        <v>105</v>
      </c>
      <c r="AI7" s="71"/>
      <c r="AJ7" s="123" t="s">
        <v>306</v>
      </c>
      <c r="AK7" s="388">
        <v>1</v>
      </c>
    </row>
    <row r="8" spans="1:49" ht="15" customHeight="1">
      <c r="A8" s="609"/>
      <c r="B8" s="615" t="s">
        <v>121</v>
      </c>
      <c r="C8" s="661">
        <f>Base!C8</f>
        <v>-3.1</v>
      </c>
      <c r="D8" s="612" t="s">
        <v>117</v>
      </c>
      <c r="E8" s="612"/>
      <c r="F8" s="629" t="s">
        <v>40</v>
      </c>
      <c r="G8" s="661">
        <f>Base!G8</f>
        <v>1.9393939393939394</v>
      </c>
      <c r="H8" s="611" t="s">
        <v>358</v>
      </c>
      <c r="I8" s="612"/>
      <c r="J8" s="612"/>
      <c r="K8" s="637" t="s">
        <v>29</v>
      </c>
      <c r="L8" s="623">
        <f>$L$6-$L$7</f>
        <v>4.2000000000000011</v>
      </c>
      <c r="M8" s="631" t="s">
        <v>23</v>
      </c>
      <c r="N8" s="100"/>
      <c r="O8" s="629" t="s">
        <v>357</v>
      </c>
      <c r="P8" s="343">
        <v>9.2999999999999999E-2</v>
      </c>
      <c r="Q8" s="611" t="s">
        <v>146</v>
      </c>
      <c r="R8" s="632"/>
      <c r="S8" s="638" t="s">
        <v>282</v>
      </c>
      <c r="T8" s="639">
        <f>$G$14*10^6/$C$4</f>
        <v>7.7575757575757551</v>
      </c>
      <c r="U8" s="611" t="s">
        <v>10</v>
      </c>
      <c r="V8" s="149" t="s">
        <v>148</v>
      </c>
      <c r="W8" s="491">
        <v>6</v>
      </c>
      <c r="X8" s="611" t="s">
        <v>23</v>
      </c>
      <c r="Y8" s="93"/>
      <c r="AA8" s="133" t="s">
        <v>153</v>
      </c>
      <c r="AB8" s="15">
        <f>10*LOG10((1+10^(-($W$8/10)))/(1-10^(-($W$8/10))))</f>
        <v>2.2295037120051053</v>
      </c>
      <c r="AC8" s="7" t="s">
        <v>23</v>
      </c>
      <c r="AD8" s="20"/>
      <c r="AE8" s="71"/>
      <c r="AF8" s="133" t="s">
        <v>272</v>
      </c>
      <c r="AG8" s="108">
        <f>$T$6*1000/$W$5</f>
        <v>17.014949494949494</v>
      </c>
      <c r="AH8" s="7" t="s">
        <v>10</v>
      </c>
      <c r="AI8" s="315" t="s">
        <v>287</v>
      </c>
      <c r="AJ8" s="323">
        <v>0.5</v>
      </c>
      <c r="AK8" s="324">
        <f>0.5+0.5*10^-0.36</f>
        <v>0.71825791612008294</v>
      </c>
      <c r="AN8" s="96"/>
      <c r="AO8" s="14"/>
    </row>
    <row r="9" spans="1:49" ht="15" customHeight="1">
      <c r="A9" s="609"/>
      <c r="B9" s="610" t="s">
        <v>120</v>
      </c>
      <c r="C9" s="622">
        <f>10*LOG10((2*AB12+AB11)/(2*AB12-AB11))</f>
        <v>3.5033172687061382</v>
      </c>
      <c r="D9" s="623" t="s">
        <v>23</v>
      </c>
      <c r="E9" s="612"/>
      <c r="F9" s="610" t="s">
        <v>130</v>
      </c>
      <c r="G9" s="640">
        <f>(10^-6)*($G$7-$G$8)*$L$11</f>
        <v>0.11578947368421053</v>
      </c>
      <c r="H9" s="627" t="s">
        <v>123</v>
      </c>
      <c r="I9" s="612"/>
      <c r="J9" s="612"/>
      <c r="K9" s="610" t="s">
        <v>45</v>
      </c>
      <c r="L9" s="493">
        <v>480</v>
      </c>
      <c r="M9" s="612" t="s">
        <v>46</v>
      </c>
      <c r="N9" s="609"/>
      <c r="O9" s="610" t="s">
        <v>356</v>
      </c>
      <c r="P9" s="622">
        <f>0.25*$P$8*Uc*(1-(Uo/Uc)^4)</f>
        <v>-2.7889542808176633</v>
      </c>
      <c r="Q9" s="627" t="s">
        <v>14</v>
      </c>
      <c r="R9" s="632"/>
      <c r="S9" s="638" t="s">
        <v>280</v>
      </c>
      <c r="T9" s="494"/>
      <c r="U9" s="105" t="s">
        <v>281</v>
      </c>
      <c r="V9" s="641" t="s">
        <v>279</v>
      </c>
      <c r="W9" s="622">
        <f>10*LOG10((1+10^(-($W$8/10)))/(1-10^(-($W$8/10))))</f>
        <v>2.2295037120051053</v>
      </c>
      <c r="X9" s="611" t="s">
        <v>20</v>
      </c>
      <c r="Y9" s="93"/>
      <c r="AA9" s="378" t="s">
        <v>363</v>
      </c>
      <c r="AB9" s="196">
        <f>$C$11-$AB$8</f>
        <v>1.9407962446347065</v>
      </c>
      <c r="AC9" s="196" t="s">
        <v>20</v>
      </c>
      <c r="AD9" s="193"/>
      <c r="AE9" s="71"/>
      <c r="AF9" s="71" t="s">
        <v>273</v>
      </c>
      <c r="AG9" s="372">
        <f>SQRT($H$17^2+$AG$8^2)</f>
        <v>32.188655330529691</v>
      </c>
      <c r="AH9" s="7" t="s">
        <v>10</v>
      </c>
      <c r="AI9" s="11"/>
      <c r="AJ9" s="28">
        <v>0.5</v>
      </c>
      <c r="AK9" s="325">
        <f>0.5-0.5*10^-0.36</f>
        <v>0.28174208387991706</v>
      </c>
      <c r="AM9" s="96"/>
      <c r="AN9" s="96"/>
      <c r="AO9" s="14"/>
    </row>
    <row r="10" spans="1:49" ht="15" customHeight="1">
      <c r="A10" s="609"/>
      <c r="B10" s="634" t="s">
        <v>118</v>
      </c>
      <c r="C10" s="661">
        <f>Base!C10</f>
        <v>-1.9400000000000002</v>
      </c>
      <c r="D10" s="612" t="s">
        <v>117</v>
      </c>
      <c r="E10" s="612"/>
      <c r="F10" s="610" t="s">
        <v>49</v>
      </c>
      <c r="G10" s="343">
        <v>0</v>
      </c>
      <c r="H10" s="611"/>
      <c r="I10" s="612"/>
      <c r="J10" s="612"/>
      <c r="K10" s="642" t="s">
        <v>127</v>
      </c>
      <c r="L10" s="661">
        <f>Base!L10</f>
        <v>0.6</v>
      </c>
      <c r="M10" s="624" t="s">
        <v>30</v>
      </c>
      <c r="N10" s="609"/>
      <c r="O10" s="9"/>
      <c r="P10" s="9"/>
      <c r="Q10" s="105"/>
      <c r="R10" s="632"/>
      <c r="S10" s="637" t="s">
        <v>145</v>
      </c>
      <c r="T10" s="666">
        <f>Base!SD_blw</f>
        <v>1.2500000000000001E-2</v>
      </c>
      <c r="U10" s="643" t="s">
        <v>55</v>
      </c>
      <c r="V10" s="609"/>
      <c r="W10" s="612"/>
      <c r="X10" s="636"/>
      <c r="Y10" s="93"/>
      <c r="AD10" s="193"/>
      <c r="AE10" s="71"/>
      <c r="AF10" s="123" t="s">
        <v>274</v>
      </c>
      <c r="AG10" s="314">
        <f>MAX(MIN(B_1*Tb_eff*($G$14*$Y$44+$G$9+1)/(SQRT(8)*$AG$9),10),-10)</f>
        <v>1.3758381670085496</v>
      </c>
      <c r="AH10" s="71"/>
      <c r="AI10" s="71"/>
      <c r="AJ10" s="133"/>
      <c r="AK10" s="108"/>
      <c r="AL10" s="7"/>
      <c r="AM10" s="96"/>
      <c r="AN10" s="96"/>
      <c r="AO10" s="14"/>
    </row>
    <row r="11" spans="1:49" ht="15" customHeight="1">
      <c r="A11" s="609"/>
      <c r="B11" s="610" t="s">
        <v>119</v>
      </c>
      <c r="C11" s="622">
        <f>10*LOG10(AB7)</f>
        <v>4.1702999566398118</v>
      </c>
      <c r="D11" s="612" t="s">
        <v>20</v>
      </c>
      <c r="E11" s="612"/>
      <c r="F11" s="610" t="s">
        <v>50</v>
      </c>
      <c r="G11" s="644">
        <f>$AG$12-2.519*SQRT($AG$6)</f>
        <v>0.48492218826880318</v>
      </c>
      <c r="H11" s="645"/>
      <c r="I11" s="612"/>
      <c r="J11" s="612"/>
      <c r="K11" s="634" t="s">
        <v>142</v>
      </c>
      <c r="L11" s="613">
        <f>1/((1/$C$4)-$G$8*10^-6)</f>
        <v>27138.15789473684</v>
      </c>
      <c r="M11" s="623" t="s">
        <v>39</v>
      </c>
      <c r="N11" s="609"/>
      <c r="O11" s="634" t="str">
        <f>IF(L2="SMF","PolMD DGDmax","(not in use)")</f>
        <v>PolMD DGDmax</v>
      </c>
      <c r="P11" s="661">
        <f>Base!P11</f>
        <v>4.4721359549995796</v>
      </c>
      <c r="Q11" s="646" t="str">
        <f>IF(L2="SMF","ps at target "&amp;L3&amp;M3,"")</f>
        <v>ps at target 2km</v>
      </c>
      <c r="R11" s="632"/>
      <c r="S11" s="612"/>
      <c r="T11" s="612"/>
      <c r="U11" s="501"/>
      <c r="V11" s="502" t="s">
        <v>362</v>
      </c>
      <c r="W11" s="737">
        <f>-10*LOG10(ERF(AQ39)+ERF(AR39) - 1)</f>
        <v>1.6426330912600777</v>
      </c>
      <c r="X11" s="628" t="s">
        <v>20</v>
      </c>
      <c r="Y11" s="93"/>
      <c r="AA11" s="133" t="s">
        <v>290</v>
      </c>
      <c r="AB11" s="10">
        <f>10^(($C$8/10)+3)</f>
        <v>489.77881936844625</v>
      </c>
      <c r="AC11" s="7" t="s">
        <v>36</v>
      </c>
      <c r="AD11" s="193"/>
      <c r="AE11" s="71"/>
      <c r="AF11" s="123" t="s">
        <v>275</v>
      </c>
      <c r="AG11" s="314">
        <f>MAX(MIN(B_1*Tb_eff*(1-$G$14*$Y$44-$G$9)/(SQRT(8)*$AG$9),10),-10)</f>
        <v>0.6988384340360887</v>
      </c>
      <c r="AH11" s="71"/>
      <c r="AI11" s="71"/>
      <c r="AJ11" s="123"/>
      <c r="AK11" s="372"/>
      <c r="AL11" s="7"/>
      <c r="AM11" s="96"/>
      <c r="AN11" s="96"/>
      <c r="AO11" s="14"/>
    </row>
    <row r="12" spans="1:49" ht="15" customHeight="1">
      <c r="A12" s="609" t="s">
        <v>250</v>
      </c>
      <c r="B12" s="612" t="s">
        <v>251</v>
      </c>
      <c r="C12" s="26">
        <v>0.3</v>
      </c>
      <c r="D12" s="612" t="s">
        <v>116</v>
      </c>
      <c r="E12" s="612"/>
      <c r="F12" s="623" t="s">
        <v>22</v>
      </c>
      <c r="G12" s="661">
        <f>Base!G12</f>
        <v>-12</v>
      </c>
      <c r="H12" s="627" t="s">
        <v>23</v>
      </c>
      <c r="I12" s="612"/>
      <c r="J12" s="612"/>
      <c r="K12" s="610" t="s">
        <v>108</v>
      </c>
      <c r="L12" s="613">
        <f>1000000/$L$11</f>
        <v>36.848484848484851</v>
      </c>
      <c r="M12" s="612" t="s">
        <v>10</v>
      </c>
      <c r="N12" s="609"/>
      <c r="O12" s="629" t="s">
        <v>15</v>
      </c>
      <c r="P12" s="665">
        <f>Base!P12</f>
        <v>1000000</v>
      </c>
      <c r="Q12" s="105" t="s">
        <v>16</v>
      </c>
      <c r="R12" s="632"/>
      <c r="S12" s="647" t="s">
        <v>144</v>
      </c>
      <c r="T12" s="640">
        <f>10*LOG10(1/SQRT(1-(Q*SD_blw)^2))</f>
        <v>5.5081298990234439E-3</v>
      </c>
      <c r="U12" s="648" t="s">
        <v>23</v>
      </c>
      <c r="W12" s="738">
        <f>Pmn+Q28+R28+S28/2</f>
        <v>0.37124581406478385</v>
      </c>
      <c r="X12" s="650" t="s">
        <v>52</v>
      </c>
      <c r="Y12" s="67"/>
      <c r="AA12" s="91" t="s">
        <v>35</v>
      </c>
      <c r="AB12" s="192">
        <f>1000*10^(C10/10)</f>
        <v>639.73483548264812</v>
      </c>
      <c r="AC12" s="83" t="s">
        <v>36</v>
      </c>
      <c r="AD12" s="71"/>
      <c r="AE12" s="71"/>
      <c r="AF12" s="123" t="s">
        <v>276</v>
      </c>
      <c r="AG12" s="314">
        <f>ERF(AG10)+ERF(AG11)-1</f>
        <v>0.62531025427372322</v>
      </c>
      <c r="AH12" s="71"/>
      <c r="AI12" s="71"/>
      <c r="AJ12" s="118"/>
      <c r="AK12" s="367"/>
      <c r="AL12" s="9"/>
      <c r="AM12" s="96"/>
      <c r="AN12" s="96"/>
      <c r="AO12" s="14"/>
    </row>
    <row r="13" spans="1:49" ht="15" customHeight="1">
      <c r="A13" s="609"/>
      <c r="B13" s="612" t="s">
        <v>252</v>
      </c>
      <c r="C13" s="26">
        <v>0.4</v>
      </c>
      <c r="D13" s="612" t="s">
        <v>116</v>
      </c>
      <c r="E13" s="612"/>
      <c r="F13" s="637" t="s">
        <v>173</v>
      </c>
      <c r="G13" s="667">
        <f>Base!Pmn</f>
        <v>0</v>
      </c>
      <c r="H13" s="614" t="s">
        <v>23</v>
      </c>
      <c r="I13" s="605"/>
      <c r="J13" s="605"/>
      <c r="K13" s="619" t="s">
        <v>150</v>
      </c>
      <c r="L13" s="651">
        <f>(10^-6)*$T$8*$L$11</f>
        <v>0.21052631578947359</v>
      </c>
      <c r="M13" s="652" t="s">
        <v>116</v>
      </c>
      <c r="N13" s="618"/>
      <c r="O13" s="653" t="s">
        <v>32</v>
      </c>
      <c r="P13" s="660">
        <f>IF(L2="SMF",1000000*L3/(3*P11),P12)</f>
        <v>149071.19849998597</v>
      </c>
      <c r="Q13" s="628" t="s">
        <v>16</v>
      </c>
      <c r="R13" s="654"/>
      <c r="S13" s="655" t="s">
        <v>56</v>
      </c>
      <c r="T13" s="656">
        <f>10*LOG10(1/SQRT(1-(Q*SD_blw/$AG$5)^2))</f>
        <v>5.8452953709474901E-3</v>
      </c>
      <c r="U13" s="657" t="s">
        <v>23</v>
      </c>
      <c r="V13" s="28"/>
      <c r="W13" s="739">
        <f>W11+((3.2905/Q)*W12)</f>
        <v>1.9460109577979772</v>
      </c>
      <c r="X13" s="659" t="s">
        <v>296</v>
      </c>
      <c r="Y13" s="337"/>
      <c r="Z13" s="323"/>
      <c r="AA13" s="338" t="s">
        <v>54</v>
      </c>
      <c r="AB13" s="339" t="s">
        <v>53</v>
      </c>
      <c r="AC13" s="339" t="s">
        <v>54</v>
      </c>
      <c r="AD13" s="339" t="s">
        <v>112</v>
      </c>
      <c r="AE13" s="323"/>
      <c r="AF13" s="323"/>
      <c r="AG13" s="817" t="s">
        <v>61</v>
      </c>
      <c r="AH13" s="818"/>
      <c r="AJ13" s="118"/>
      <c r="AK13" s="368"/>
      <c r="AL13" s="9"/>
      <c r="AM13" s="96"/>
      <c r="AN13" s="96"/>
      <c r="AO13" s="14"/>
    </row>
    <row r="14" spans="1:49" ht="15" customHeight="1">
      <c r="A14" s="11"/>
      <c r="B14" s="107" t="s">
        <v>253</v>
      </c>
      <c r="C14" s="82">
        <v>0.25</v>
      </c>
      <c r="D14" s="107"/>
      <c r="E14" s="157"/>
      <c r="F14" s="145" t="s">
        <v>115</v>
      </c>
      <c r="G14" s="107">
        <f>2*(0.5-$C$13)</f>
        <v>0.19999999999999996</v>
      </c>
      <c r="H14" s="132" t="s">
        <v>116</v>
      </c>
      <c r="I14" s="93"/>
      <c r="J14" s="574" t="s">
        <v>58</v>
      </c>
      <c r="K14" s="779" t="s">
        <v>254</v>
      </c>
      <c r="L14" s="575" t="s">
        <v>107</v>
      </c>
      <c r="M14" s="786" t="s">
        <v>107</v>
      </c>
      <c r="N14" s="576" t="s">
        <v>294</v>
      </c>
      <c r="O14" s="577"/>
      <c r="P14" s="577"/>
      <c r="Q14" s="577"/>
      <c r="R14" s="357"/>
      <c r="S14" s="574" t="s">
        <v>74</v>
      </c>
      <c r="T14" s="578" t="s">
        <v>75</v>
      </c>
      <c r="U14" s="769" t="s">
        <v>293</v>
      </c>
      <c r="V14" s="574" t="s">
        <v>77</v>
      </c>
      <c r="W14" s="349"/>
      <c r="X14" s="533" t="s">
        <v>223</v>
      </c>
      <c r="Y14" s="358"/>
      <c r="Z14" s="352"/>
      <c r="AA14" s="290" t="s">
        <v>295</v>
      </c>
      <c r="AB14" s="27" t="s">
        <v>59</v>
      </c>
      <c r="AC14" s="27" t="s">
        <v>60</v>
      </c>
      <c r="AD14" s="27" t="s">
        <v>113</v>
      </c>
      <c r="AE14" s="100" t="s">
        <v>114</v>
      </c>
      <c r="AF14" s="19"/>
      <c r="AG14" s="100"/>
      <c r="AH14" s="9"/>
      <c r="AI14" s="100" t="s">
        <v>111</v>
      </c>
      <c r="AL14" s="9"/>
      <c r="AM14" s="96" t="s">
        <v>283</v>
      </c>
      <c r="AN14" s="340" t="s">
        <v>99</v>
      </c>
      <c r="AO14" s="14"/>
      <c r="AP14" s="327" t="s">
        <v>68</v>
      </c>
      <c r="AQ14" s="329" t="s">
        <v>361</v>
      </c>
    </row>
    <row r="15" spans="1:49" s="352" customFormat="1" ht="15" customHeight="1">
      <c r="A15" s="528" t="s">
        <v>62</v>
      </c>
      <c r="B15" s="248" t="s">
        <v>69</v>
      </c>
      <c r="C15" s="529" t="s">
        <v>76</v>
      </c>
      <c r="D15" s="530" t="s">
        <v>63</v>
      </c>
      <c r="E15" s="530" t="s">
        <v>64</v>
      </c>
      <c r="F15" s="531" t="s">
        <v>65</v>
      </c>
      <c r="G15" s="532" t="s">
        <v>66</v>
      </c>
      <c r="H15" s="530" t="s">
        <v>67</v>
      </c>
      <c r="I15" s="530" t="s">
        <v>68</v>
      </c>
      <c r="J15" s="348" t="s">
        <v>79</v>
      </c>
      <c r="K15" s="779" t="s">
        <v>59</v>
      </c>
      <c r="L15" s="348" t="s">
        <v>79</v>
      </c>
      <c r="M15" s="787" t="s">
        <v>59</v>
      </c>
      <c r="N15" s="348" t="s">
        <v>79</v>
      </c>
      <c r="O15" s="530" t="s">
        <v>70</v>
      </c>
      <c r="P15" s="248" t="s">
        <v>71</v>
      </c>
      <c r="Q15" s="248" t="s">
        <v>72</v>
      </c>
      <c r="R15" s="248" t="s">
        <v>73</v>
      </c>
      <c r="S15" s="348" t="s">
        <v>79</v>
      </c>
      <c r="T15" s="534" t="s">
        <v>79</v>
      </c>
      <c r="U15" s="770" t="s">
        <v>59</v>
      </c>
      <c r="V15" s="348" t="s">
        <v>79</v>
      </c>
      <c r="W15" s="349" t="s">
        <v>33</v>
      </c>
      <c r="X15" s="535" t="s">
        <v>79</v>
      </c>
      <c r="Y15" s="32" t="s">
        <v>85</v>
      </c>
      <c r="Z15" s="33" t="s">
        <v>104</v>
      </c>
      <c r="AA15" s="290" t="s">
        <v>81</v>
      </c>
      <c r="AB15" s="27" t="s">
        <v>80</v>
      </c>
      <c r="AC15" s="27" t="s">
        <v>81</v>
      </c>
      <c r="AD15" s="27" t="s">
        <v>79</v>
      </c>
      <c r="AE15" s="101" t="s">
        <v>86</v>
      </c>
      <c r="AF15" s="17" t="s">
        <v>87</v>
      </c>
      <c r="AG15" s="101" t="s">
        <v>88</v>
      </c>
      <c r="AH15" s="23" t="s">
        <v>89</v>
      </c>
      <c r="AI15" s="101" t="s">
        <v>109</v>
      </c>
      <c r="AJ15" s="17" t="s">
        <v>110</v>
      </c>
      <c r="AK15" s="296" t="s">
        <v>78</v>
      </c>
      <c r="AL15" s="350" t="s">
        <v>82</v>
      </c>
      <c r="AM15" s="183" t="s">
        <v>83</v>
      </c>
      <c r="AN15" s="351"/>
      <c r="AO15" s="318" t="s">
        <v>84</v>
      </c>
      <c r="AP15" s="329" t="s">
        <v>284</v>
      </c>
      <c r="AQ15" s="328" t="s">
        <v>359</v>
      </c>
      <c r="AR15" s="328" t="s">
        <v>360</v>
      </c>
      <c r="AS15" s="13"/>
      <c r="AT15" s="13"/>
      <c r="AU15" s="13"/>
      <c r="AV15" s="13"/>
      <c r="AW15" s="13"/>
    </row>
    <row r="16" spans="1:49" s="354" customFormat="1" ht="15" customHeight="1">
      <c r="A16" s="162" t="s">
        <v>90</v>
      </c>
      <c r="B16" s="245" t="s">
        <v>93</v>
      </c>
      <c r="C16" s="536" t="s">
        <v>93</v>
      </c>
      <c r="D16" s="171" t="s">
        <v>126</v>
      </c>
      <c r="E16" s="171" t="s">
        <v>126</v>
      </c>
      <c r="F16" s="537" t="s">
        <v>91</v>
      </c>
      <c r="G16" s="537" t="s">
        <v>91</v>
      </c>
      <c r="H16" s="171" t="s">
        <v>92</v>
      </c>
      <c r="I16" s="171" t="s">
        <v>92</v>
      </c>
      <c r="J16" s="538" t="s">
        <v>96</v>
      </c>
      <c r="K16" s="780" t="s">
        <v>93</v>
      </c>
      <c r="L16" s="245" t="s">
        <v>93</v>
      </c>
      <c r="M16" s="788" t="s">
        <v>93</v>
      </c>
      <c r="N16" s="245" t="s">
        <v>93</v>
      </c>
      <c r="O16" s="171"/>
      <c r="P16" s="245"/>
      <c r="Q16" s="245" t="s">
        <v>93</v>
      </c>
      <c r="R16" s="245" t="s">
        <v>93</v>
      </c>
      <c r="S16" s="245" t="s">
        <v>93</v>
      </c>
      <c r="T16" s="539" t="s">
        <v>93</v>
      </c>
      <c r="U16" s="771" t="s">
        <v>94</v>
      </c>
      <c r="V16" s="245" t="s">
        <v>94</v>
      </c>
      <c r="W16" s="171" t="s">
        <v>93</v>
      </c>
      <c r="X16" s="540" t="s">
        <v>95</v>
      </c>
      <c r="Y16" s="37" t="s">
        <v>97</v>
      </c>
      <c r="Z16" s="38" t="s">
        <v>97</v>
      </c>
      <c r="AA16" s="291" t="s">
        <v>97</v>
      </c>
      <c r="AB16" s="34" t="s">
        <v>97</v>
      </c>
      <c r="AC16" s="34" t="s">
        <v>97</v>
      </c>
      <c r="AD16" s="34" t="s">
        <v>97</v>
      </c>
      <c r="AE16" s="102" t="s">
        <v>97</v>
      </c>
      <c r="AF16" s="38" t="s">
        <v>97</v>
      </c>
      <c r="AG16" s="102" t="s">
        <v>97</v>
      </c>
      <c r="AH16" s="38" t="s">
        <v>97</v>
      </c>
      <c r="AI16" s="102" t="s">
        <v>97</v>
      </c>
      <c r="AJ16" s="38" t="s">
        <v>97</v>
      </c>
      <c r="AK16" s="297"/>
      <c r="AL16" s="353" t="s">
        <v>93</v>
      </c>
      <c r="AM16" s="35" t="s">
        <v>98</v>
      </c>
      <c r="AN16" s="354" t="s">
        <v>93</v>
      </c>
      <c r="AO16" s="36" t="s">
        <v>100</v>
      </c>
      <c r="AP16" s="330" t="s">
        <v>92</v>
      </c>
      <c r="AQ16" s="331" t="s">
        <v>97</v>
      </c>
      <c r="AR16" s="331" t="s">
        <v>97</v>
      </c>
      <c r="AS16" s="28"/>
      <c r="AT16" s="28"/>
      <c r="AU16" s="28"/>
      <c r="AV16" s="28"/>
      <c r="AW16" s="28"/>
    </row>
    <row r="17" spans="1:44" s="3" customFormat="1" ht="15" customHeight="1">
      <c r="A17" s="541">
        <v>2E-3</v>
      </c>
      <c r="B17" s="246">
        <f t="shared" ref="B17:B38" si="0">A17*$P$4*((1/(0.00094*Uc)^4)+1.05)</f>
        <v>8.5989078505555039E-4</v>
      </c>
      <c r="C17" s="246">
        <f t="shared" ref="C17:C38" si="1">$L$7+B17</f>
        <v>2.0008598907850557</v>
      </c>
      <c r="D17" s="542">
        <f t="shared" ref="D17:D38" si="2">A17*$P$9</f>
        <v>-5.5779085616353263E-3</v>
      </c>
      <c r="E17" s="246">
        <f t="shared" ref="E17:E38" si="3">A17*$AB$4</f>
        <v>2.6039999999999998E-5</v>
      </c>
      <c r="F17" s="543">
        <f t="shared" ref="F17:F38" si="4">(0.187/$C$7)*10^6/(SQRT(D17^2+E17^2))</f>
        <v>167623725.10908553</v>
      </c>
      <c r="G17" s="544">
        <f t="shared" ref="G17:G38" si="5">$P$13/A17</f>
        <v>74535599.249992982</v>
      </c>
      <c r="H17" s="545">
        <f t="shared" ref="H17:H38" si="6">SQRT((1000*C_1/F17)^2+(1000*C_1/G17)^2+$G$3^2)</f>
        <v>27.324000908943692</v>
      </c>
      <c r="I17" s="545">
        <f t="shared" ref="I17:I38" si="7">SQRT(H17^2+$T$7^2)</f>
        <v>32.188655330529691</v>
      </c>
      <c r="J17" s="246">
        <f t="shared" ref="J17:J38" si="8">-10*LOG10(2*Z17 - 1)</f>
        <v>1.4553756350499003</v>
      </c>
      <c r="K17" s="781">
        <f t="shared" ref="K17:K38" si="9">-10*LOG10(AB17)-J17</f>
        <v>0.23584802971734664</v>
      </c>
      <c r="L17" s="246">
        <f t="shared" ref="L17:L38" si="10">-10*LOG10(AD17)-J17</f>
        <v>7.0339696874986757E-2</v>
      </c>
      <c r="M17" s="789">
        <f t="shared" ref="M17:M38" si="11">-10*LOG10(AC17)-J17-K17</f>
        <v>0.34782082920363111</v>
      </c>
      <c r="N17" s="546"/>
      <c r="O17" s="543">
        <f t="shared" ref="O17:O38" si="12">(10^-6)*3.14*$L$11*D17*$C$7</f>
        <v>-9.5062974532344164E-5</v>
      </c>
      <c r="P17" s="246">
        <f t="shared" ref="P17:P38" si="13">($G$10/SQRT(2))*(1-EXP(-1*O17^2))</f>
        <v>0</v>
      </c>
      <c r="Q17" s="246">
        <f t="shared" ref="Q17:Q38" si="14">10*LOG10(1/SQRT(1-(Q*P17)^2))</f>
        <v>0</v>
      </c>
      <c r="R17" s="246"/>
      <c r="S17" s="246">
        <f>-10*LOG10(SQRT(1-Q*Q*(((SD_blw/AC17)^2)+AK17+Vmn+(P17*P17))))-$T$13-Q17-R17-Pmn</f>
        <v>8.2694512403499055E-3</v>
      </c>
      <c r="T17" s="542">
        <f>J17+L17+B17+Q17+S17+Pmn</f>
        <v>1.5348446739502926</v>
      </c>
      <c r="U17" s="772">
        <f>J17+K17+B17+Q17+S17+Pmn+M17</f>
        <v>2.0481738359962836</v>
      </c>
      <c r="V17" s="547">
        <f t="shared" ref="V17:V38" si="15">T17-B17</f>
        <v>1.5339847831652369</v>
      </c>
      <c r="W17" s="547">
        <f t="shared" ref="W17:W38" si="16">$L$8-T17</f>
        <v>2.6651553260497085</v>
      </c>
      <c r="X17" s="548">
        <f t="shared" ref="X17:X38" si="17">$C$8-C17-(Q17+N17+R17+S17/2+Pmn) -$W$3</f>
        <v>-5.1049946164052313</v>
      </c>
      <c r="Y17" s="44">
        <f t="shared" ref="Y17:Y38" si="18">B_1*Tb_eff/(SQRT(8)*I17)</f>
        <v>1.0373383005223191</v>
      </c>
      <c r="Z17" s="46">
        <f t="shared" ref="Z17:Z38" si="19">IF(ABS(Y17)&lt;10,SIGN(Y17)*ERF(ABS(Y17)),SIGN(Y17))</f>
        <v>0.85762876325569537</v>
      </c>
      <c r="AA17" s="369">
        <f>$AD17</f>
        <v>0.70376630015348418</v>
      </c>
      <c r="AB17" s="40">
        <f t="shared" ref="AB17:AB38" si="20">ERF(AE17)+ERF(AF17)-1</f>
        <v>0.67745060276039948</v>
      </c>
      <c r="AC17" s="44">
        <f t="shared" ref="AC17:AC38" si="21">ERF(AG17)+ERF(AH17)-1</f>
        <v>0.62531025427372322</v>
      </c>
      <c r="AD17" s="44">
        <f t="shared" ref="AD17:AD38" si="22">ERF(AI17)+ERF(AJ17)-1</f>
        <v>0.70376630015348418</v>
      </c>
      <c r="AE17" s="47">
        <f t="shared" ref="AE17:AE38" si="23">MAX(MIN(B_1*Tb_eff*($L$13+1)/(SQRT(8)*$I17),10),-10)</f>
        <v>1.2557253111585969</v>
      </c>
      <c r="AF17" s="47">
        <f t="shared" ref="AF17:AF38" si="24">MAX(MIN(B_1*Tb_eff*(1-$L$13)/(SQRT(8)*$I17),10),-10)</f>
        <v>0.81895128988604149</v>
      </c>
      <c r="AG17" s="47">
        <f t="shared" ref="AG17:AG38" si="25">MAX(MIN(B_1*Tb_eff*($L$13+$G$9+1)/(SQRT(8)*$I17),10),-10)</f>
        <v>1.3758381670085496</v>
      </c>
      <c r="AH17" s="47">
        <f t="shared" ref="AH17:AH38" si="26">MAX(MIN(B_1*Tb_eff*(1-$L$13-$G$9)/(SQRT(8)*$I17),10),-10)</f>
        <v>0.69883843403608881</v>
      </c>
      <c r="AI17" s="47">
        <f t="shared" ref="AI17:AI38" si="27">MAX(MIN(B_1*Tb_eff*($G$9+1)/(SQRT(8)*$I17),10),-10)</f>
        <v>1.1574511563722718</v>
      </c>
      <c r="AJ17" s="47">
        <f t="shared" ref="AJ17:AJ38" si="28">MAX(MIN(B_1*Tb_eff*(1-$G$9)/(SQRT(8)*$I17),10),-10)</f>
        <v>0.91722544467236644</v>
      </c>
      <c r="AK17" s="298"/>
      <c r="AL17" s="593">
        <f t="shared" ref="AL17:AL38" si="29">$L$6-$L$7</f>
        <v>4.2000000000000011</v>
      </c>
      <c r="AM17" s="184"/>
      <c r="AN17" s="184"/>
      <c r="AO17" s="2"/>
      <c r="AP17" s="292"/>
      <c r="AQ17" s="292"/>
    </row>
    <row r="18" spans="1:44" s="59" customFormat="1" ht="15" customHeight="1">
      <c r="A18" s="549">
        <f>$L$4</f>
        <v>1</v>
      </c>
      <c r="B18" s="247">
        <f t="shared" si="0"/>
        <v>0.42994539252777514</v>
      </c>
      <c r="C18" s="247">
        <f t="shared" si="1"/>
        <v>2.4299453925277752</v>
      </c>
      <c r="D18" s="275">
        <f t="shared" si="2"/>
        <v>-2.7889542808176633</v>
      </c>
      <c r="E18" s="247">
        <f t="shared" si="3"/>
        <v>1.3019999999999999E-2</v>
      </c>
      <c r="F18" s="550">
        <f t="shared" si="4"/>
        <v>335247.45021817106</v>
      </c>
      <c r="G18" s="550">
        <f t="shared" si="5"/>
        <v>149071.19849998597</v>
      </c>
      <c r="H18" s="551">
        <f t="shared" si="6"/>
        <v>27.550298816752232</v>
      </c>
      <c r="I18" s="551">
        <f t="shared" si="7"/>
        <v>32.380973907651722</v>
      </c>
      <c r="J18" s="552">
        <f t="shared" si="8"/>
        <v>1.4844395083286257</v>
      </c>
      <c r="K18" s="782">
        <f t="shared" si="9"/>
        <v>0.23619953074299116</v>
      </c>
      <c r="L18" s="247">
        <f t="shared" si="10"/>
        <v>7.0448156632866743E-2</v>
      </c>
      <c r="M18" s="790">
        <f t="shared" si="11"/>
        <v>0.34828071429831553</v>
      </c>
      <c r="N18" s="553">
        <f t="shared" ref="N18:N38" si="30">-10*LOG10(1-2*$L$10*10^(-$C18/10)*$AB$5*SQRT(2*ER*($AD18*(ER-1)+ER+1))/($AD18*(ER-1)))</f>
        <v>1.0462149385920092</v>
      </c>
      <c r="O18" s="247">
        <f t="shared" si="12"/>
        <v>-4.7531487266172082E-2</v>
      </c>
      <c r="P18" s="247">
        <f t="shared" si="13"/>
        <v>0</v>
      </c>
      <c r="Q18" s="247">
        <f t="shared" si="14"/>
        <v>0</v>
      </c>
      <c r="R18" s="247">
        <f t="shared" ref="R18:R23" si="31">10*LOG10(1/SQRT(1-AK18*(Q/AA18)^2))</f>
        <v>0.38747580808502924</v>
      </c>
      <c r="S18" s="247">
        <f t="shared" ref="S18:S38" si="32">-10*LOG10(AA18*SQRT(1-Q*Q*((SD_blw^2+AK18)/AA18^2+Vmn+(P18*P18))))-$T$13-J18-L18-Q18-N18-R18-Pmn</f>
        <v>1.6050306104279932E-2</v>
      </c>
      <c r="T18" s="275">
        <f>J18+L18+B18+Q18+N18+R18+S18+Pmn</f>
        <v>3.4345741102705865</v>
      </c>
      <c r="U18" s="773">
        <f>J18+K18+B18+Q18+N18+R18+S18+Pmn+M18</f>
        <v>3.9486061986790264</v>
      </c>
      <c r="V18" s="555">
        <f t="shared" si="15"/>
        <v>3.0046287177428113</v>
      </c>
      <c r="W18" s="555">
        <f t="shared" si="16"/>
        <v>0.76542588972941461</v>
      </c>
      <c r="X18" s="554">
        <f t="shared" si="17"/>
        <v>-6.9716612922569539</v>
      </c>
      <c r="Y18" s="56">
        <f t="shared" si="18"/>
        <v>1.0311772929343572</v>
      </c>
      <c r="Z18" s="57">
        <f t="shared" si="19"/>
        <v>0.85524342904134176</v>
      </c>
      <c r="AA18" s="293">
        <f t="shared" ref="AA18:AA38" si="33">$AD18*(1-2*$L$10*10^(-$C18/10)*$AB$5*SQRT(2*ER*($AD18*(ER-1)+ER+1))/($AD18*(ER-1)))</f>
        <v>0.54940137201390182</v>
      </c>
      <c r="AB18" s="53">
        <f t="shared" si="20"/>
        <v>0.67287763896845765</v>
      </c>
      <c r="AC18" s="52">
        <f t="shared" si="21"/>
        <v>0.62102348590499457</v>
      </c>
      <c r="AD18" s="52">
        <f t="shared" si="22"/>
        <v>0.69905481834892047</v>
      </c>
      <c r="AE18" s="58">
        <f t="shared" si="23"/>
        <v>1.2482672493415903</v>
      </c>
      <c r="AF18" s="58">
        <f t="shared" si="24"/>
        <v>0.81408733652712417</v>
      </c>
      <c r="AG18" s="58">
        <f t="shared" si="25"/>
        <v>1.3676667253655685</v>
      </c>
      <c r="AH18" s="58">
        <f t="shared" si="26"/>
        <v>0.69468786050314602</v>
      </c>
      <c r="AI18" s="58">
        <f t="shared" si="27"/>
        <v>1.1505767689583353</v>
      </c>
      <c r="AJ18" s="58">
        <f t="shared" si="28"/>
        <v>0.91177781691037896</v>
      </c>
      <c r="AK18" s="299">
        <f t="shared" ref="AK18:AK38" si="34">kRIN*10^6*$AK$7*$AK$7/(SQRT((1/F18)^2+(1/G18)^2+0.477*(1/$T$5)^2))*10^($G$4/10)</f>
        <v>3.042419256007478E-3</v>
      </c>
      <c r="AL18" s="54">
        <f t="shared" si="29"/>
        <v>4.2000000000000011</v>
      </c>
      <c r="AM18" s="185">
        <f t="shared" ref="AM18:AM38" si="35">$L$3</f>
        <v>2</v>
      </c>
      <c r="AN18" s="185">
        <v>0</v>
      </c>
      <c r="AO18" s="55">
        <f t="shared" ref="AO18:AO38" si="36">IF(A18=$L$3,W18,0)</f>
        <v>0</v>
      </c>
      <c r="AP18" s="332">
        <f t="shared" ref="AP18:AP26" si="37">IF($A18=$L$3,I18,0)</f>
        <v>0</v>
      </c>
      <c r="AQ18" s="430">
        <f t="shared" ref="AQ18:AQ38" si="38">IF($A18=$L$3,B_1*Tb_eff*(1+$G$9)/(SQRT(8)*SQRT($H18^2+$AG$8^2)),0)</f>
        <v>0</v>
      </c>
      <c r="AR18" s="333">
        <f t="shared" ref="AR18:AR38" si="39">IF($A18=$L$3,B_1*Tb_eff*(1-$G$9)/(SQRT(8)*SQRT($H18^2+$AG$8^2)),0)</f>
        <v>0</v>
      </c>
    </row>
    <row r="19" spans="1:44" s="71" customFormat="1" ht="15" customHeight="1">
      <c r="A19" s="556">
        <f t="shared" ref="A19:A38" si="40">A18+$L$5</f>
        <v>1.1000000000000001</v>
      </c>
      <c r="B19" s="248">
        <f t="shared" si="0"/>
        <v>0.47293993178055271</v>
      </c>
      <c r="C19" s="248">
        <f t="shared" si="1"/>
        <v>2.4729399317805525</v>
      </c>
      <c r="D19" s="326">
        <f t="shared" si="2"/>
        <v>-3.0678497088994297</v>
      </c>
      <c r="E19" s="248">
        <f t="shared" si="3"/>
        <v>1.4322E-2</v>
      </c>
      <c r="F19" s="557">
        <f t="shared" si="4"/>
        <v>304770.40928924643</v>
      </c>
      <c r="G19" s="557">
        <f t="shared" si="5"/>
        <v>135519.27136362359</v>
      </c>
      <c r="H19" s="558">
        <f t="shared" si="6"/>
        <v>27.597585810351791</v>
      </c>
      <c r="I19" s="558">
        <f t="shared" si="7"/>
        <v>32.421216030177099</v>
      </c>
      <c r="J19" s="559">
        <f t="shared" si="8"/>
        <v>1.4905486599168418</v>
      </c>
      <c r="K19" s="783">
        <f t="shared" si="9"/>
        <v>0.23627120320797723</v>
      </c>
      <c r="L19" s="248">
        <f t="shared" si="10"/>
        <v>7.0470037093321336E-2</v>
      </c>
      <c r="M19" s="791">
        <f t="shared" si="11"/>
        <v>0.34837459818661731</v>
      </c>
      <c r="N19" s="560">
        <f t="shared" si="30"/>
        <v>1.0360532679471892</v>
      </c>
      <c r="O19" s="248">
        <f t="shared" si="12"/>
        <v>-5.2284635992789291E-2</v>
      </c>
      <c r="P19" s="248">
        <f t="shared" si="13"/>
        <v>0</v>
      </c>
      <c r="Q19" s="248">
        <f t="shared" si="14"/>
        <v>0</v>
      </c>
      <c r="R19" s="248">
        <f t="shared" si="31"/>
        <v>0.38490007290483641</v>
      </c>
      <c r="S19" s="248">
        <f t="shared" si="32"/>
        <v>1.598345786835198E-2</v>
      </c>
      <c r="T19" s="326">
        <f>J19+L19+B19+Q19+N19+R19+S19+Pmn</f>
        <v>3.4708954275110933</v>
      </c>
      <c r="U19" s="774">
        <f t="shared" ref="U19:U38" si="41">J19+K19+B19+Q19+N19+R19+S19+Pmn+M19</f>
        <v>3.9850711918123669</v>
      </c>
      <c r="V19" s="531">
        <f t="shared" si="15"/>
        <v>2.9979554957305403</v>
      </c>
      <c r="W19" s="531">
        <f t="shared" si="16"/>
        <v>0.72910457248890781</v>
      </c>
      <c r="X19" s="561">
        <f t="shared" si="17"/>
        <v>-7.0018850015667544</v>
      </c>
      <c r="Y19" s="69">
        <f t="shared" si="18"/>
        <v>1.0298973667610445</v>
      </c>
      <c r="Z19" s="70">
        <f t="shared" si="19"/>
        <v>0.85474406505070211</v>
      </c>
      <c r="AA19" s="294">
        <f t="shared" si="33"/>
        <v>0.54991150197936844</v>
      </c>
      <c r="AB19" s="66">
        <f t="shared" si="20"/>
        <v>0.67192068915714587</v>
      </c>
      <c r="AC19" s="65">
        <f t="shared" si="21"/>
        <v>0.62012687600062932</v>
      </c>
      <c r="AD19" s="65">
        <f t="shared" si="22"/>
        <v>0.69806864333934948</v>
      </c>
      <c r="AE19" s="22">
        <f t="shared" si="23"/>
        <v>1.2467178650265276</v>
      </c>
      <c r="AF19" s="22">
        <f t="shared" si="24"/>
        <v>0.81307686849556149</v>
      </c>
      <c r="AG19" s="22">
        <f t="shared" si="25"/>
        <v>1.3659691390725432</v>
      </c>
      <c r="AH19" s="22">
        <f t="shared" si="26"/>
        <v>0.69382559444954595</v>
      </c>
      <c r="AI19" s="22">
        <f t="shared" si="27"/>
        <v>1.1491486408070601</v>
      </c>
      <c r="AJ19" s="22">
        <f t="shared" si="28"/>
        <v>0.91064609271502883</v>
      </c>
      <c r="AK19" s="288">
        <f t="shared" si="34"/>
        <v>3.0295528448205139E-3</v>
      </c>
      <c r="AL19" s="67">
        <f t="shared" si="29"/>
        <v>4.2000000000000011</v>
      </c>
      <c r="AM19" s="186">
        <f t="shared" si="35"/>
        <v>2</v>
      </c>
      <c r="AN19" s="187">
        <f t="shared" ref="AN19:AN37" si="42">AN20</f>
        <v>7</v>
      </c>
      <c r="AO19" s="68">
        <f t="shared" si="36"/>
        <v>0</v>
      </c>
      <c r="AP19" s="334">
        <f t="shared" si="37"/>
        <v>0</v>
      </c>
      <c r="AQ19" s="431">
        <f t="shared" si="38"/>
        <v>0</v>
      </c>
      <c r="AR19" s="335">
        <f t="shared" si="39"/>
        <v>0</v>
      </c>
    </row>
    <row r="20" spans="1:44" s="71" customFormat="1" ht="15" customHeight="1">
      <c r="A20" s="556">
        <f t="shared" si="40"/>
        <v>1.2000000000000002</v>
      </c>
      <c r="B20" s="248">
        <f t="shared" si="0"/>
        <v>0.51593447103333034</v>
      </c>
      <c r="C20" s="248">
        <f t="shared" si="1"/>
        <v>2.5159344710333302</v>
      </c>
      <c r="D20" s="326">
        <f t="shared" si="2"/>
        <v>-3.3467451369811965</v>
      </c>
      <c r="E20" s="248">
        <f t="shared" si="3"/>
        <v>1.5624000000000001E-2</v>
      </c>
      <c r="F20" s="557">
        <f t="shared" si="4"/>
        <v>279372.87518180918</v>
      </c>
      <c r="G20" s="557">
        <f t="shared" si="5"/>
        <v>124225.99874998828</v>
      </c>
      <c r="H20" s="558">
        <f t="shared" si="6"/>
        <v>27.649283535111152</v>
      </c>
      <c r="I20" s="558">
        <f t="shared" si="7"/>
        <v>32.465233501711502</v>
      </c>
      <c r="J20" s="559">
        <f t="shared" si="8"/>
        <v>1.4972418575756592</v>
      </c>
      <c r="K20" s="783">
        <f t="shared" si="9"/>
        <v>0.23634887406897409</v>
      </c>
      <c r="L20" s="248">
        <f t="shared" si="10"/>
        <v>7.0494004997399662E-2</v>
      </c>
      <c r="M20" s="791">
        <f t="shared" si="11"/>
        <v>0.34847645640248226</v>
      </c>
      <c r="N20" s="560">
        <f t="shared" si="30"/>
        <v>1.0261423518242083</v>
      </c>
      <c r="O20" s="248">
        <f t="shared" si="12"/>
        <v>-5.7037784719406508E-2</v>
      </c>
      <c r="P20" s="248">
        <f t="shared" si="13"/>
        <v>0</v>
      </c>
      <c r="Q20" s="248">
        <f t="shared" si="14"/>
        <v>0</v>
      </c>
      <c r="R20" s="248">
        <f t="shared" si="31"/>
        <v>0.38235247268212535</v>
      </c>
      <c r="S20" s="248">
        <f t="shared" si="32"/>
        <v>1.592552919264334E-2</v>
      </c>
      <c r="T20" s="326">
        <f t="shared" ref="T20:T38" si="43">J20+L20+B20+Q20+N20+R20+S20+Pmn</f>
        <v>3.5080906873053661</v>
      </c>
      <c r="U20" s="774">
        <f t="shared" si="41"/>
        <v>4.0224220127794226</v>
      </c>
      <c r="V20" s="531">
        <f t="shared" si="15"/>
        <v>2.9921562162720359</v>
      </c>
      <c r="W20" s="531">
        <f t="shared" si="16"/>
        <v>0.69190931269463496</v>
      </c>
      <c r="X20" s="561">
        <f t="shared" si="17"/>
        <v>-7.0323920601359857</v>
      </c>
      <c r="Y20" s="69">
        <f t="shared" si="18"/>
        <v>1.0285009967635095</v>
      </c>
      <c r="Z20" s="70">
        <f t="shared" si="19"/>
        <v>0.85419776673616321</v>
      </c>
      <c r="AA20" s="294">
        <f t="shared" si="33"/>
        <v>0.55031604916402632</v>
      </c>
      <c r="AB20" s="66">
        <f t="shared" si="20"/>
        <v>0.67087394731837624</v>
      </c>
      <c r="AC20" s="65">
        <f t="shared" si="21"/>
        <v>0.61914629894293327</v>
      </c>
      <c r="AD20" s="65">
        <f t="shared" si="22"/>
        <v>0.69698978590947736</v>
      </c>
      <c r="AE20" s="22">
        <f t="shared" si="23"/>
        <v>1.2450275223979324</v>
      </c>
      <c r="AF20" s="22">
        <f t="shared" si="24"/>
        <v>0.81197447112908649</v>
      </c>
      <c r="AG20" s="22">
        <f t="shared" si="25"/>
        <v>1.3641171114968651</v>
      </c>
      <c r="AH20" s="22">
        <f t="shared" si="26"/>
        <v>0.69288488203015386</v>
      </c>
      <c r="AI20" s="22">
        <f t="shared" si="27"/>
        <v>1.147590585862442</v>
      </c>
      <c r="AJ20" s="22">
        <f t="shared" si="28"/>
        <v>0.90941140766457673</v>
      </c>
      <c r="AK20" s="288">
        <f t="shared" si="34"/>
        <v>3.0156466636086384E-3</v>
      </c>
      <c r="AL20" s="67">
        <f t="shared" si="29"/>
        <v>4.2000000000000011</v>
      </c>
      <c r="AM20" s="186">
        <f t="shared" si="35"/>
        <v>2</v>
      </c>
      <c r="AN20" s="187">
        <f t="shared" si="42"/>
        <v>7</v>
      </c>
      <c r="AO20" s="68">
        <f t="shared" si="36"/>
        <v>0</v>
      </c>
      <c r="AP20" s="334">
        <f t="shared" si="37"/>
        <v>0</v>
      </c>
      <c r="AQ20" s="431">
        <f t="shared" si="38"/>
        <v>0</v>
      </c>
      <c r="AR20" s="335">
        <f t="shared" si="39"/>
        <v>0</v>
      </c>
    </row>
    <row r="21" spans="1:44" s="71" customFormat="1" ht="15" customHeight="1">
      <c r="A21" s="556">
        <f t="shared" si="40"/>
        <v>1.3000000000000003</v>
      </c>
      <c r="B21" s="248">
        <f t="shared" si="0"/>
        <v>0.55892901028610775</v>
      </c>
      <c r="C21" s="248">
        <f t="shared" si="1"/>
        <v>2.558929010286108</v>
      </c>
      <c r="D21" s="326">
        <f t="shared" si="2"/>
        <v>-3.6256405650629628</v>
      </c>
      <c r="E21" s="248">
        <f t="shared" si="3"/>
        <v>1.6926E-2</v>
      </c>
      <c r="F21" s="557">
        <f t="shared" si="4"/>
        <v>257882.65401397771</v>
      </c>
      <c r="G21" s="557">
        <f t="shared" si="5"/>
        <v>114670.15269229688</v>
      </c>
      <c r="H21" s="558">
        <f t="shared" si="6"/>
        <v>27.705367300002603</v>
      </c>
      <c r="I21" s="558">
        <f t="shared" si="7"/>
        <v>32.513010988583261</v>
      </c>
      <c r="J21" s="559">
        <f t="shared" si="8"/>
        <v>1.5045196777312744</v>
      </c>
      <c r="K21" s="783">
        <f t="shared" si="9"/>
        <v>0.23643233206342429</v>
      </c>
      <c r="L21" s="248">
        <f t="shared" si="10"/>
        <v>7.0519753900996962E-2</v>
      </c>
      <c r="M21" s="791">
        <f t="shared" si="11"/>
        <v>0.34858598175793776</v>
      </c>
      <c r="N21" s="560">
        <f t="shared" si="30"/>
        <v>1.0164763541787676</v>
      </c>
      <c r="O21" s="248">
        <f t="shared" si="12"/>
        <v>-6.179093344602371E-2</v>
      </c>
      <c r="P21" s="248">
        <f t="shared" si="13"/>
        <v>0</v>
      </c>
      <c r="Q21" s="248">
        <f t="shared" si="14"/>
        <v>0</v>
      </c>
      <c r="R21" s="248">
        <f t="shared" si="31"/>
        <v>0.37983583937458709</v>
      </c>
      <c r="S21" s="248">
        <f t="shared" si="32"/>
        <v>1.5876422230822973E-2</v>
      </c>
      <c r="T21" s="326">
        <f t="shared" si="43"/>
        <v>3.5461570577025565</v>
      </c>
      <c r="U21" s="774">
        <f t="shared" si="41"/>
        <v>4.0606556176229223</v>
      </c>
      <c r="V21" s="531">
        <f t="shared" si="15"/>
        <v>2.9872280474164485</v>
      </c>
      <c r="W21" s="531">
        <f t="shared" si="16"/>
        <v>0.65384294229744455</v>
      </c>
      <c r="X21" s="561">
        <f t="shared" si="17"/>
        <v>-7.0631794149548748</v>
      </c>
      <c r="Y21" s="69">
        <f t="shared" si="18"/>
        <v>1.0269896266573166</v>
      </c>
      <c r="Z21" s="70">
        <f t="shared" si="19"/>
        <v>0.85360470625378626</v>
      </c>
      <c r="AA21" s="294">
        <f t="shared" si="33"/>
        <v>0.55061548562632456</v>
      </c>
      <c r="AB21" s="66">
        <f t="shared" si="20"/>
        <v>0.66973778120604877</v>
      </c>
      <c r="AC21" s="65">
        <f t="shared" si="21"/>
        <v>0.61808214907085302</v>
      </c>
      <c r="AD21" s="65">
        <f t="shared" si="22"/>
        <v>0.69581863700827351</v>
      </c>
      <c r="AE21" s="22">
        <f t="shared" si="23"/>
        <v>1.2431979691114885</v>
      </c>
      <c r="AF21" s="22">
        <f t="shared" si="24"/>
        <v>0.81078128420314477</v>
      </c>
      <c r="AG21" s="22">
        <f t="shared" si="25"/>
        <v>1.3621125574612831</v>
      </c>
      <c r="AH21" s="22">
        <f t="shared" si="26"/>
        <v>0.69186669585335037</v>
      </c>
      <c r="AI21" s="22">
        <f t="shared" si="27"/>
        <v>1.145904215007111</v>
      </c>
      <c r="AJ21" s="22">
        <f t="shared" si="28"/>
        <v>0.90807503830752212</v>
      </c>
      <c r="AK21" s="288">
        <f t="shared" si="34"/>
        <v>3.0007463296923705E-3</v>
      </c>
      <c r="AL21" s="67">
        <f t="shared" si="29"/>
        <v>4.2000000000000011</v>
      </c>
      <c r="AM21" s="186">
        <f t="shared" si="35"/>
        <v>2</v>
      </c>
      <c r="AN21" s="187">
        <f t="shared" si="42"/>
        <v>7</v>
      </c>
      <c r="AO21" s="68">
        <f t="shared" si="36"/>
        <v>0</v>
      </c>
      <c r="AP21" s="334">
        <f t="shared" si="37"/>
        <v>0</v>
      </c>
      <c r="AQ21" s="431">
        <f t="shared" si="38"/>
        <v>0</v>
      </c>
      <c r="AR21" s="335">
        <f t="shared" si="39"/>
        <v>0</v>
      </c>
    </row>
    <row r="22" spans="1:44" s="71" customFormat="1" ht="15" customHeight="1">
      <c r="A22" s="556">
        <f t="shared" si="40"/>
        <v>1.4000000000000004</v>
      </c>
      <c r="B22" s="248">
        <f t="shared" si="0"/>
        <v>0.60192354953888538</v>
      </c>
      <c r="C22" s="248">
        <f t="shared" si="1"/>
        <v>2.6019235495388853</v>
      </c>
      <c r="D22" s="326">
        <f t="shared" si="2"/>
        <v>-3.9045359931447297</v>
      </c>
      <c r="E22" s="248">
        <f t="shared" si="3"/>
        <v>1.8228000000000001E-2</v>
      </c>
      <c r="F22" s="557">
        <f t="shared" si="4"/>
        <v>239462.46444155069</v>
      </c>
      <c r="G22" s="557">
        <f t="shared" si="5"/>
        <v>106479.42749998995</v>
      </c>
      <c r="H22" s="558">
        <f t="shared" si="6"/>
        <v>27.765810527139038</v>
      </c>
      <c r="I22" s="558">
        <f t="shared" si="7"/>
        <v>32.564531941126795</v>
      </c>
      <c r="J22" s="559">
        <f t="shared" si="8"/>
        <v>1.5123827346321448</v>
      </c>
      <c r="K22" s="783">
        <f t="shared" si="9"/>
        <v>0.23652099923025349</v>
      </c>
      <c r="L22" s="248">
        <f t="shared" si="10"/>
        <v>7.0547213629505778E-2</v>
      </c>
      <c r="M22" s="791">
        <f t="shared" si="11"/>
        <v>0.3487032545050166</v>
      </c>
      <c r="N22" s="560">
        <f t="shared" si="30"/>
        <v>1.0070497065610879</v>
      </c>
      <c r="O22" s="248">
        <f t="shared" si="12"/>
        <v>-6.6544082172640934E-2</v>
      </c>
      <c r="P22" s="248">
        <f t="shared" si="13"/>
        <v>0</v>
      </c>
      <c r="Q22" s="248">
        <f t="shared" si="14"/>
        <v>0</v>
      </c>
      <c r="R22" s="248">
        <f t="shared" si="31"/>
        <v>0.37735324490934774</v>
      </c>
      <c r="S22" s="248">
        <f t="shared" si="32"/>
        <v>1.5836058033488642E-2</v>
      </c>
      <c r="T22" s="326">
        <f t="shared" si="43"/>
        <v>3.5850925073044602</v>
      </c>
      <c r="U22" s="774">
        <f t="shared" si="41"/>
        <v>4.0997695474102249</v>
      </c>
      <c r="V22" s="531">
        <f t="shared" si="15"/>
        <v>2.9831689577655749</v>
      </c>
      <c r="W22" s="531">
        <f t="shared" si="16"/>
        <v>0.6149074926955409</v>
      </c>
      <c r="X22" s="561">
        <f t="shared" si="17"/>
        <v>-7.0942445300260655</v>
      </c>
      <c r="Y22" s="69">
        <f t="shared" si="18"/>
        <v>1.0253648072398789</v>
      </c>
      <c r="Z22" s="70">
        <f t="shared" si="19"/>
        <v>0.85296507150354528</v>
      </c>
      <c r="AA22" s="294">
        <f t="shared" si="33"/>
        <v>0.55081027675282579</v>
      </c>
      <c r="AB22" s="66">
        <f t="shared" si="20"/>
        <v>0.66851264531372823</v>
      </c>
      <c r="AC22" s="65">
        <f t="shared" si="21"/>
        <v>0.61693484629009965</v>
      </c>
      <c r="AD22" s="65">
        <f t="shared" si="22"/>
        <v>0.69455558068070933</v>
      </c>
      <c r="AE22" s="22">
        <f t="shared" si="23"/>
        <v>1.2412310824482744</v>
      </c>
      <c r="AF22" s="22">
        <f t="shared" si="24"/>
        <v>0.80949853203148348</v>
      </c>
      <c r="AG22" s="22">
        <f t="shared" si="25"/>
        <v>1.3599575338128922</v>
      </c>
      <c r="AH22" s="22">
        <f t="shared" si="26"/>
        <v>0.69077208066686591</v>
      </c>
      <c r="AI22" s="22">
        <f t="shared" si="27"/>
        <v>1.1440912586044965</v>
      </c>
      <c r="AJ22" s="22">
        <f t="shared" si="28"/>
        <v>0.90663835587526143</v>
      </c>
      <c r="AK22" s="288">
        <f t="shared" si="34"/>
        <v>2.9848994615037224E-3</v>
      </c>
      <c r="AL22" s="67">
        <f t="shared" si="29"/>
        <v>4.2000000000000011</v>
      </c>
      <c r="AM22" s="186">
        <f t="shared" si="35"/>
        <v>2</v>
      </c>
      <c r="AN22" s="187">
        <f t="shared" si="42"/>
        <v>7</v>
      </c>
      <c r="AO22" s="68">
        <f t="shared" si="36"/>
        <v>0</v>
      </c>
      <c r="AP22" s="334">
        <f t="shared" si="37"/>
        <v>0</v>
      </c>
      <c r="AQ22" s="431">
        <f t="shared" si="38"/>
        <v>0</v>
      </c>
      <c r="AR22" s="335">
        <f t="shared" si="39"/>
        <v>0</v>
      </c>
    </row>
    <row r="23" spans="1:44" s="59" customFormat="1" ht="15" customHeight="1">
      <c r="A23" s="549">
        <f t="shared" si="40"/>
        <v>1.5000000000000004</v>
      </c>
      <c r="B23" s="247">
        <f t="shared" si="0"/>
        <v>0.6449180887916629</v>
      </c>
      <c r="C23" s="247">
        <f t="shared" si="1"/>
        <v>2.644918088791663</v>
      </c>
      <c r="D23" s="275">
        <f t="shared" si="2"/>
        <v>-4.183431421226496</v>
      </c>
      <c r="E23" s="247">
        <f t="shared" si="3"/>
        <v>1.9530000000000002E-2</v>
      </c>
      <c r="F23" s="550">
        <f t="shared" si="4"/>
        <v>223498.30014544731</v>
      </c>
      <c r="G23" s="550">
        <f t="shared" si="5"/>
        <v>99380.798999990613</v>
      </c>
      <c r="H23" s="551">
        <f t="shared" si="6"/>
        <v>27.830584812536074</v>
      </c>
      <c r="I23" s="551">
        <f t="shared" si="7"/>
        <v>32.619778621619211</v>
      </c>
      <c r="J23" s="552">
        <f t="shared" si="8"/>
        <v>1.520831677595903</v>
      </c>
      <c r="K23" s="782">
        <f t="shared" si="9"/>
        <v>0.23661533979266891</v>
      </c>
      <c r="L23" s="247">
        <f t="shared" si="10"/>
        <v>7.0576310548422727E-2</v>
      </c>
      <c r="M23" s="790">
        <f t="shared" si="11"/>
        <v>0.34882728883575131</v>
      </c>
      <c r="N23" s="553">
        <f t="shared" si="30"/>
        <v>0.99785704118925012</v>
      </c>
      <c r="O23" s="247">
        <f t="shared" si="12"/>
        <v>-7.1297230899258143E-2</v>
      </c>
      <c r="P23" s="247">
        <f t="shared" si="13"/>
        <v>0</v>
      </c>
      <c r="Q23" s="247">
        <f t="shared" si="14"/>
        <v>0</v>
      </c>
      <c r="R23" s="247">
        <f t="shared" si="31"/>
        <v>0.37490790530985696</v>
      </c>
      <c r="S23" s="247">
        <f t="shared" si="32"/>
        <v>1.5804372197497973E-2</v>
      </c>
      <c r="T23" s="275">
        <f t="shared" si="43"/>
        <v>3.6248953956325938</v>
      </c>
      <c r="U23" s="773">
        <f t="shared" si="41"/>
        <v>4.1397617137125913</v>
      </c>
      <c r="V23" s="555">
        <f t="shared" si="15"/>
        <v>2.9799773068409308</v>
      </c>
      <c r="W23" s="555">
        <f t="shared" si="16"/>
        <v>0.57510460436740729</v>
      </c>
      <c r="X23" s="554">
        <f t="shared" si="17"/>
        <v>-7.1255852213895192</v>
      </c>
      <c r="Y23" s="56">
        <f t="shared" si="18"/>
        <v>1.0236281920852868</v>
      </c>
      <c r="Z23" s="57">
        <f t="shared" si="19"/>
        <v>0.85227906628534766</v>
      </c>
      <c r="AA23" s="293">
        <f t="shared" si="33"/>
        <v>0.55090091926998908</v>
      </c>
      <c r="AB23" s="53">
        <f t="shared" si="20"/>
        <v>0.66719886412033724</v>
      </c>
      <c r="AC23" s="52">
        <f t="shared" si="21"/>
        <v>0.61570484258458569</v>
      </c>
      <c r="AD23" s="52">
        <f t="shared" si="22"/>
        <v>0.69320103294045277</v>
      </c>
      <c r="AE23" s="58">
        <f t="shared" si="23"/>
        <v>1.2391288641032419</v>
      </c>
      <c r="AF23" s="58">
        <f t="shared" si="24"/>
        <v>0.80812752006733168</v>
      </c>
      <c r="AG23" s="58">
        <f t="shared" si="25"/>
        <v>1.3576542337131172</v>
      </c>
      <c r="AH23" s="58">
        <f t="shared" si="26"/>
        <v>0.68960215045745643</v>
      </c>
      <c r="AI23" s="58">
        <f t="shared" si="27"/>
        <v>1.1421535616951619</v>
      </c>
      <c r="AJ23" s="58">
        <f t="shared" si="28"/>
        <v>0.90510282247541141</v>
      </c>
      <c r="AK23" s="299">
        <f t="shared" si="34"/>
        <v>2.9681552967758909E-3</v>
      </c>
      <c r="AL23" s="54">
        <f t="shared" si="29"/>
        <v>4.2000000000000011</v>
      </c>
      <c r="AM23" s="185">
        <f t="shared" si="35"/>
        <v>2</v>
      </c>
      <c r="AN23" s="188">
        <f t="shared" si="42"/>
        <v>7</v>
      </c>
      <c r="AO23" s="55">
        <f t="shared" si="36"/>
        <v>0</v>
      </c>
      <c r="AP23" s="332">
        <f t="shared" si="37"/>
        <v>0</v>
      </c>
      <c r="AQ23" s="430">
        <f t="shared" si="38"/>
        <v>0</v>
      </c>
      <c r="AR23" s="333">
        <f t="shared" si="39"/>
        <v>0</v>
      </c>
    </row>
    <row r="24" spans="1:44" s="71" customFormat="1" ht="15" customHeight="1">
      <c r="A24" s="556">
        <f t="shared" si="40"/>
        <v>1.6000000000000005</v>
      </c>
      <c r="B24" s="248">
        <f t="shared" si="0"/>
        <v>0.68791262804444053</v>
      </c>
      <c r="C24" s="248">
        <f t="shared" si="1"/>
        <v>2.6879126280444403</v>
      </c>
      <c r="D24" s="326">
        <f t="shared" si="2"/>
        <v>-4.4623268493082628</v>
      </c>
      <c r="E24" s="248">
        <f t="shared" si="3"/>
        <v>2.0832000000000003E-2</v>
      </c>
      <c r="F24" s="557">
        <f t="shared" si="4"/>
        <v>209529.65638635683</v>
      </c>
      <c r="G24" s="557">
        <f t="shared" si="5"/>
        <v>93169.499062491202</v>
      </c>
      <c r="H24" s="558">
        <f t="shared" si="6"/>
        <v>27.899659990121538</v>
      </c>
      <c r="I24" s="558">
        <f t="shared" si="7"/>
        <v>32.678732133913499</v>
      </c>
      <c r="J24" s="559">
        <f t="shared" si="8"/>
        <v>1.5298671881580921</v>
      </c>
      <c r="K24" s="783">
        <f t="shared" si="9"/>
        <v>0.23671476446003603</v>
      </c>
      <c r="L24" s="248">
        <f t="shared" si="10"/>
        <v>7.0606968012367766E-2</v>
      </c>
      <c r="M24" s="791">
        <f t="shared" si="11"/>
        <v>0.34895813191103842</v>
      </c>
      <c r="N24" s="560">
        <f t="shared" si="30"/>
        <v>0.98889318294110828</v>
      </c>
      <c r="O24" s="248">
        <f t="shared" si="12"/>
        <v>-7.6050379625875353E-2</v>
      </c>
      <c r="P24" s="248">
        <f t="shared" si="13"/>
        <v>0</v>
      </c>
      <c r="Q24" s="248">
        <f t="shared" si="14"/>
        <v>0</v>
      </c>
      <c r="R24" s="248">
        <f t="shared" ref="R24:R37" si="44">10*LOG10(1/SQRT(1-AK24*(Q/AA24)^2))</f>
        <v>0.37250314520634131</v>
      </c>
      <c r="S24" s="248">
        <f t="shared" si="32"/>
        <v>1.5781314208865305E-2</v>
      </c>
      <c r="T24" s="326">
        <f t="shared" si="43"/>
        <v>3.6655644265712151</v>
      </c>
      <c r="U24" s="774">
        <f t="shared" si="41"/>
        <v>4.1806303549299217</v>
      </c>
      <c r="V24" s="531">
        <f t="shared" si="15"/>
        <v>2.9776517985267743</v>
      </c>
      <c r="W24" s="531">
        <f t="shared" si="16"/>
        <v>0.534435573428786</v>
      </c>
      <c r="X24" s="561">
        <f t="shared" si="17"/>
        <v>-7.1571996132963225</v>
      </c>
      <c r="Y24" s="69">
        <f t="shared" si="18"/>
        <v>1.0217815330117466</v>
      </c>
      <c r="Z24" s="70">
        <f t="shared" si="19"/>
        <v>0.85154691045354847</v>
      </c>
      <c r="AA24" s="294">
        <f t="shared" si="33"/>
        <v>0.55088794146593811</v>
      </c>
      <c r="AB24" s="66">
        <f t="shared" si="20"/>
        <v>0.66579695522109006</v>
      </c>
      <c r="AC24" s="65">
        <f t="shared" si="21"/>
        <v>0.61439262166668973</v>
      </c>
      <c r="AD24" s="65">
        <f t="shared" si="22"/>
        <v>0.69175544197927397</v>
      </c>
      <c r="AE24" s="22">
        <f t="shared" si="23"/>
        <v>1.2368934346984299</v>
      </c>
      <c r="AF24" s="22">
        <f t="shared" si="24"/>
        <v>0.8066696313250632</v>
      </c>
      <c r="AG24" s="22">
        <f t="shared" si="25"/>
        <v>1.3552049806261059</v>
      </c>
      <c r="AH24" s="22">
        <f t="shared" si="26"/>
        <v>0.6883580853973873</v>
      </c>
      <c r="AI24" s="22">
        <f t="shared" si="27"/>
        <v>1.1400930789394224</v>
      </c>
      <c r="AJ24" s="22">
        <f t="shared" si="28"/>
        <v>0.90346998708407067</v>
      </c>
      <c r="AK24" s="288">
        <f t="shared" si="34"/>
        <v>2.9505643161276628E-3</v>
      </c>
      <c r="AL24" s="67">
        <f t="shared" si="29"/>
        <v>4.2000000000000011</v>
      </c>
      <c r="AM24" s="186">
        <f t="shared" si="35"/>
        <v>2</v>
      </c>
      <c r="AN24" s="187">
        <f t="shared" si="42"/>
        <v>7</v>
      </c>
      <c r="AO24" s="68">
        <f t="shared" si="36"/>
        <v>0</v>
      </c>
      <c r="AP24" s="334">
        <f t="shared" si="37"/>
        <v>0</v>
      </c>
      <c r="AQ24" s="431">
        <f t="shared" si="38"/>
        <v>0</v>
      </c>
      <c r="AR24" s="335">
        <f t="shared" si="39"/>
        <v>0</v>
      </c>
    </row>
    <row r="25" spans="1:44" s="71" customFormat="1" ht="15" customHeight="1">
      <c r="A25" s="556">
        <f t="shared" si="40"/>
        <v>1.7000000000000006</v>
      </c>
      <c r="B25" s="248">
        <f t="shared" si="0"/>
        <v>0.73090716729721805</v>
      </c>
      <c r="C25" s="248">
        <f t="shared" si="1"/>
        <v>2.7309071672972181</v>
      </c>
      <c r="D25" s="326">
        <f t="shared" si="2"/>
        <v>-4.7412222773900297</v>
      </c>
      <c r="E25" s="248">
        <f t="shared" si="3"/>
        <v>2.2134000000000004E-2</v>
      </c>
      <c r="F25" s="557">
        <f t="shared" si="4"/>
        <v>197204.38248127702</v>
      </c>
      <c r="G25" s="557">
        <f t="shared" si="5"/>
        <v>87688.940294109358</v>
      </c>
      <c r="H25" s="558">
        <f t="shared" si="6"/>
        <v>27.973004198670914</v>
      </c>
      <c r="I25" s="558">
        <f t="shared" si="7"/>
        <v>32.741372454656549</v>
      </c>
      <c r="J25" s="559">
        <f t="shared" si="8"/>
        <v>1.5394899771473833</v>
      </c>
      <c r="K25" s="783">
        <f t="shared" si="9"/>
        <v>0.23681902121373066</v>
      </c>
      <c r="L25" s="248">
        <f t="shared" si="10"/>
        <v>7.0639106830751253E-2</v>
      </c>
      <c r="M25" s="791">
        <f t="shared" si="11"/>
        <v>0.3490954765317591</v>
      </c>
      <c r="N25" s="560">
        <f t="shared" si="30"/>
        <v>0.98015314173377277</v>
      </c>
      <c r="O25" s="248">
        <f t="shared" si="12"/>
        <v>-8.0803528352492576E-2</v>
      </c>
      <c r="P25" s="248">
        <f t="shared" si="13"/>
        <v>0</v>
      </c>
      <c r="Q25" s="248">
        <f t="shared" si="14"/>
        <v>0</v>
      </c>
      <c r="R25" s="248">
        <f t="shared" si="44"/>
        <v>0.3701423646884438</v>
      </c>
      <c r="S25" s="248">
        <f t="shared" si="32"/>
        <v>1.5766846859038453E-2</v>
      </c>
      <c r="T25" s="326">
        <f t="shared" si="43"/>
        <v>3.7070986045566077</v>
      </c>
      <c r="U25" s="774">
        <f t="shared" si="41"/>
        <v>4.2223739954713464</v>
      </c>
      <c r="V25" s="531">
        <f t="shared" si="15"/>
        <v>2.9761914372593896</v>
      </c>
      <c r="W25" s="531">
        <f t="shared" si="16"/>
        <v>0.4929013954433934</v>
      </c>
      <c r="X25" s="561">
        <f t="shared" si="17"/>
        <v>-7.1890860971489534</v>
      </c>
      <c r="Y25" s="69">
        <f t="shared" si="18"/>
        <v>1.0198266753451715</v>
      </c>
      <c r="Z25" s="70">
        <f t="shared" si="19"/>
        <v>0.8507688400672333</v>
      </c>
      <c r="AA25" s="294">
        <f t="shared" si="33"/>
        <v>0.5507719034009303</v>
      </c>
      <c r="AB25" s="66">
        <f t="shared" si="20"/>
        <v>0.66430741515275304</v>
      </c>
      <c r="AC25" s="65">
        <f t="shared" si="21"/>
        <v>0.61299869860165135</v>
      </c>
      <c r="AD25" s="65">
        <f t="shared" si="22"/>
        <v>0.69021928836529511</v>
      </c>
      <c r="AE25" s="22">
        <f t="shared" si="23"/>
        <v>1.2345270280494181</v>
      </c>
      <c r="AF25" s="22">
        <f t="shared" si="24"/>
        <v>0.80512632264092487</v>
      </c>
      <c r="AG25" s="22">
        <f t="shared" si="25"/>
        <v>1.3526122220367536</v>
      </c>
      <c r="AH25" s="22">
        <f t="shared" si="26"/>
        <v>0.68704112865358924</v>
      </c>
      <c r="AI25" s="22">
        <f t="shared" si="27"/>
        <v>1.137911869332507</v>
      </c>
      <c r="AJ25" s="22">
        <f t="shared" si="28"/>
        <v>0.90174148135783572</v>
      </c>
      <c r="AK25" s="288">
        <f t="shared" si="34"/>
        <v>2.9321778768021342E-3</v>
      </c>
      <c r="AL25" s="67">
        <f t="shared" si="29"/>
        <v>4.2000000000000011</v>
      </c>
      <c r="AM25" s="186">
        <f t="shared" si="35"/>
        <v>2</v>
      </c>
      <c r="AN25" s="187">
        <f t="shared" si="42"/>
        <v>7</v>
      </c>
      <c r="AO25" s="68">
        <f t="shared" si="36"/>
        <v>0</v>
      </c>
      <c r="AP25" s="334">
        <f t="shared" si="37"/>
        <v>0</v>
      </c>
      <c r="AQ25" s="431">
        <f t="shared" si="38"/>
        <v>0</v>
      </c>
      <c r="AR25" s="335">
        <f t="shared" si="39"/>
        <v>0</v>
      </c>
    </row>
    <row r="26" spans="1:44" s="71" customFormat="1" ht="15" customHeight="1">
      <c r="A26" s="556">
        <f t="shared" si="40"/>
        <v>1.8000000000000007</v>
      </c>
      <c r="B26" s="248">
        <f t="shared" si="0"/>
        <v>0.77390170654999568</v>
      </c>
      <c r="C26" s="248">
        <f t="shared" si="1"/>
        <v>2.7739017065499958</v>
      </c>
      <c r="D26" s="326">
        <f t="shared" si="2"/>
        <v>-5.0201177054717956</v>
      </c>
      <c r="E26" s="248">
        <f t="shared" si="3"/>
        <v>2.3436000000000005E-2</v>
      </c>
      <c r="F26" s="557">
        <f t="shared" si="4"/>
        <v>186248.58345453942</v>
      </c>
      <c r="G26" s="557">
        <f t="shared" si="5"/>
        <v>82817.332499992175</v>
      </c>
      <c r="H26" s="558">
        <f t="shared" si="6"/>
        <v>28.050583951340112</v>
      </c>
      <c r="I26" s="558">
        <f t="shared" si="7"/>
        <v>32.80767846597594</v>
      </c>
      <c r="J26" s="559">
        <f t="shared" si="8"/>
        <v>1.5497007817124995</v>
      </c>
      <c r="K26" s="783">
        <f t="shared" si="9"/>
        <v>0.23692785160690066</v>
      </c>
      <c r="L26" s="248">
        <f t="shared" si="10"/>
        <v>7.0672645747086316E-2</v>
      </c>
      <c r="M26" s="791">
        <f t="shared" si="11"/>
        <v>0.3492390084004342</v>
      </c>
      <c r="N26" s="560">
        <f t="shared" si="30"/>
        <v>0.97163210527357502</v>
      </c>
      <c r="O26" s="248">
        <f t="shared" si="12"/>
        <v>-8.5556677079109786E-2</v>
      </c>
      <c r="P26" s="248">
        <f t="shared" si="13"/>
        <v>0</v>
      </c>
      <c r="Q26" s="248">
        <f t="shared" si="14"/>
        <v>0</v>
      </c>
      <c r="R26" s="248">
        <f t="shared" si="44"/>
        <v>0.36782900874355218</v>
      </c>
      <c r="S26" s="248">
        <f t="shared" si="32"/>
        <v>1.57609457323723E-2</v>
      </c>
      <c r="T26" s="326">
        <f t="shared" si="43"/>
        <v>3.7494971937590811</v>
      </c>
      <c r="U26" s="774">
        <f t="shared" si="41"/>
        <v>4.2649914080193296</v>
      </c>
      <c r="V26" s="531">
        <f t="shared" si="15"/>
        <v>2.9755954872090853</v>
      </c>
      <c r="W26" s="531">
        <f t="shared" si="16"/>
        <v>0.45050280624091998</v>
      </c>
      <c r="X26" s="561">
        <f t="shared" si="17"/>
        <v>-7.2212432934333091</v>
      </c>
      <c r="Y26" s="69">
        <f t="shared" si="18"/>
        <v>1.0177655530030532</v>
      </c>
      <c r="Z26" s="70">
        <f t="shared" si="19"/>
        <v>0.84994510753351871</v>
      </c>
      <c r="AA26" s="294">
        <f t="shared" si="33"/>
        <v>0.55055339710195306</v>
      </c>
      <c r="AB26" s="66">
        <f t="shared" si="20"/>
        <v>0.66273077259794655</v>
      </c>
      <c r="AC26" s="65">
        <f t="shared" si="21"/>
        <v>0.61152361940617617</v>
      </c>
      <c r="AD26" s="65">
        <f t="shared" si="22"/>
        <v>0.68859308522541784</v>
      </c>
      <c r="AE26" s="22">
        <f t="shared" si="23"/>
        <v>1.2320319852142221</v>
      </c>
      <c r="AF26" s="22">
        <f t="shared" si="24"/>
        <v>0.80349912079188412</v>
      </c>
      <c r="AG26" s="22">
        <f t="shared" si="25"/>
        <v>1.3498785229303651</v>
      </c>
      <c r="AH26" s="22">
        <f t="shared" si="26"/>
        <v>0.68565258307574117</v>
      </c>
      <c r="AI26" s="22">
        <f t="shared" si="27"/>
        <v>1.135612090719196</v>
      </c>
      <c r="AJ26" s="22">
        <f t="shared" si="28"/>
        <v>0.8999190152869101</v>
      </c>
      <c r="AK26" s="288">
        <f t="shared" si="34"/>
        <v>2.913047860761379E-3</v>
      </c>
      <c r="AL26" s="67">
        <f t="shared" si="29"/>
        <v>4.2000000000000011</v>
      </c>
      <c r="AM26" s="186">
        <f t="shared" si="35"/>
        <v>2</v>
      </c>
      <c r="AN26" s="187">
        <f t="shared" si="42"/>
        <v>7</v>
      </c>
      <c r="AO26" s="68">
        <f t="shared" si="36"/>
        <v>0</v>
      </c>
      <c r="AP26" s="334">
        <f t="shared" si="37"/>
        <v>0</v>
      </c>
      <c r="AQ26" s="431">
        <f t="shared" si="38"/>
        <v>0</v>
      </c>
      <c r="AR26" s="335">
        <f t="shared" si="39"/>
        <v>0</v>
      </c>
    </row>
    <row r="27" spans="1:44" s="71" customFormat="1" ht="15" customHeight="1">
      <c r="A27" s="556">
        <f t="shared" si="40"/>
        <v>1.9000000000000008</v>
      </c>
      <c r="B27" s="248">
        <f t="shared" si="0"/>
        <v>0.8168962458027732</v>
      </c>
      <c r="C27" s="248">
        <f t="shared" si="1"/>
        <v>2.8168962458027731</v>
      </c>
      <c r="D27" s="326">
        <f t="shared" si="2"/>
        <v>-5.2990131335535624</v>
      </c>
      <c r="E27" s="248">
        <f t="shared" si="3"/>
        <v>2.4738000000000007E-2</v>
      </c>
      <c r="F27" s="557">
        <f t="shared" si="4"/>
        <v>176446.02643061627</v>
      </c>
      <c r="G27" s="557">
        <f t="shared" si="5"/>
        <v>78458.525526308367</v>
      </c>
      <c r="H27" s="558">
        <f t="shared" si="6"/>
        <v>28.132364207462995</v>
      </c>
      <c r="I27" s="558">
        <f t="shared" si="7"/>
        <v>32.87762798951632</v>
      </c>
      <c r="J27" s="559">
        <f t="shared" si="8"/>
        <v>1.5605003623266067</v>
      </c>
      <c r="K27" s="783">
        <f t="shared" si="9"/>
        <v>0.23704099234918186</v>
      </c>
      <c r="L27" s="248">
        <f t="shared" si="10"/>
        <v>7.0707501928874761E-2</v>
      </c>
      <c r="M27" s="791">
        <f t="shared" si="11"/>
        <v>0.34938840818024186</v>
      </c>
      <c r="N27" s="560">
        <f t="shared" si="30"/>
        <v>0.96332543216054167</v>
      </c>
      <c r="O27" s="248">
        <f t="shared" si="12"/>
        <v>-9.0309825805726995E-2</v>
      </c>
      <c r="P27" s="248">
        <f t="shared" si="13"/>
        <v>0</v>
      </c>
      <c r="Q27" s="248">
        <f t="shared" si="14"/>
        <v>0</v>
      </c>
      <c r="R27" s="248">
        <f t="shared" si="44"/>
        <v>0.36556653946284723</v>
      </c>
      <c r="S27" s="248">
        <f t="shared" si="32"/>
        <v>1.5763598762606579E-2</v>
      </c>
      <c r="T27" s="326">
        <f t="shared" si="43"/>
        <v>3.7927596804442505</v>
      </c>
      <c r="U27" s="774">
        <f t="shared" si="41"/>
        <v>4.3084815790447992</v>
      </c>
      <c r="V27" s="531">
        <f t="shared" si="15"/>
        <v>2.9758634346414774</v>
      </c>
      <c r="W27" s="531">
        <f t="shared" si="16"/>
        <v>0.40724031955575057</v>
      </c>
      <c r="X27" s="561">
        <f t="shared" si="17"/>
        <v>-7.2536700168074653</v>
      </c>
      <c r="Y27" s="69">
        <f t="shared" si="18"/>
        <v>1.0156001834231345</v>
      </c>
      <c r="Z27" s="70">
        <f t="shared" si="19"/>
        <v>0.84907598174110721</v>
      </c>
      <c r="AA27" s="294">
        <f t="shared" si="33"/>
        <v>0.55023304673685347</v>
      </c>
      <c r="AB27" s="66">
        <f t="shared" si="20"/>
        <v>0.66106758832486046</v>
      </c>
      <c r="AC27" s="65">
        <f t="shared" si="21"/>
        <v>0.60996796062134684</v>
      </c>
      <c r="AD27" s="65">
        <f t="shared" si="22"/>
        <v>0.68687737840724727</v>
      </c>
      <c r="AE27" s="22">
        <f t="shared" si="23"/>
        <v>1.2294107483543208</v>
      </c>
      <c r="AF27" s="22">
        <f t="shared" si="24"/>
        <v>0.80178961849194841</v>
      </c>
      <c r="AG27" s="22">
        <f t="shared" si="25"/>
        <v>1.3470065590664733</v>
      </c>
      <c r="AH27" s="22">
        <f t="shared" si="26"/>
        <v>0.6841938077797961</v>
      </c>
      <c r="AI27" s="22">
        <f t="shared" si="27"/>
        <v>1.1331959941352869</v>
      </c>
      <c r="AJ27" s="22">
        <f t="shared" si="28"/>
        <v>0.89800437271098221</v>
      </c>
      <c r="AK27" s="288">
        <f t="shared" si="34"/>
        <v>2.893226340732366E-3</v>
      </c>
      <c r="AL27" s="67">
        <f t="shared" si="29"/>
        <v>4.2000000000000011</v>
      </c>
      <c r="AM27" s="186">
        <f t="shared" si="35"/>
        <v>2</v>
      </c>
      <c r="AN27" s="187">
        <f t="shared" si="42"/>
        <v>7</v>
      </c>
      <c r="AO27" s="68">
        <f t="shared" si="36"/>
        <v>0</v>
      </c>
      <c r="AP27" s="334">
        <f>IF($A27=$L$3,I27,0)</f>
        <v>0</v>
      </c>
      <c r="AQ27" s="431">
        <f t="shared" si="38"/>
        <v>0</v>
      </c>
      <c r="AR27" s="335">
        <f t="shared" si="39"/>
        <v>0</v>
      </c>
    </row>
    <row r="28" spans="1:44" s="59" customFormat="1" ht="15" customHeight="1">
      <c r="A28" s="562">
        <f t="shared" si="40"/>
        <v>2.0000000000000009</v>
      </c>
      <c r="B28" s="432">
        <f t="shared" si="0"/>
        <v>0.85989078505555061</v>
      </c>
      <c r="C28" s="432">
        <f t="shared" si="1"/>
        <v>2.8598907850555504</v>
      </c>
      <c r="D28" s="433">
        <f t="shared" si="2"/>
        <v>-5.5779085616353292</v>
      </c>
      <c r="E28" s="432">
        <f t="shared" si="3"/>
        <v>2.6040000000000008E-2</v>
      </c>
      <c r="F28" s="563">
        <f t="shared" si="4"/>
        <v>167623.72510908544</v>
      </c>
      <c r="G28" s="563">
        <f t="shared" si="5"/>
        <v>74535.599249992956</v>
      </c>
      <c r="H28" s="564">
        <f t="shared" si="6"/>
        <v>28.218308446279295</v>
      </c>
      <c r="I28" s="564">
        <f t="shared" si="7"/>
        <v>32.951197821703531</v>
      </c>
      <c r="J28" s="565">
        <f t="shared" si="8"/>
        <v>1.5718891540255007</v>
      </c>
      <c r="K28" s="784">
        <f t="shared" si="9"/>
        <v>0.23715852268600712</v>
      </c>
      <c r="L28" s="432">
        <f t="shared" si="10"/>
        <v>7.0743937234577059E-2</v>
      </c>
      <c r="M28" s="792">
        <f t="shared" si="11"/>
        <v>0.349543353589163</v>
      </c>
      <c r="N28" s="566">
        <f t="shared" si="30"/>
        <v>0.95522864533239216</v>
      </c>
      <c r="O28" s="432">
        <f t="shared" si="12"/>
        <v>-9.5062974532344205E-2</v>
      </c>
      <c r="P28" s="432">
        <f t="shared" si="13"/>
        <v>0</v>
      </c>
      <c r="Q28" s="432">
        <f t="shared" si="14"/>
        <v>0</v>
      </c>
      <c r="R28" s="432">
        <f t="shared" si="44"/>
        <v>0.36335841113674516</v>
      </c>
      <c r="S28" s="432">
        <f t="shared" si="32"/>
        <v>1.5774805856077379E-2</v>
      </c>
      <c r="T28" s="778">
        <f>J28+L28+B28+Q28+N28+R28+S28+Pmn</f>
        <v>3.8368857386408424</v>
      </c>
      <c r="U28" s="775">
        <f t="shared" si="41"/>
        <v>4.3528436776814354</v>
      </c>
      <c r="V28" s="777">
        <f t="shared" si="15"/>
        <v>2.976994953585292</v>
      </c>
      <c r="W28" s="432">
        <f t="shared" si="16"/>
        <v>0.3631142613591587</v>
      </c>
      <c r="X28" s="809">
        <f t="shared" si="17"/>
        <v>-7.2863652444527265</v>
      </c>
      <c r="Y28" s="434">
        <f t="shared" si="18"/>
        <v>1.0133326623615928</v>
      </c>
      <c r="Z28" s="435">
        <f t="shared" si="19"/>
        <v>0.84816177590074748</v>
      </c>
      <c r="AA28" s="436">
        <f t="shared" si="33"/>
        <v>0.54981150876345519</v>
      </c>
      <c r="AB28" s="437">
        <f t="shared" si="20"/>
        <v>0.65931845510154075</v>
      </c>
      <c r="AC28" s="438">
        <f t="shared" si="21"/>
        <v>0.60833232885997623</v>
      </c>
      <c r="AD28" s="438">
        <f t="shared" si="22"/>
        <v>0.68507274661588946</v>
      </c>
      <c r="AE28" s="439">
        <f t="shared" si="23"/>
        <v>1.2266658544377176</v>
      </c>
      <c r="AF28" s="439">
        <f t="shared" si="24"/>
        <v>0.79999947028546814</v>
      </c>
      <c r="AG28" s="439">
        <f t="shared" si="25"/>
        <v>1.3439991100795863</v>
      </c>
      <c r="AH28" s="439">
        <f t="shared" si="26"/>
        <v>0.68266621464359956</v>
      </c>
      <c r="AI28" s="439">
        <f t="shared" si="27"/>
        <v>1.1306659180034615</v>
      </c>
      <c r="AJ28" s="439">
        <f t="shared" si="28"/>
        <v>0.89599940671972422</v>
      </c>
      <c r="AK28" s="440">
        <f t="shared" si="34"/>
        <v>2.8727652671676359E-3</v>
      </c>
      <c r="AL28" s="441">
        <f t="shared" si="29"/>
        <v>4.2000000000000011</v>
      </c>
      <c r="AM28" s="442">
        <f t="shared" si="35"/>
        <v>2</v>
      </c>
      <c r="AN28" s="443">
        <f t="shared" si="42"/>
        <v>7</v>
      </c>
      <c r="AO28" s="444">
        <f t="shared" si="36"/>
        <v>0.3631142613591587</v>
      </c>
      <c r="AP28" s="445">
        <f t="shared" ref="AP28:AP38" si="45">IF($A28=$L$3,I28,0)</f>
        <v>32.951197821703531</v>
      </c>
      <c r="AQ28" s="446">
        <f t="shared" si="38"/>
        <v>1.1306659180034615</v>
      </c>
      <c r="AR28" s="447">
        <f t="shared" si="39"/>
        <v>0.89599940671972422</v>
      </c>
    </row>
    <row r="29" spans="1:44" s="71" customFormat="1" ht="15" customHeight="1">
      <c r="A29" s="556">
        <f t="shared" si="40"/>
        <v>2.100000000000001</v>
      </c>
      <c r="B29" s="248">
        <f t="shared" si="0"/>
        <v>0.90288532430832835</v>
      </c>
      <c r="C29" s="248">
        <f t="shared" si="1"/>
        <v>2.9028853243083281</v>
      </c>
      <c r="D29" s="326">
        <f t="shared" si="2"/>
        <v>-5.856803989717096</v>
      </c>
      <c r="E29" s="248">
        <f t="shared" si="3"/>
        <v>2.7342000000000009E-2</v>
      </c>
      <c r="F29" s="557">
        <f t="shared" si="4"/>
        <v>159641.64296103377</v>
      </c>
      <c r="G29" s="557">
        <f t="shared" si="5"/>
        <v>70986.284999993281</v>
      </c>
      <c r="H29" s="558">
        <f t="shared" si="6"/>
        <v>28.308378742259624</v>
      </c>
      <c r="I29" s="558">
        <f t="shared" si="7"/>
        <v>33.028363770112783</v>
      </c>
      <c r="J29" s="559">
        <f t="shared" si="8"/>
        <v>1.583868632006538</v>
      </c>
      <c r="K29" s="783">
        <f t="shared" si="9"/>
        <v>0.23727949746183974</v>
      </c>
      <c r="L29" s="248">
        <f t="shared" si="10"/>
        <v>7.0781190153609508E-2</v>
      </c>
      <c r="M29" s="791">
        <f t="shared" si="11"/>
        <v>0.34970352151682782</v>
      </c>
      <c r="N29" s="560">
        <f t="shared" si="30"/>
        <v>0.9473374258340127</v>
      </c>
      <c r="O29" s="248">
        <f t="shared" si="12"/>
        <v>-9.9816123258961428E-2</v>
      </c>
      <c r="P29" s="248">
        <f t="shared" si="13"/>
        <v>0</v>
      </c>
      <c r="Q29" s="248">
        <f t="shared" si="14"/>
        <v>0</v>
      </c>
      <c r="R29" s="248">
        <f t="shared" si="44"/>
        <v>0.36120804830404091</v>
      </c>
      <c r="S29" s="248">
        <f t="shared" si="32"/>
        <v>1.5794578579285179E-2</v>
      </c>
      <c r="T29" s="326">
        <f t="shared" si="43"/>
        <v>3.8818751991858145</v>
      </c>
      <c r="U29" s="774">
        <f t="shared" si="41"/>
        <v>4.3980770280108734</v>
      </c>
      <c r="V29" s="531">
        <f t="shared" si="15"/>
        <v>2.9789898748774863</v>
      </c>
      <c r="W29" s="531">
        <f t="shared" si="16"/>
        <v>0.31812480081418659</v>
      </c>
      <c r="X29" s="561">
        <f t="shared" si="17"/>
        <v>-7.3193280877360252</v>
      </c>
      <c r="Y29" s="69">
        <f t="shared" si="18"/>
        <v>1.0109651585854609</v>
      </c>
      <c r="Z29" s="70">
        <f t="shared" si="19"/>
        <v>0.84720273785781264</v>
      </c>
      <c r="AA29" s="294">
        <f t="shared" si="33"/>
        <v>0.54928947204920708</v>
      </c>
      <c r="AB29" s="66">
        <f t="shared" si="20"/>
        <v>0.65748399758195886</v>
      </c>
      <c r="AC29" s="65">
        <f t="shared" si="21"/>
        <v>0.60661736032857139</v>
      </c>
      <c r="AD29" s="65">
        <f t="shared" si="22"/>
        <v>0.68317980152109437</v>
      </c>
      <c r="AE29" s="22">
        <f t="shared" si="23"/>
        <v>1.2237999288139789</v>
      </c>
      <c r="AF29" s="22">
        <f t="shared" si="24"/>
        <v>0.79813038835694283</v>
      </c>
      <c r="AG29" s="22">
        <f t="shared" si="25"/>
        <v>1.3408590524396637</v>
      </c>
      <c r="AH29" s="22">
        <f t="shared" si="26"/>
        <v>0.6810712647312579</v>
      </c>
      <c r="AI29" s="22">
        <f t="shared" si="27"/>
        <v>1.1280242822111457</v>
      </c>
      <c r="AJ29" s="22">
        <f t="shared" si="28"/>
        <v>0.89390603495977594</v>
      </c>
      <c r="AK29" s="288">
        <f t="shared" si="34"/>
        <v>2.851716178447965E-3</v>
      </c>
      <c r="AL29" s="67">
        <f t="shared" si="29"/>
        <v>4.2000000000000011</v>
      </c>
      <c r="AM29" s="186">
        <f t="shared" si="35"/>
        <v>2</v>
      </c>
      <c r="AN29" s="187">
        <f t="shared" si="42"/>
        <v>7</v>
      </c>
      <c r="AO29" s="68">
        <f t="shared" si="36"/>
        <v>0</v>
      </c>
      <c r="AP29" s="334">
        <f t="shared" si="45"/>
        <v>0</v>
      </c>
      <c r="AQ29" s="431">
        <f t="shared" si="38"/>
        <v>0</v>
      </c>
      <c r="AR29" s="335">
        <f t="shared" si="39"/>
        <v>0</v>
      </c>
    </row>
    <row r="30" spans="1:44" s="71" customFormat="1" ht="15" customHeight="1">
      <c r="A30" s="556">
        <f t="shared" si="40"/>
        <v>2.2000000000000011</v>
      </c>
      <c r="B30" s="248">
        <f t="shared" si="0"/>
        <v>0.94587986356110576</v>
      </c>
      <c r="C30" s="248">
        <f t="shared" si="1"/>
        <v>2.9458798635611059</v>
      </c>
      <c r="D30" s="326">
        <f t="shared" si="2"/>
        <v>-6.135699417798862</v>
      </c>
      <c r="E30" s="248">
        <f t="shared" si="3"/>
        <v>2.864400000000001E-2</v>
      </c>
      <c r="F30" s="557">
        <f t="shared" si="4"/>
        <v>152385.20464462315</v>
      </c>
      <c r="G30" s="557">
        <f t="shared" si="5"/>
        <v>67759.635681811778</v>
      </c>
      <c r="H30" s="558">
        <f t="shared" si="6"/>
        <v>28.402535841697695</v>
      </c>
      <c r="I30" s="558">
        <f t="shared" si="7"/>
        <v>33.109100690816177</v>
      </c>
      <c r="J30" s="559">
        <f t="shared" si="8"/>
        <v>1.5964392763980957</v>
      </c>
      <c r="K30" s="783">
        <f t="shared" si="9"/>
        <v>0.23740398107364213</v>
      </c>
      <c r="L30" s="248">
        <f t="shared" si="10"/>
        <v>7.0819508632322004E-2</v>
      </c>
      <c r="M30" s="791">
        <f t="shared" si="11"/>
        <v>0.34986859015202953</v>
      </c>
      <c r="N30" s="560">
        <f t="shared" si="30"/>
        <v>0.93964760689917282</v>
      </c>
      <c r="O30" s="248">
        <f t="shared" si="12"/>
        <v>-0.10456927198557862</v>
      </c>
      <c r="P30" s="248">
        <f t="shared" si="13"/>
        <v>0</v>
      </c>
      <c r="Q30" s="248">
        <f t="shared" si="14"/>
        <v>0</v>
      </c>
      <c r="R30" s="248">
        <f t="shared" si="44"/>
        <v>0.35911882676590817</v>
      </c>
      <c r="S30" s="248">
        <f t="shared" si="32"/>
        <v>1.5822939908496425E-2</v>
      </c>
      <c r="T30" s="326">
        <f t="shared" si="43"/>
        <v>3.927728022165101</v>
      </c>
      <c r="U30" s="774">
        <f t="shared" si="41"/>
        <v>4.4441810847584504</v>
      </c>
      <c r="V30" s="531">
        <f t="shared" si="15"/>
        <v>2.9818481586039951</v>
      </c>
      <c r="W30" s="531">
        <f t="shared" si="16"/>
        <v>0.27227197783490009</v>
      </c>
      <c r="X30" s="561">
        <f t="shared" si="17"/>
        <v>-7.3525577671804356</v>
      </c>
      <c r="Y30" s="69">
        <f t="shared" si="18"/>
        <v>1.00849990848384</v>
      </c>
      <c r="Z30" s="70">
        <f t="shared" si="19"/>
        <v>0.84619921333397019</v>
      </c>
      <c r="AA30" s="294">
        <f t="shared" si="33"/>
        <v>0.54866765795703543</v>
      </c>
      <c r="AB30" s="66">
        <f t="shared" si="20"/>
        <v>0.65556487216120218</v>
      </c>
      <c r="AC30" s="65">
        <f t="shared" si="21"/>
        <v>0.60482372032410359</v>
      </c>
      <c r="AD30" s="65">
        <f t="shared" si="22"/>
        <v>0.68119918783035871</v>
      </c>
      <c r="AE30" s="22">
        <f t="shared" si="23"/>
        <v>1.2208156786909641</v>
      </c>
      <c r="AF30" s="22">
        <f t="shared" si="24"/>
        <v>0.79618413827671586</v>
      </c>
      <c r="AG30" s="22">
        <f t="shared" si="25"/>
        <v>1.3375893523048825</v>
      </c>
      <c r="AH30" s="22">
        <f t="shared" si="26"/>
        <v>0.67941046466279753</v>
      </c>
      <c r="AI30" s="22">
        <f t="shared" si="27"/>
        <v>1.1252735820977582</v>
      </c>
      <c r="AJ30" s="22">
        <f t="shared" si="28"/>
        <v>0.89172623486992164</v>
      </c>
      <c r="AK30" s="288">
        <f t="shared" si="34"/>
        <v>2.8301299360321531E-3</v>
      </c>
      <c r="AL30" s="67">
        <f t="shared" si="29"/>
        <v>4.2000000000000011</v>
      </c>
      <c r="AM30" s="186">
        <f t="shared" si="35"/>
        <v>2</v>
      </c>
      <c r="AN30" s="187">
        <f t="shared" si="42"/>
        <v>7</v>
      </c>
      <c r="AO30" s="68">
        <f t="shared" si="36"/>
        <v>0</v>
      </c>
      <c r="AP30" s="334">
        <f t="shared" si="45"/>
        <v>0</v>
      </c>
      <c r="AQ30" s="431">
        <f t="shared" si="38"/>
        <v>0</v>
      </c>
      <c r="AR30" s="335">
        <f t="shared" si="39"/>
        <v>0</v>
      </c>
    </row>
    <row r="31" spans="1:44" s="71" customFormat="1" ht="15" customHeight="1">
      <c r="A31" s="556">
        <f t="shared" si="40"/>
        <v>2.3000000000000012</v>
      </c>
      <c r="B31" s="248">
        <f t="shared" si="0"/>
        <v>0.98887440281388328</v>
      </c>
      <c r="C31" s="248">
        <f t="shared" si="1"/>
        <v>2.9888744028138832</v>
      </c>
      <c r="D31" s="326">
        <f t="shared" si="2"/>
        <v>-6.4145948458806288</v>
      </c>
      <c r="E31" s="248">
        <f t="shared" si="3"/>
        <v>2.9946000000000011E-2</v>
      </c>
      <c r="F31" s="557">
        <f t="shared" si="4"/>
        <v>145759.76096442214</v>
      </c>
      <c r="G31" s="557">
        <f t="shared" si="5"/>
        <v>64813.564565211258</v>
      </c>
      <c r="H31" s="558">
        <f t="shared" si="6"/>
        <v>28.500739240245597</v>
      </c>
      <c r="I31" s="558">
        <f t="shared" si="7"/>
        <v>33.193382526584379</v>
      </c>
      <c r="J31" s="559">
        <f t="shared" si="8"/>
        <v>1.6096019113729343</v>
      </c>
      <c r="K31" s="783">
        <f t="shared" si="9"/>
        <v>0.23753170715728111</v>
      </c>
      <c r="L31" s="248">
        <f t="shared" si="10"/>
        <v>7.0858808635051007E-2</v>
      </c>
      <c r="M31" s="791">
        <f t="shared" si="11"/>
        <v>0.35003824110889203</v>
      </c>
      <c r="N31" s="560">
        <f t="shared" si="30"/>
        <v>0.93215516833200196</v>
      </c>
      <c r="O31" s="248">
        <f t="shared" si="12"/>
        <v>-0.10932242071219585</v>
      </c>
      <c r="P31" s="248">
        <f t="shared" si="13"/>
        <v>0</v>
      </c>
      <c r="Q31" s="248">
        <f t="shared" si="14"/>
        <v>0</v>
      </c>
      <c r="R31" s="248">
        <f t="shared" si="44"/>
        <v>0.35709405752823642</v>
      </c>
      <c r="S31" s="248">
        <f t="shared" si="32"/>
        <v>1.5859924038973627E-2</v>
      </c>
      <c r="T31" s="326">
        <f t="shared" si="43"/>
        <v>3.9744442727210805</v>
      </c>
      <c r="U31" s="774">
        <f t="shared" si="41"/>
        <v>4.4911554123522031</v>
      </c>
      <c r="V31" s="531">
        <f t="shared" si="15"/>
        <v>2.9855698699071973</v>
      </c>
      <c r="W31" s="531">
        <f t="shared" si="16"/>
        <v>0.22555572727892059</v>
      </c>
      <c r="X31" s="561">
        <f t="shared" si="17"/>
        <v>-7.3860535906936082</v>
      </c>
      <c r="Y31" s="69">
        <f t="shared" si="18"/>
        <v>1.0059392106221199</v>
      </c>
      <c r="Z31" s="70">
        <f t="shared" si="19"/>
        <v>0.84515153819702027</v>
      </c>
      <c r="AA31" s="294">
        <f t="shared" si="33"/>
        <v>0.54794682039325637</v>
      </c>
      <c r="AB31" s="66">
        <f t="shared" si="20"/>
        <v>0.65356176679723399</v>
      </c>
      <c r="AC31" s="65">
        <f t="shared" si="21"/>
        <v>0.60295210270583133</v>
      </c>
      <c r="AD31" s="65">
        <f t="shared" si="22"/>
        <v>0.67913158332378742</v>
      </c>
      <c r="AE31" s="22">
        <f t="shared" si="23"/>
        <v>1.2177158865425661</v>
      </c>
      <c r="AF31" s="22">
        <f t="shared" si="24"/>
        <v>0.79416253470167364</v>
      </c>
      <c r="AG31" s="22">
        <f t="shared" si="25"/>
        <v>1.3341930582988115</v>
      </c>
      <c r="AH31" s="22">
        <f t="shared" si="26"/>
        <v>0.67768536294542825</v>
      </c>
      <c r="AI31" s="22">
        <f t="shared" si="27"/>
        <v>1.1224163823783653</v>
      </c>
      <c r="AJ31" s="22">
        <f t="shared" si="28"/>
        <v>0.88946203886587438</v>
      </c>
      <c r="AK31" s="288">
        <f t="shared" si="34"/>
        <v>2.8080564856669838E-3</v>
      </c>
      <c r="AL31" s="67">
        <f t="shared" si="29"/>
        <v>4.2000000000000011</v>
      </c>
      <c r="AM31" s="186">
        <f t="shared" si="35"/>
        <v>2</v>
      </c>
      <c r="AN31" s="187">
        <f t="shared" si="42"/>
        <v>7</v>
      </c>
      <c r="AO31" s="68">
        <f t="shared" si="36"/>
        <v>0</v>
      </c>
      <c r="AP31" s="334">
        <f t="shared" si="45"/>
        <v>0</v>
      </c>
      <c r="AQ31" s="431">
        <f t="shared" si="38"/>
        <v>0</v>
      </c>
      <c r="AR31" s="335">
        <f t="shared" si="39"/>
        <v>0</v>
      </c>
    </row>
    <row r="32" spans="1:44" s="71" customFormat="1" ht="15" customHeight="1">
      <c r="A32" s="556">
        <f t="shared" si="40"/>
        <v>2.4000000000000012</v>
      </c>
      <c r="B32" s="248">
        <f t="shared" si="0"/>
        <v>1.0318689420666609</v>
      </c>
      <c r="C32" s="248">
        <f t="shared" si="1"/>
        <v>3.0318689420666609</v>
      </c>
      <c r="D32" s="326">
        <f t="shared" si="2"/>
        <v>-6.6934902739623956</v>
      </c>
      <c r="E32" s="248">
        <f t="shared" si="3"/>
        <v>3.1248000000000012E-2</v>
      </c>
      <c r="F32" s="557">
        <f t="shared" si="4"/>
        <v>139686.43759090453</v>
      </c>
      <c r="G32" s="557">
        <f t="shared" si="5"/>
        <v>62112.99937499412</v>
      </c>
      <c r="H32" s="558">
        <f t="shared" si="6"/>
        <v>28.602947261075641</v>
      </c>
      <c r="I32" s="558">
        <f t="shared" si="7"/>
        <v>33.281182345817534</v>
      </c>
      <c r="J32" s="559">
        <f t="shared" si="8"/>
        <v>1.6233573700049724</v>
      </c>
      <c r="K32" s="783">
        <f t="shared" si="9"/>
        <v>0.23766232532549969</v>
      </c>
      <c r="L32" s="248">
        <f t="shared" si="10"/>
        <v>7.089900706266361E-2</v>
      </c>
      <c r="M32" s="791">
        <f t="shared" si="11"/>
        <v>0.35021224883776281</v>
      </c>
      <c r="N32" s="560">
        <f t="shared" si="30"/>
        <v>0.92485623117644611</v>
      </c>
      <c r="O32" s="248">
        <f t="shared" si="12"/>
        <v>-0.11407556943881306</v>
      </c>
      <c r="P32" s="248">
        <f t="shared" si="13"/>
        <v>0</v>
      </c>
      <c r="Q32" s="248">
        <f t="shared" si="14"/>
        <v>0</v>
      </c>
      <c r="R32" s="248">
        <f t="shared" si="44"/>
        <v>0.35513697359413543</v>
      </c>
      <c r="S32" s="248">
        <f t="shared" si="32"/>
        <v>1.590557625156519E-2</v>
      </c>
      <c r="T32" s="326">
        <f t="shared" si="43"/>
        <v>4.0220241001564432</v>
      </c>
      <c r="U32" s="774">
        <f t="shared" si="41"/>
        <v>4.5389996672570421</v>
      </c>
      <c r="V32" s="531">
        <f t="shared" si="15"/>
        <v>2.9901551580897823</v>
      </c>
      <c r="W32" s="531">
        <f t="shared" si="16"/>
        <v>0.17797589984355788</v>
      </c>
      <c r="X32" s="561">
        <f t="shared" si="17"/>
        <v>-7.4198149349630249</v>
      </c>
      <c r="Y32" s="69">
        <f t="shared" si="18"/>
        <v>1.0032854202629182</v>
      </c>
      <c r="Z32" s="70">
        <f t="shared" si="19"/>
        <v>0.8440600652254393</v>
      </c>
      <c r="AA32" s="294">
        <f t="shared" si="33"/>
        <v>0.54712774581362367</v>
      </c>
      <c r="AB32" s="66">
        <f t="shared" si="20"/>
        <v>0.65147541389216057</v>
      </c>
      <c r="AC32" s="65">
        <f t="shared" si="21"/>
        <v>0.60100322934246009</v>
      </c>
      <c r="AD32" s="65">
        <f t="shared" si="22"/>
        <v>0.67697769884675063</v>
      </c>
      <c r="AE32" s="22">
        <f t="shared" si="23"/>
        <v>1.2145034034761641</v>
      </c>
      <c r="AF32" s="22">
        <f t="shared" si="24"/>
        <v>0.79206743704967242</v>
      </c>
      <c r="AG32" s="22">
        <f t="shared" si="25"/>
        <v>1.3306732942434494</v>
      </c>
      <c r="AH32" s="22">
        <f t="shared" si="26"/>
        <v>0.67589754628238718</v>
      </c>
      <c r="AI32" s="22">
        <f t="shared" si="27"/>
        <v>1.1194553110302035</v>
      </c>
      <c r="AJ32" s="22">
        <f t="shared" si="28"/>
        <v>0.88711552949563299</v>
      </c>
      <c r="AK32" s="288">
        <f t="shared" si="34"/>
        <v>2.7855446452209384E-3</v>
      </c>
      <c r="AL32" s="67">
        <f t="shared" si="29"/>
        <v>4.2000000000000011</v>
      </c>
      <c r="AM32" s="186">
        <f t="shared" si="35"/>
        <v>2</v>
      </c>
      <c r="AN32" s="187">
        <f t="shared" si="42"/>
        <v>7</v>
      </c>
      <c r="AO32" s="68">
        <f t="shared" si="36"/>
        <v>0</v>
      </c>
      <c r="AP32" s="334">
        <f t="shared" si="45"/>
        <v>0</v>
      </c>
      <c r="AQ32" s="431">
        <f t="shared" si="38"/>
        <v>0</v>
      </c>
      <c r="AR32" s="335">
        <f t="shared" si="39"/>
        <v>0</v>
      </c>
    </row>
    <row r="33" spans="1:49" s="59" customFormat="1" ht="15" customHeight="1">
      <c r="A33" s="549">
        <f t="shared" si="40"/>
        <v>2.5000000000000013</v>
      </c>
      <c r="B33" s="247">
        <f t="shared" si="0"/>
        <v>1.0748634813194384</v>
      </c>
      <c r="C33" s="247">
        <f t="shared" si="1"/>
        <v>3.0748634813194382</v>
      </c>
      <c r="D33" s="275">
        <f t="shared" si="2"/>
        <v>-6.9723857020441615</v>
      </c>
      <c r="E33" s="247">
        <f t="shared" si="3"/>
        <v>3.2550000000000016E-2</v>
      </c>
      <c r="F33" s="550">
        <f t="shared" si="4"/>
        <v>134098.98008726837</v>
      </c>
      <c r="G33" s="550">
        <f t="shared" si="5"/>
        <v>59628.479399994358</v>
      </c>
      <c r="H33" s="551">
        <f t="shared" si="6"/>
        <v>28.709117133362369</v>
      </c>
      <c r="I33" s="551">
        <f t="shared" si="7"/>
        <v>33.372472382081654</v>
      </c>
      <c r="J33" s="552">
        <f t="shared" si="8"/>
        <v>1.6377064916747666</v>
      </c>
      <c r="K33" s="782">
        <f t="shared" si="9"/>
        <v>0.237795747355112</v>
      </c>
      <c r="L33" s="247">
        <f t="shared" si="10"/>
        <v>7.0940022244713186E-2</v>
      </c>
      <c r="M33" s="790">
        <f t="shared" si="11"/>
        <v>0.35039013812220965</v>
      </c>
      <c r="N33" s="553">
        <f t="shared" si="30"/>
        <v>0.91774705266254619</v>
      </c>
      <c r="O33" s="247">
        <f t="shared" si="12"/>
        <v>-0.11882871816543027</v>
      </c>
      <c r="P33" s="247">
        <f t="shared" si="13"/>
        <v>0</v>
      </c>
      <c r="Q33" s="247">
        <f t="shared" si="14"/>
        <v>0</v>
      </c>
      <c r="R33" s="247">
        <f t="shared" si="44"/>
        <v>0.3532507194934203</v>
      </c>
      <c r="S33" s="247">
        <f t="shared" si="32"/>
        <v>1.5959952834362745E-2</v>
      </c>
      <c r="T33" s="275">
        <f t="shared" si="43"/>
        <v>4.0704677202292476</v>
      </c>
      <c r="U33" s="773">
        <f t="shared" si="41"/>
        <v>4.5877135834618556</v>
      </c>
      <c r="V33" s="555">
        <f t="shared" si="15"/>
        <v>2.9956042389098094</v>
      </c>
      <c r="W33" s="555">
        <f t="shared" si="16"/>
        <v>0.12953227977075343</v>
      </c>
      <c r="X33" s="554">
        <f t="shared" si="17"/>
        <v>-7.4538412298925856</v>
      </c>
      <c r="Y33" s="56">
        <f t="shared" si="18"/>
        <v>1.0005409438767983</v>
      </c>
      <c r="Z33" s="57">
        <f t="shared" si="19"/>
        <v>0.8429251641289961</v>
      </c>
      <c r="AA33" s="293">
        <f t="shared" si="33"/>
        <v>0.54621125318383834</v>
      </c>
      <c r="AB33" s="53">
        <f t="shared" si="20"/>
        <v>0.64930653830275209</v>
      </c>
      <c r="AC33" s="52">
        <f t="shared" si="21"/>
        <v>0.59897784953496314</v>
      </c>
      <c r="AD33" s="52">
        <f t="shared" si="22"/>
        <v>0.6747382782566258</v>
      </c>
      <c r="AE33" s="58">
        <f t="shared" si="23"/>
        <v>1.2111811425877033</v>
      </c>
      <c r="AF33" s="58">
        <f t="shared" si="24"/>
        <v>0.78990074516589348</v>
      </c>
      <c r="AG33" s="58">
        <f t="shared" si="25"/>
        <v>1.3270332518787009</v>
      </c>
      <c r="AH33" s="58">
        <f t="shared" si="26"/>
        <v>0.67404863587489583</v>
      </c>
      <c r="AI33" s="58">
        <f t="shared" si="27"/>
        <v>1.1163930531677959</v>
      </c>
      <c r="AJ33" s="58">
        <f t="shared" si="28"/>
        <v>0.88468883458580061</v>
      </c>
      <c r="AK33" s="299">
        <f t="shared" si="34"/>
        <v>2.7626419192079313E-3</v>
      </c>
      <c r="AL33" s="54">
        <f t="shared" si="29"/>
        <v>4.2000000000000011</v>
      </c>
      <c r="AM33" s="185">
        <f t="shared" si="35"/>
        <v>2</v>
      </c>
      <c r="AN33" s="188">
        <f t="shared" si="42"/>
        <v>7</v>
      </c>
      <c r="AO33" s="55">
        <f t="shared" si="36"/>
        <v>0</v>
      </c>
      <c r="AP33" s="332">
        <f t="shared" si="45"/>
        <v>0</v>
      </c>
      <c r="AQ33" s="430">
        <f t="shared" si="38"/>
        <v>0</v>
      </c>
      <c r="AR33" s="333">
        <f t="shared" si="39"/>
        <v>0</v>
      </c>
    </row>
    <row r="34" spans="1:49" s="71" customFormat="1" ht="15" customHeight="1">
      <c r="A34" s="556">
        <f t="shared" si="40"/>
        <v>2.6000000000000014</v>
      </c>
      <c r="B34" s="248">
        <f t="shared" si="0"/>
        <v>1.1178580205722162</v>
      </c>
      <c r="C34" s="248">
        <f t="shared" si="1"/>
        <v>3.1178580205722159</v>
      </c>
      <c r="D34" s="326">
        <f t="shared" si="2"/>
        <v>-7.2512811301259283</v>
      </c>
      <c r="E34" s="248">
        <f t="shared" si="3"/>
        <v>3.3852000000000014E-2</v>
      </c>
      <c r="F34" s="557">
        <f t="shared" si="4"/>
        <v>128941.32700698881</v>
      </c>
      <c r="G34" s="557">
        <f t="shared" si="5"/>
        <v>57335.076346148417</v>
      </c>
      <c r="H34" s="558">
        <f t="shared" si="6"/>
        <v>28.819205070789405</v>
      </c>
      <c r="I34" s="558">
        <f t="shared" si="7"/>
        <v>33.46722407412804</v>
      </c>
      <c r="J34" s="559">
        <f t="shared" si="8"/>
        <v>1.6526501196272014</v>
      </c>
      <c r="K34" s="783">
        <f t="shared" si="9"/>
        <v>0.23793124053311776</v>
      </c>
      <c r="L34" s="248">
        <f t="shared" si="10"/>
        <v>7.0981494622512464E-2</v>
      </c>
      <c r="M34" s="791">
        <f t="shared" si="11"/>
        <v>0.35057209435325798</v>
      </c>
      <c r="N34" s="560">
        <f t="shared" si="30"/>
        <v>0.91082396281328981</v>
      </c>
      <c r="O34" s="248">
        <f t="shared" si="12"/>
        <v>-0.12358186689204748</v>
      </c>
      <c r="P34" s="248">
        <f t="shared" si="13"/>
        <v>0</v>
      </c>
      <c r="Q34" s="248">
        <f t="shared" si="14"/>
        <v>0</v>
      </c>
      <c r="R34" s="248">
        <f t="shared" si="44"/>
        <v>0.3514382839577006</v>
      </c>
      <c r="S34" s="248">
        <f t="shared" si="32"/>
        <v>1.6023117030391387E-2</v>
      </c>
      <c r="T34" s="326">
        <f t="shared" si="43"/>
        <v>4.1197749986233116</v>
      </c>
      <c r="U34" s="774">
        <f t="shared" si="41"/>
        <v>4.6372968388871749</v>
      </c>
      <c r="V34" s="531">
        <f t="shared" si="15"/>
        <v>3.0019169780510957</v>
      </c>
      <c r="W34" s="531">
        <f t="shared" si="16"/>
        <v>8.022500137668942E-2</v>
      </c>
      <c r="X34" s="561">
        <f t="shared" si="17"/>
        <v>-7.4881318258584013</v>
      </c>
      <c r="Y34" s="69">
        <f t="shared" si="18"/>
        <v>0.99770823366503913</v>
      </c>
      <c r="Z34" s="70">
        <f t="shared" si="19"/>
        <v>0.84174722154254222</v>
      </c>
      <c r="AA34" s="294">
        <f t="shared" si="33"/>
        <v>0.54519823637338916</v>
      </c>
      <c r="AB34" s="66">
        <f t="shared" si="20"/>
        <v>0.64705599301436667</v>
      </c>
      <c r="AC34" s="65">
        <f t="shared" si="21"/>
        <v>0.59687673941544173</v>
      </c>
      <c r="AD34" s="65">
        <f t="shared" si="22"/>
        <v>0.67241414164136604</v>
      </c>
      <c r="AE34" s="22">
        <f t="shared" si="23"/>
        <v>1.2077520723313631</v>
      </c>
      <c r="AF34" s="22">
        <f t="shared" si="24"/>
        <v>0.7876643949987151</v>
      </c>
      <c r="AG34" s="22">
        <f t="shared" si="25"/>
        <v>1.3232761835978413</v>
      </c>
      <c r="AH34" s="22">
        <f t="shared" si="26"/>
        <v>0.672140283732237</v>
      </c>
      <c r="AI34" s="22">
        <f t="shared" si="27"/>
        <v>1.1132323449315171</v>
      </c>
      <c r="AJ34" s="22">
        <f t="shared" si="28"/>
        <v>0.88218412239856092</v>
      </c>
      <c r="AK34" s="288">
        <f t="shared" si="34"/>
        <v>2.7393943396285714E-3</v>
      </c>
      <c r="AL34" s="67">
        <f t="shared" si="29"/>
        <v>4.2000000000000011</v>
      </c>
      <c r="AM34" s="186">
        <f t="shared" si="35"/>
        <v>2</v>
      </c>
      <c r="AN34" s="187">
        <f t="shared" si="42"/>
        <v>7</v>
      </c>
      <c r="AO34" s="68">
        <f t="shared" si="36"/>
        <v>0</v>
      </c>
      <c r="AP34" s="334">
        <f t="shared" si="45"/>
        <v>0</v>
      </c>
      <c r="AQ34" s="431">
        <f t="shared" si="38"/>
        <v>0</v>
      </c>
      <c r="AR34" s="335">
        <f t="shared" si="39"/>
        <v>0</v>
      </c>
    </row>
    <row r="35" spans="1:49" s="71" customFormat="1" ht="15" customHeight="1">
      <c r="A35" s="556">
        <f t="shared" si="40"/>
        <v>2.7000000000000015</v>
      </c>
      <c r="B35" s="248">
        <f t="shared" si="0"/>
        <v>1.1608525598249937</v>
      </c>
      <c r="C35" s="248">
        <f t="shared" si="1"/>
        <v>3.1608525598249937</v>
      </c>
      <c r="D35" s="326">
        <f t="shared" si="2"/>
        <v>-7.5301765582076952</v>
      </c>
      <c r="E35" s="248">
        <f t="shared" si="3"/>
        <v>3.5154000000000019E-2</v>
      </c>
      <c r="F35" s="557">
        <f t="shared" si="4"/>
        <v>124165.72230302625</v>
      </c>
      <c r="G35" s="557">
        <f t="shared" si="5"/>
        <v>55211.554999994776</v>
      </c>
      <c r="H35" s="558">
        <f t="shared" si="6"/>
        <v>28.933166349799215</v>
      </c>
      <c r="I35" s="558">
        <f t="shared" si="7"/>
        <v>33.565408106275662</v>
      </c>
      <c r="J35" s="559">
        <f t="shared" si="8"/>
        <v>1.6681890987034862</v>
      </c>
      <c r="K35" s="783">
        <f t="shared" si="9"/>
        <v>0.23806933708185318</v>
      </c>
      <c r="L35" s="248">
        <f t="shared" si="10"/>
        <v>7.1023892211215411E-2</v>
      </c>
      <c r="M35" s="791">
        <f t="shared" si="11"/>
        <v>0.35075705764304765</v>
      </c>
      <c r="N35" s="560">
        <f t="shared" si="30"/>
        <v>0.90408359184491105</v>
      </c>
      <c r="O35" s="248">
        <f t="shared" si="12"/>
        <v>-0.1283350156186647</v>
      </c>
      <c r="P35" s="248">
        <f t="shared" si="13"/>
        <v>0</v>
      </c>
      <c r="Q35" s="248">
        <f t="shared" si="14"/>
        <v>0</v>
      </c>
      <c r="R35" s="248">
        <f t="shared" si="44"/>
        <v>0.34970272967579902</v>
      </c>
      <c r="S35" s="248">
        <f t="shared" si="32"/>
        <v>1.6095154961744573E-2</v>
      </c>
      <c r="T35" s="326">
        <f t="shared" si="43"/>
        <v>4.1699470272221495</v>
      </c>
      <c r="U35" s="774">
        <f t="shared" si="41"/>
        <v>4.6877495297358349</v>
      </c>
      <c r="V35" s="531">
        <f t="shared" si="15"/>
        <v>3.0090944673971558</v>
      </c>
      <c r="W35" s="531">
        <f t="shared" si="16"/>
        <v>3.0052972777851572E-2</v>
      </c>
      <c r="X35" s="561">
        <f t="shared" si="17"/>
        <v>-7.5226864588265761</v>
      </c>
      <c r="Y35" s="69">
        <f t="shared" si="18"/>
        <v>0.99478978211581448</v>
      </c>
      <c r="Z35" s="70">
        <f t="shared" si="19"/>
        <v>0.84052664099113816</v>
      </c>
      <c r="AA35" s="294">
        <f t="shared" si="33"/>
        <v>0.54408949609191504</v>
      </c>
      <c r="AB35" s="66">
        <f t="shared" si="20"/>
        <v>0.64472447385818032</v>
      </c>
      <c r="AC35" s="65">
        <f t="shared" si="21"/>
        <v>0.594700701322457</v>
      </c>
      <c r="AD35" s="65">
        <f t="shared" si="22"/>
        <v>0.67000601391680492</v>
      </c>
      <c r="AE35" s="22">
        <f t="shared" si="23"/>
        <v>1.20421920992967</v>
      </c>
      <c r="AF35" s="22">
        <f t="shared" si="24"/>
        <v>0.78536035430195883</v>
      </c>
      <c r="AG35" s="22">
        <f t="shared" si="25"/>
        <v>1.3194053952272906</v>
      </c>
      <c r="AH35" s="22">
        <f t="shared" si="26"/>
        <v>0.67017416900433824</v>
      </c>
      <c r="AI35" s="22">
        <f t="shared" si="27"/>
        <v>1.1099759674134348</v>
      </c>
      <c r="AJ35" s="22">
        <f t="shared" si="28"/>
        <v>0.87960359681819378</v>
      </c>
      <c r="AK35" s="288">
        <f t="shared" si="34"/>
        <v>2.7158463323798884E-3</v>
      </c>
      <c r="AL35" s="67">
        <f t="shared" si="29"/>
        <v>4.2000000000000011</v>
      </c>
      <c r="AM35" s="186">
        <f t="shared" si="35"/>
        <v>2</v>
      </c>
      <c r="AN35" s="187">
        <f t="shared" si="42"/>
        <v>7</v>
      </c>
      <c r="AO35" s="68">
        <f t="shared" si="36"/>
        <v>0</v>
      </c>
      <c r="AP35" s="334">
        <f t="shared" si="45"/>
        <v>0</v>
      </c>
      <c r="AQ35" s="431">
        <f t="shared" si="38"/>
        <v>0</v>
      </c>
      <c r="AR35" s="335">
        <f t="shared" si="39"/>
        <v>0</v>
      </c>
    </row>
    <row r="36" spans="1:49" s="71" customFormat="1" ht="15" customHeight="1">
      <c r="A36" s="556">
        <f t="shared" si="40"/>
        <v>2.8000000000000016</v>
      </c>
      <c r="B36" s="248">
        <f t="shared" si="0"/>
        <v>1.203847099077771</v>
      </c>
      <c r="C36" s="248">
        <f t="shared" si="1"/>
        <v>3.203847099077771</v>
      </c>
      <c r="D36" s="326">
        <f t="shared" si="2"/>
        <v>-7.809071986289462</v>
      </c>
      <c r="E36" s="248">
        <f t="shared" si="3"/>
        <v>3.6456000000000016E-2</v>
      </c>
      <c r="F36" s="557">
        <f t="shared" si="4"/>
        <v>119731.2322207753</v>
      </c>
      <c r="G36" s="557">
        <f t="shared" si="5"/>
        <v>53239.71374999496</v>
      </c>
      <c r="H36" s="558">
        <f t="shared" si="6"/>
        <v>29.050955387317995</v>
      </c>
      <c r="I36" s="558">
        <f t="shared" si="7"/>
        <v>33.666994449038995</v>
      </c>
      <c r="J36" s="559">
        <f t="shared" si="8"/>
        <v>1.6843242732684469</v>
      </c>
      <c r="K36" s="783">
        <f t="shared" si="9"/>
        <v>0.2382094227608953</v>
      </c>
      <c r="L36" s="248">
        <f t="shared" si="10"/>
        <v>7.106687371712983E-2</v>
      </c>
      <c r="M36" s="791">
        <f t="shared" si="11"/>
        <v>0.35094513766372648</v>
      </c>
      <c r="N36" s="560">
        <f t="shared" si="30"/>
        <v>0.89752252151255862</v>
      </c>
      <c r="O36" s="248">
        <f t="shared" si="12"/>
        <v>-0.1330881643452819</v>
      </c>
      <c r="P36" s="248">
        <f t="shared" si="13"/>
        <v>0</v>
      </c>
      <c r="Q36" s="248">
        <f t="shared" si="14"/>
        <v>0</v>
      </c>
      <c r="R36" s="248">
        <f t="shared" si="44"/>
        <v>0.34804684098117333</v>
      </c>
      <c r="S36" s="248">
        <f t="shared" si="32"/>
        <v>1.6176152151268552E-2</v>
      </c>
      <c r="T36" s="326">
        <f t="shared" si="43"/>
        <v>4.2209837607083482</v>
      </c>
      <c r="U36" s="774">
        <f t="shared" si="41"/>
        <v>4.7390714474158404</v>
      </c>
      <c r="V36" s="531">
        <f t="shared" si="15"/>
        <v>3.0171366616305773</v>
      </c>
      <c r="W36" s="531">
        <f t="shared" si="16"/>
        <v>-2.0983760708347177E-2</v>
      </c>
      <c r="X36" s="561">
        <f t="shared" si="17"/>
        <v>-7.5575045376471373</v>
      </c>
      <c r="Y36" s="69">
        <f t="shared" si="18"/>
        <v>0.99178811661411836</v>
      </c>
      <c r="Z36" s="70">
        <f t="shared" si="19"/>
        <v>0.83926384282487931</v>
      </c>
      <c r="AA36" s="294">
        <f t="shared" si="33"/>
        <v>0.54288598872570837</v>
      </c>
      <c r="AB36" s="66">
        <f t="shared" si="20"/>
        <v>0.64231287939564208</v>
      </c>
      <c r="AC36" s="65">
        <f t="shared" si="21"/>
        <v>0.59245056315330302</v>
      </c>
      <c r="AD36" s="65">
        <f t="shared" si="22"/>
        <v>0.66751477859054376</v>
      </c>
      <c r="AE36" s="22">
        <f t="shared" si="23"/>
        <v>1.2005856148486695</v>
      </c>
      <c r="AF36" s="22">
        <f t="shared" si="24"/>
        <v>0.78299061837956718</v>
      </c>
      <c r="AG36" s="22">
        <f t="shared" si="25"/>
        <v>1.3154242388776727</v>
      </c>
      <c r="AH36" s="22">
        <f t="shared" si="26"/>
        <v>0.66815199435056405</v>
      </c>
      <c r="AI36" s="22">
        <f t="shared" si="27"/>
        <v>1.1066267406431214</v>
      </c>
      <c r="AJ36" s="22">
        <f t="shared" si="28"/>
        <v>0.87694949258511512</v>
      </c>
      <c r="AK36" s="288">
        <f t="shared" si="34"/>
        <v>2.692040608171048E-3</v>
      </c>
      <c r="AL36" s="67">
        <f t="shared" si="29"/>
        <v>4.2000000000000011</v>
      </c>
      <c r="AM36" s="186">
        <f t="shared" si="35"/>
        <v>2</v>
      </c>
      <c r="AN36" s="187">
        <f t="shared" si="42"/>
        <v>7</v>
      </c>
      <c r="AO36" s="68">
        <f t="shared" si="36"/>
        <v>0</v>
      </c>
      <c r="AP36" s="334">
        <f t="shared" si="45"/>
        <v>0</v>
      </c>
      <c r="AQ36" s="431">
        <f t="shared" si="38"/>
        <v>0</v>
      </c>
      <c r="AR36" s="335">
        <f t="shared" si="39"/>
        <v>0</v>
      </c>
    </row>
    <row r="37" spans="1:49" s="71" customFormat="1" ht="15" customHeight="1">
      <c r="A37" s="556">
        <f t="shared" si="40"/>
        <v>2.9000000000000017</v>
      </c>
      <c r="B37" s="248">
        <f t="shared" si="0"/>
        <v>1.2468416383305487</v>
      </c>
      <c r="C37" s="248">
        <f t="shared" si="1"/>
        <v>3.2468416383305487</v>
      </c>
      <c r="D37" s="326">
        <f t="shared" si="2"/>
        <v>-8.0879674143712279</v>
      </c>
      <c r="E37" s="248">
        <f t="shared" si="3"/>
        <v>3.7758000000000021E-2</v>
      </c>
      <c r="F37" s="557">
        <f t="shared" si="4"/>
        <v>115602.56904074857</v>
      </c>
      <c r="G37" s="557">
        <f t="shared" si="5"/>
        <v>51403.861551719274</v>
      </c>
      <c r="H37" s="558">
        <f t="shared" si="6"/>
        <v>29.172525817703438</v>
      </c>
      <c r="I37" s="558">
        <f t="shared" si="7"/>
        <v>33.771952399887333</v>
      </c>
      <c r="J37" s="559">
        <f t="shared" si="8"/>
        <v>1.7010564853528298</v>
      </c>
      <c r="K37" s="783">
        <f t="shared" si="9"/>
        <v>0.23835127391404365</v>
      </c>
      <c r="L37" s="248">
        <f t="shared" si="10"/>
        <v>7.1110367792270424E-2</v>
      </c>
      <c r="M37" s="791">
        <f t="shared" si="11"/>
        <v>0.35113607992805163</v>
      </c>
      <c r="N37" s="560">
        <f t="shared" si="30"/>
        <v>0.89113750841485784</v>
      </c>
      <c r="O37" s="248">
        <f t="shared" si="12"/>
        <v>-0.13784131307189912</v>
      </c>
      <c r="P37" s="248">
        <f t="shared" si="13"/>
        <v>0</v>
      </c>
      <c r="Q37" s="248">
        <f t="shared" si="14"/>
        <v>0</v>
      </c>
      <c r="R37" s="248">
        <f t="shared" si="44"/>
        <v>0.34647335315327799</v>
      </c>
      <c r="S37" s="248">
        <f t="shared" si="32"/>
        <v>1.626620916199184E-2</v>
      </c>
      <c r="T37" s="326">
        <f t="shared" si="43"/>
        <v>4.2728855622057766</v>
      </c>
      <c r="U37" s="774">
        <f t="shared" si="41"/>
        <v>4.7912625482556006</v>
      </c>
      <c r="V37" s="531">
        <f t="shared" si="15"/>
        <v>3.0260439238752279</v>
      </c>
      <c r="W37" s="531">
        <f t="shared" si="16"/>
        <v>-7.2885562205775578E-2</v>
      </c>
      <c r="X37" s="561">
        <f t="shared" si="17"/>
        <v>-7.5925856044796802</v>
      </c>
      <c r="Y37" s="69">
        <f t="shared" si="18"/>
        <v>0.98870579412464632</v>
      </c>
      <c r="Z37" s="70">
        <f t="shared" si="19"/>
        <v>0.8379592641220065</v>
      </c>
      <c r="AA37" s="294">
        <f t="shared" si="33"/>
        <v>0.54158866187469346</v>
      </c>
      <c r="AB37" s="66">
        <f t="shared" si="20"/>
        <v>0.63982208109095673</v>
      </c>
      <c r="AC37" s="65">
        <f t="shared" si="21"/>
        <v>0.59012717769375467</v>
      </c>
      <c r="AD37" s="65">
        <f t="shared" si="22"/>
        <v>0.66494131001671075</v>
      </c>
      <c r="AE37" s="22">
        <f t="shared" si="23"/>
        <v>1.1968543823614139</v>
      </c>
      <c r="AF37" s="22">
        <f t="shared" si="24"/>
        <v>0.78055720588787869</v>
      </c>
      <c r="AG37" s="22">
        <f t="shared" si="25"/>
        <v>1.3113361058916362</v>
      </c>
      <c r="AH37" s="22">
        <f t="shared" si="26"/>
        <v>0.66607548235765657</v>
      </c>
      <c r="AI37" s="22">
        <f t="shared" si="27"/>
        <v>1.1031875176548684</v>
      </c>
      <c r="AJ37" s="22">
        <f t="shared" si="28"/>
        <v>0.87422407059442409</v>
      </c>
      <c r="AK37" s="288">
        <f t="shared" si="34"/>
        <v>2.6680180766314203E-3</v>
      </c>
      <c r="AL37" s="67">
        <f t="shared" si="29"/>
        <v>4.2000000000000011</v>
      </c>
      <c r="AM37" s="186">
        <f t="shared" si="35"/>
        <v>2</v>
      </c>
      <c r="AN37" s="187">
        <f t="shared" si="42"/>
        <v>7</v>
      </c>
      <c r="AO37" s="68">
        <f t="shared" si="36"/>
        <v>0</v>
      </c>
      <c r="AP37" s="334">
        <f t="shared" si="45"/>
        <v>0</v>
      </c>
      <c r="AQ37" s="431">
        <f t="shared" si="38"/>
        <v>0</v>
      </c>
      <c r="AR37" s="335">
        <f t="shared" si="39"/>
        <v>0</v>
      </c>
    </row>
    <row r="38" spans="1:49" s="82" customFormat="1" ht="15" customHeight="1">
      <c r="A38" s="568">
        <f t="shared" si="40"/>
        <v>3.0000000000000018</v>
      </c>
      <c r="B38" s="249">
        <f t="shared" si="0"/>
        <v>1.2898361775833262</v>
      </c>
      <c r="C38" s="249">
        <f t="shared" si="1"/>
        <v>3.289836177583326</v>
      </c>
      <c r="D38" s="276">
        <f t="shared" si="2"/>
        <v>-8.3668628424529956</v>
      </c>
      <c r="E38" s="249">
        <f t="shared" si="3"/>
        <v>3.9060000000000018E-2</v>
      </c>
      <c r="F38" s="569">
        <f t="shared" si="4"/>
        <v>111749.15007272361</v>
      </c>
      <c r="G38" s="569">
        <f t="shared" si="5"/>
        <v>49690.399499995292</v>
      </c>
      <c r="H38" s="570">
        <f t="shared" si="6"/>
        <v>29.297830568679551</v>
      </c>
      <c r="I38" s="570">
        <f t="shared" si="7"/>
        <v>33.880250624024846</v>
      </c>
      <c r="J38" s="249">
        <f t="shared" si="8"/>
        <v>1.7183865730288868</v>
      </c>
      <c r="K38" s="785">
        <f t="shared" si="9"/>
        <v>0.23849467912892974</v>
      </c>
      <c r="L38" s="249">
        <f t="shared" si="10"/>
        <v>7.1154170464467814E-2</v>
      </c>
      <c r="M38" s="793">
        <f t="shared" si="11"/>
        <v>0.35132964733033401</v>
      </c>
      <c r="N38" s="571">
        <f t="shared" si="30"/>
        <v>0.88492539617235266</v>
      </c>
      <c r="O38" s="249">
        <f t="shared" si="12"/>
        <v>-0.14259446179851634</v>
      </c>
      <c r="P38" s="249">
        <f t="shared" si="13"/>
        <v>0</v>
      </c>
      <c r="Q38" s="249">
        <f t="shared" si="14"/>
        <v>0</v>
      </c>
      <c r="R38" s="249">
        <f>10*LOG10(1/SQRT(1-AK38*(Q/AA38)^2))</f>
        <v>0.34498486786204652</v>
      </c>
      <c r="S38" s="249">
        <f t="shared" si="32"/>
        <v>1.6365435953947016E-2</v>
      </c>
      <c r="T38" s="276">
        <f t="shared" si="43"/>
        <v>4.3256526210650268</v>
      </c>
      <c r="U38" s="776">
        <f t="shared" si="41"/>
        <v>4.8443227770598227</v>
      </c>
      <c r="V38" s="573">
        <f t="shared" si="15"/>
        <v>3.0358164434817008</v>
      </c>
      <c r="W38" s="573">
        <f t="shared" si="16"/>
        <v>-0.12565262106502573</v>
      </c>
      <c r="X38" s="572">
        <f t="shared" si="17"/>
        <v>-7.6279291595946992</v>
      </c>
      <c r="Y38" s="77">
        <f t="shared" si="18"/>
        <v>0.98554539596565971</v>
      </c>
      <c r="Z38" s="80">
        <f t="shared" si="19"/>
        <v>0.83661335855912111</v>
      </c>
      <c r="AA38" s="295">
        <f t="shared" si="33"/>
        <v>0.54019851506379746</v>
      </c>
      <c r="AB38" s="76">
        <f t="shared" si="20"/>
        <v>0.6372529796146984</v>
      </c>
      <c r="AC38" s="77">
        <f t="shared" si="21"/>
        <v>0.58773142192588845</v>
      </c>
      <c r="AD38" s="77">
        <f t="shared" si="22"/>
        <v>0.66228653528902681</v>
      </c>
      <c r="AE38" s="81">
        <f t="shared" si="23"/>
        <v>1.1930286372215881</v>
      </c>
      <c r="AF38" s="81">
        <f t="shared" si="24"/>
        <v>0.77806215470973139</v>
      </c>
      <c r="AG38" s="81">
        <f t="shared" si="25"/>
        <v>1.3071444199123488</v>
      </c>
      <c r="AH38" s="81">
        <f t="shared" si="26"/>
        <v>0.66394637201897089</v>
      </c>
      <c r="AI38" s="81">
        <f t="shared" si="27"/>
        <v>1.0996611786564201</v>
      </c>
      <c r="AJ38" s="81">
        <f t="shared" si="28"/>
        <v>0.8714296132748991</v>
      </c>
      <c r="AK38" s="361">
        <f t="shared" si="34"/>
        <v>2.6438177821053953E-3</v>
      </c>
      <c r="AL38" s="78">
        <f t="shared" si="29"/>
        <v>4.2000000000000011</v>
      </c>
      <c r="AM38" s="189">
        <f t="shared" si="35"/>
        <v>2</v>
      </c>
      <c r="AN38" s="190">
        <f>ROUNDUP(L6,0)</f>
        <v>7</v>
      </c>
      <c r="AO38" s="79">
        <f t="shared" si="36"/>
        <v>0</v>
      </c>
      <c r="AP38" s="336">
        <f t="shared" si="45"/>
        <v>0</v>
      </c>
      <c r="AQ38" s="430">
        <f t="shared" si="38"/>
        <v>0</v>
      </c>
      <c r="AR38" s="413">
        <f t="shared" si="39"/>
        <v>0</v>
      </c>
    </row>
    <row r="39" spans="1:49" s="71" customFormat="1" ht="15" customHeight="1">
      <c r="A39" s="448" t="s">
        <v>434</v>
      </c>
      <c r="B39" s="449"/>
      <c r="C39" s="449"/>
      <c r="D39" s="449"/>
      <c r="E39" s="449"/>
      <c r="F39" s="449"/>
      <c r="G39" s="449"/>
      <c r="H39" s="449"/>
      <c r="I39" s="66"/>
      <c r="J39" s="104"/>
      <c r="K39" s="66"/>
      <c r="L39" s="66"/>
      <c r="M39" s="66"/>
      <c r="N39" s="83"/>
      <c r="O39" s="66"/>
      <c r="P39" s="66"/>
      <c r="Q39" s="66"/>
      <c r="R39" s="84"/>
      <c r="S39" s="85"/>
      <c r="T39" s="86"/>
      <c r="U39" s="86"/>
      <c r="V39" s="85"/>
      <c r="W39" s="85"/>
      <c r="X39" s="85"/>
      <c r="Y39" s="303"/>
      <c r="Z39" s="287" t="s">
        <v>286</v>
      </c>
      <c r="AA39" s="287"/>
      <c r="AB39" s="287"/>
      <c r="AC39" s="287"/>
      <c r="AD39" s="287"/>
      <c r="AE39" s="359"/>
      <c r="AF39" s="287"/>
      <c r="AG39" s="287"/>
      <c r="AH39" s="287"/>
      <c r="AI39" s="287"/>
      <c r="AJ39" s="287"/>
      <c r="AK39" s="287"/>
      <c r="AL39" s="289" t="s">
        <v>169</v>
      </c>
      <c r="AM39" s="302"/>
      <c r="AO39" s="87">
        <f>SUM(AO18:AO38)</f>
        <v>0.3631142613591587</v>
      </c>
      <c r="AP39" s="360">
        <f>SUM(AP18:AP38)</f>
        <v>32.951197821703531</v>
      </c>
      <c r="AQ39" s="412">
        <f>SUM(AQ18:AQ38)</f>
        <v>1.1306659180034615</v>
      </c>
      <c r="AR39" s="412">
        <f>SUM(AR18:AR38)</f>
        <v>0.89599940671972422</v>
      </c>
      <c r="AS39" s="7"/>
      <c r="AT39" s="287" t="s">
        <v>285</v>
      </c>
      <c r="AU39" s="7"/>
      <c r="AV39" s="7"/>
      <c r="AW39" s="302" t="s">
        <v>285</v>
      </c>
    </row>
    <row r="40" spans="1:49" s="71" customFormat="1" ht="15" customHeight="1">
      <c r="K40" s="103"/>
      <c r="N40" s="83"/>
      <c r="Y40" s="301"/>
      <c r="Z40" s="287" t="s">
        <v>154</v>
      </c>
      <c r="AA40" s="287" t="s">
        <v>167</v>
      </c>
      <c r="AB40" s="287" t="s">
        <v>155</v>
      </c>
      <c r="AC40" s="287" t="s">
        <v>156</v>
      </c>
      <c r="AD40" s="287" t="s">
        <v>157</v>
      </c>
      <c r="AE40" s="287" t="s">
        <v>158</v>
      </c>
      <c r="AF40" s="287" t="s">
        <v>159</v>
      </c>
      <c r="AG40" s="287" t="s">
        <v>161</v>
      </c>
      <c r="AH40" s="287" t="s">
        <v>162</v>
      </c>
      <c r="AI40" s="287" t="s">
        <v>163</v>
      </c>
      <c r="AJ40" s="287" t="s">
        <v>164</v>
      </c>
      <c r="AK40" s="287" t="s">
        <v>165</v>
      </c>
      <c r="AL40" s="287" t="s">
        <v>170</v>
      </c>
      <c r="AM40" s="302" t="s">
        <v>171</v>
      </c>
      <c r="AN40" s="300" t="s">
        <v>154</v>
      </c>
      <c r="AO40" s="300" t="s">
        <v>168</v>
      </c>
      <c r="AP40" s="117"/>
      <c r="AQ40" s="7"/>
      <c r="AR40" s="287" t="s">
        <v>157</v>
      </c>
      <c r="AS40" s="287" t="s">
        <v>158</v>
      </c>
      <c r="AT40" s="287" t="s">
        <v>159</v>
      </c>
      <c r="AU40" s="287" t="s">
        <v>161</v>
      </c>
      <c r="AV40" s="287" t="s">
        <v>162</v>
      </c>
      <c r="AW40" s="302" t="s">
        <v>163</v>
      </c>
    </row>
    <row r="41" spans="1:49" s="71" customFormat="1" ht="15" customHeight="1">
      <c r="A41" s="451"/>
      <c r="B41" s="136"/>
      <c r="C41" s="136"/>
      <c r="D41" s="797"/>
      <c r="E41" s="668"/>
      <c r="F41" s="761"/>
      <c r="G41" s="758"/>
      <c r="H41" s="450"/>
      <c r="L41" s="103"/>
      <c r="M41" s="66"/>
      <c r="N41" s="83"/>
      <c r="O41" s="66"/>
      <c r="P41" s="66"/>
      <c r="Q41" s="66"/>
      <c r="R41" s="84"/>
      <c r="S41" s="66"/>
      <c r="T41" s="86"/>
      <c r="U41" s="86"/>
      <c r="V41" s="66"/>
      <c r="Y41" s="303" t="s">
        <v>160</v>
      </c>
      <c r="Z41" s="287">
        <v>-0.25</v>
      </c>
      <c r="AA41" s="287">
        <f t="shared" ref="AA41:AA69" si="46">0.5+(-0.5+Z41)*$Y$44</f>
        <v>-0.28947368421052633</v>
      </c>
      <c r="AB41" s="287">
        <f t="shared" ref="AB41:AB69" si="47">MAX(MIN(B_1*Tb_eff*($AA41)/(SQRT(2)*$AG$9),10),-10)</f>
        <v>-0.60056427924976374</v>
      </c>
      <c r="AC41" s="287">
        <f t="shared" ref="AC41:AC69" si="48">MAX(MIN(B_1*Tb_eff*(1-$AA41)/(SQRT(2)*$AG$9),10),-10)</f>
        <v>2.6752408802944019</v>
      </c>
      <c r="AD41" s="304" t="e">
        <f t="shared" ref="AD41:AE69" si="49">(ERF(AB41)+1)/2</f>
        <v>#NUM!</v>
      </c>
      <c r="AE41" s="304">
        <f t="shared" si="49"/>
        <v>0.99992263791466551</v>
      </c>
      <c r="AF41" s="305" t="e">
        <f>AD41+AE41-1</f>
        <v>#NUM!</v>
      </c>
      <c r="AG41" s="305" t="e">
        <f>1-AD41</f>
        <v>#NUM!</v>
      </c>
      <c r="AH41" s="305">
        <f>1-AE41</f>
        <v>7.7362085334486963E-5</v>
      </c>
      <c r="AI41" s="305" t="e">
        <f>1-AF41</f>
        <v>#NUM!</v>
      </c>
      <c r="AJ41" s="287">
        <f>Z41-1</f>
        <v>-1.25</v>
      </c>
      <c r="AK41" s="287">
        <f>Z41+1</f>
        <v>0.75</v>
      </c>
      <c r="AL41" s="287">
        <f t="shared" ref="AL41:AL69" si="50">$Z41-$G$9/(2*$Y$44)</f>
        <v>-0.30499999999999999</v>
      </c>
      <c r="AM41" s="302">
        <f t="shared" ref="AM41:AM69" si="51">$Z41+$G$9/(2*$Y$44)</f>
        <v>-0.19500000000000001</v>
      </c>
      <c r="AN41" s="287">
        <f>$C$12</f>
        <v>0.3</v>
      </c>
      <c r="AO41" s="289">
        <v>0.5</v>
      </c>
      <c r="AP41" s="303">
        <f t="shared" ref="AP41:AP52" si="52">MAX(MIN(B_1*Tb_eff*($AA41)/(SQRT(2)*$AP$39),10),-10)</f>
        <v>-0.58666627820934325</v>
      </c>
      <c r="AQ41" s="287">
        <f t="shared" ref="AQ41:AQ52" si="53">MAX(MIN(B_1*Tb_eff*(1-$AA41)/(SQRT(2)*$AP$39),10),-10)</f>
        <v>2.6133316029325289</v>
      </c>
      <c r="AR41" s="304" t="e">
        <f t="shared" ref="AR41:AS69" si="54">(ERF(AP41)+1)/2</f>
        <v>#NUM!</v>
      </c>
      <c r="AS41" s="304">
        <f t="shared" si="54"/>
        <v>0.99989040613741964</v>
      </c>
      <c r="AT41" s="305" t="e">
        <f t="shared" ref="AT41:AT69" si="55">AR41+AS41-1</f>
        <v>#NUM!</v>
      </c>
      <c r="AU41" s="305" t="e">
        <f t="shared" ref="AU41:AW69" si="56">1-AR41</f>
        <v>#NUM!</v>
      </c>
      <c r="AV41" s="305">
        <f t="shared" si="56"/>
        <v>1.0959386258035941E-4</v>
      </c>
      <c r="AW41" s="320" t="e">
        <f t="shared" si="56"/>
        <v>#NUM!</v>
      </c>
    </row>
    <row r="42" spans="1:49" s="71" customFormat="1" ht="15" customHeight="1">
      <c r="A42" s="451"/>
      <c r="B42" s="136"/>
      <c r="C42" s="136"/>
      <c r="D42" s="631"/>
      <c r="E42" s="757" t="s">
        <v>451</v>
      </c>
      <c r="F42" s="765">
        <f>Base!F42</f>
        <v>6.1222106901920093E-2</v>
      </c>
      <c r="G42" s="758">
        <f t="shared" ref="G42:G46" si="57">F42*10^6/$C$4</f>
        <v>2.374675661650234</v>
      </c>
      <c r="H42" s="136" t="s">
        <v>10</v>
      </c>
      <c r="J42" s="90"/>
      <c r="K42" s="90"/>
      <c r="L42" s="90"/>
      <c r="M42" s="90"/>
      <c r="N42" s="83"/>
      <c r="O42" s="66"/>
      <c r="P42" s="66"/>
      <c r="Q42" s="66"/>
      <c r="R42" s="84"/>
      <c r="S42" s="66"/>
      <c r="T42" s="86"/>
      <c r="U42" s="86"/>
      <c r="V42" s="66"/>
      <c r="Y42" s="303">
        <v>0.05</v>
      </c>
      <c r="Z42" s="287">
        <f t="shared" ref="Z42:Z69" si="58">Z41+$Y$42</f>
        <v>-0.2</v>
      </c>
      <c r="AA42" s="287">
        <f t="shared" si="46"/>
        <v>-0.23684210526315785</v>
      </c>
      <c r="AB42" s="287">
        <f t="shared" si="47"/>
        <v>-0.49137077393162476</v>
      </c>
      <c r="AC42" s="287">
        <f t="shared" si="48"/>
        <v>2.5660473749762636</v>
      </c>
      <c r="AD42" s="304" t="e">
        <f t="shared" si="49"/>
        <v>#NUM!</v>
      </c>
      <c r="AE42" s="304">
        <f t="shared" si="49"/>
        <v>0.99985770576307664</v>
      </c>
      <c r="AF42" s="305" t="e">
        <f t="shared" ref="AF42:AF69" si="59">AD42+AE42-1</f>
        <v>#NUM!</v>
      </c>
      <c r="AG42" s="305" t="e">
        <f t="shared" ref="AG42:AI64" si="60">1-AD42</f>
        <v>#NUM!</v>
      </c>
      <c r="AH42" s="305">
        <f t="shared" si="60"/>
        <v>1.4229423692335708E-4</v>
      </c>
      <c r="AI42" s="305" t="e">
        <f t="shared" si="60"/>
        <v>#NUM!</v>
      </c>
      <c r="AJ42" s="287">
        <f t="shared" ref="AJ42:AJ69" si="61">Z42-1</f>
        <v>-1.2</v>
      </c>
      <c r="AK42" s="287">
        <f t="shared" ref="AK42:AK69" si="62">Z42+1</f>
        <v>0.8</v>
      </c>
      <c r="AL42" s="287">
        <f t="shared" si="50"/>
        <v>-0.255</v>
      </c>
      <c r="AM42" s="302">
        <f t="shared" si="51"/>
        <v>-0.14500000000000002</v>
      </c>
      <c r="AN42" s="287">
        <f>$C$13</f>
        <v>0.4</v>
      </c>
      <c r="AO42" s="289">
        <f>$C$14</f>
        <v>0.25</v>
      </c>
      <c r="AP42" s="303">
        <f t="shared" si="52"/>
        <v>-0.47999968217128075</v>
      </c>
      <c r="AQ42" s="287">
        <f t="shared" si="53"/>
        <v>2.5066650068944667</v>
      </c>
      <c r="AR42" s="304" t="e">
        <f t="shared" si="54"/>
        <v>#NUM!</v>
      </c>
      <c r="AS42" s="304">
        <f t="shared" si="54"/>
        <v>0.9998036634013</v>
      </c>
      <c r="AT42" s="305" t="e">
        <f t="shared" si="55"/>
        <v>#NUM!</v>
      </c>
      <c r="AU42" s="305" t="e">
        <f t="shared" si="56"/>
        <v>#NUM!</v>
      </c>
      <c r="AV42" s="305">
        <f t="shared" si="56"/>
        <v>1.9633659869999764E-4</v>
      </c>
      <c r="AW42" s="320" t="e">
        <f t="shared" si="56"/>
        <v>#NUM!</v>
      </c>
    </row>
    <row r="43" spans="1:49" s="71" customFormat="1" ht="15" customHeight="1">
      <c r="A43" s="451"/>
      <c r="B43" s="136"/>
      <c r="C43" s="136"/>
      <c r="D43" s="631"/>
      <c r="E43" s="757" t="s">
        <v>443</v>
      </c>
      <c r="F43" s="765">
        <f>Base!F43</f>
        <v>0.11</v>
      </c>
      <c r="G43" s="758">
        <f t="shared" si="57"/>
        <v>4.2666666666666666</v>
      </c>
      <c r="H43" s="136" t="s">
        <v>10</v>
      </c>
      <c r="I43" s="90"/>
      <c r="J43" s="66"/>
      <c r="K43" s="66"/>
      <c r="L43" s="66"/>
      <c r="M43" s="66"/>
      <c r="N43" s="83"/>
      <c r="O43" s="66"/>
      <c r="P43" s="66"/>
      <c r="Q43" s="66"/>
      <c r="R43" s="84"/>
      <c r="S43" s="66"/>
      <c r="T43" s="86"/>
      <c r="U43" s="86"/>
      <c r="V43" s="66"/>
      <c r="Y43" s="303" t="s">
        <v>166</v>
      </c>
      <c r="Z43" s="287">
        <f t="shared" si="58"/>
        <v>-0.15000000000000002</v>
      </c>
      <c r="AA43" s="287">
        <f t="shared" si="46"/>
        <v>-0.18421052631578949</v>
      </c>
      <c r="AB43" s="287">
        <f t="shared" si="47"/>
        <v>-0.38217726861348611</v>
      </c>
      <c r="AC43" s="287">
        <f t="shared" si="48"/>
        <v>2.4568538696581239</v>
      </c>
      <c r="AD43" s="304" t="e">
        <f t="shared" si="49"/>
        <v>#NUM!</v>
      </c>
      <c r="AE43" s="304">
        <f t="shared" si="49"/>
        <v>0.99974411213620118</v>
      </c>
      <c r="AF43" s="305" t="e">
        <f t="shared" si="59"/>
        <v>#NUM!</v>
      </c>
      <c r="AG43" s="305" t="e">
        <f t="shared" si="60"/>
        <v>#NUM!</v>
      </c>
      <c r="AH43" s="305">
        <f t="shared" si="60"/>
        <v>2.5588786379882045E-4</v>
      </c>
      <c r="AI43" s="305" t="e">
        <f t="shared" si="60"/>
        <v>#NUM!</v>
      </c>
      <c r="AJ43" s="287">
        <f t="shared" si="61"/>
        <v>-1.1499999999999999</v>
      </c>
      <c r="AK43" s="287">
        <f t="shared" si="62"/>
        <v>0.85</v>
      </c>
      <c r="AL43" s="287">
        <f t="shared" si="50"/>
        <v>-0.20500000000000002</v>
      </c>
      <c r="AM43" s="302">
        <f t="shared" si="51"/>
        <v>-9.5000000000000029E-2</v>
      </c>
      <c r="AN43" s="287">
        <f>1-AN42</f>
        <v>0.6</v>
      </c>
      <c r="AO43" s="289">
        <f>$C$14</f>
        <v>0.25</v>
      </c>
      <c r="AP43" s="303">
        <f t="shared" si="52"/>
        <v>-0.37333308613321853</v>
      </c>
      <c r="AQ43" s="287">
        <f t="shared" si="53"/>
        <v>2.3999984108564041</v>
      </c>
      <c r="AR43" s="304" t="e">
        <f t="shared" si="54"/>
        <v>#NUM!</v>
      </c>
      <c r="AS43" s="304">
        <f t="shared" si="54"/>
        <v>0.99965574022028358</v>
      </c>
      <c r="AT43" s="305" t="e">
        <f t="shared" si="55"/>
        <v>#NUM!</v>
      </c>
      <c r="AU43" s="305" t="e">
        <f t="shared" si="56"/>
        <v>#NUM!</v>
      </c>
      <c r="AV43" s="305">
        <f t="shared" si="56"/>
        <v>3.4425977971641597E-4</v>
      </c>
      <c r="AW43" s="320" t="e">
        <f t="shared" si="56"/>
        <v>#NUM!</v>
      </c>
    </row>
    <row r="44" spans="1:49" s="71" customFormat="1" ht="15" customHeight="1">
      <c r="A44" s="797"/>
      <c r="B44" s="803"/>
      <c r="C44" s="136"/>
      <c r="D44" s="631"/>
      <c r="E44" s="757" t="s">
        <v>436</v>
      </c>
      <c r="F44" s="765">
        <f>Base!F44</f>
        <v>0.16</v>
      </c>
      <c r="G44" s="758">
        <f t="shared" si="57"/>
        <v>6.2060606060606061</v>
      </c>
      <c r="H44" s="136" t="s">
        <v>10</v>
      </c>
      <c r="I44" s="66"/>
      <c r="J44" s="66"/>
      <c r="K44" s="66"/>
      <c r="L44" s="66"/>
      <c r="M44" s="66"/>
      <c r="N44" s="83"/>
      <c r="O44" s="66"/>
      <c r="P44" s="66"/>
      <c r="Q44" s="66"/>
      <c r="R44" s="84"/>
      <c r="S44" s="66"/>
      <c r="T44" s="86"/>
      <c r="U44" s="86"/>
      <c r="V44" s="66"/>
      <c r="Y44" s="303">
        <f>$L$11/$C$4</f>
        <v>1.0526315789473684</v>
      </c>
      <c r="Z44" s="287">
        <f t="shared" si="58"/>
        <v>-0.10000000000000002</v>
      </c>
      <c r="AA44" s="287">
        <f t="shared" si="46"/>
        <v>-0.13157894736842102</v>
      </c>
      <c r="AB44" s="287">
        <f t="shared" si="47"/>
        <v>-0.27298376329534707</v>
      </c>
      <c r="AC44" s="287">
        <f t="shared" si="48"/>
        <v>2.3476603643399856</v>
      </c>
      <c r="AD44" s="304" t="e">
        <f t="shared" si="49"/>
        <v>#NUM!</v>
      </c>
      <c r="AE44" s="304">
        <f t="shared" si="49"/>
        <v>0.99955006286703796</v>
      </c>
      <c r="AF44" s="305" t="e">
        <f t="shared" si="59"/>
        <v>#NUM!</v>
      </c>
      <c r="AG44" s="305" t="e">
        <f t="shared" si="60"/>
        <v>#NUM!</v>
      </c>
      <c r="AH44" s="305">
        <f t="shared" si="60"/>
        <v>4.4993713296204163E-4</v>
      </c>
      <c r="AI44" s="305" t="e">
        <f t="shared" si="60"/>
        <v>#NUM!</v>
      </c>
      <c r="AJ44" s="287">
        <f t="shared" si="61"/>
        <v>-1.1000000000000001</v>
      </c>
      <c r="AK44" s="287">
        <f t="shared" si="62"/>
        <v>0.9</v>
      </c>
      <c r="AL44" s="287">
        <f t="shared" si="50"/>
        <v>-0.15500000000000003</v>
      </c>
      <c r="AM44" s="302">
        <f t="shared" si="51"/>
        <v>-4.5000000000000019E-2</v>
      </c>
      <c r="AN44" s="287">
        <f>1-AN41</f>
        <v>0.7</v>
      </c>
      <c r="AO44" s="289">
        <v>0.5</v>
      </c>
      <c r="AP44" s="303">
        <f t="shared" si="52"/>
        <v>-0.26666649009515597</v>
      </c>
      <c r="AQ44" s="287">
        <f t="shared" si="53"/>
        <v>2.2933318148183415</v>
      </c>
      <c r="AR44" s="304" t="e">
        <f t="shared" si="54"/>
        <v>#NUM!</v>
      </c>
      <c r="AS44" s="304">
        <f t="shared" si="54"/>
        <v>0.99940915035612643</v>
      </c>
      <c r="AT44" s="305" t="e">
        <f t="shared" si="55"/>
        <v>#NUM!</v>
      </c>
      <c r="AU44" s="305" t="e">
        <f t="shared" si="56"/>
        <v>#NUM!</v>
      </c>
      <c r="AV44" s="305">
        <f t="shared" si="56"/>
        <v>5.9084964387356997E-4</v>
      </c>
      <c r="AW44" s="320" t="e">
        <f t="shared" si="56"/>
        <v>#NUM!</v>
      </c>
    </row>
    <row r="45" spans="1:49" s="71" customFormat="1" ht="15" customHeight="1">
      <c r="A45" s="804"/>
      <c r="B45" s="804"/>
      <c r="C45" s="136"/>
      <c r="D45" s="631"/>
      <c r="E45" s="757" t="s">
        <v>437</v>
      </c>
      <c r="F45" s="765">
        <f>Base!F45</f>
        <v>4.0000000000000001E-3</v>
      </c>
      <c r="G45" s="758">
        <f t="shared" si="57"/>
        <v>0.15515151515151515</v>
      </c>
      <c r="H45" s="136" t="s">
        <v>10</v>
      </c>
      <c r="I45" s="66"/>
      <c r="J45" s="66"/>
      <c r="K45" s="66"/>
      <c r="L45" s="66"/>
      <c r="M45" s="66"/>
      <c r="N45" s="83"/>
      <c r="O45" s="66"/>
      <c r="P45" s="66"/>
      <c r="Q45" s="66"/>
      <c r="R45" s="84"/>
      <c r="S45" s="66"/>
      <c r="T45" s="86"/>
      <c r="U45" s="86"/>
      <c r="V45" s="66"/>
      <c r="Y45" s="303"/>
      <c r="Z45" s="287">
        <f t="shared" si="58"/>
        <v>-5.0000000000000017E-2</v>
      </c>
      <c r="AA45" s="287">
        <f t="shared" si="46"/>
        <v>-7.8947368421052655E-2</v>
      </c>
      <c r="AB45" s="287">
        <f t="shared" si="47"/>
        <v>-0.16379025797720834</v>
      </c>
      <c r="AC45" s="287">
        <f t="shared" si="48"/>
        <v>2.2384668590218468</v>
      </c>
      <c r="AD45" s="304" t="e">
        <f t="shared" si="49"/>
        <v>#NUM!</v>
      </c>
      <c r="AE45" s="304">
        <f t="shared" si="49"/>
        <v>0.99922636937172093</v>
      </c>
      <c r="AF45" s="305" t="e">
        <f t="shared" si="59"/>
        <v>#NUM!</v>
      </c>
      <c r="AG45" s="305" t="e">
        <f t="shared" si="60"/>
        <v>#NUM!</v>
      </c>
      <c r="AH45" s="305">
        <f t="shared" si="60"/>
        <v>7.7363062827906504E-4</v>
      </c>
      <c r="AI45" s="305" t="e">
        <f t="shared" si="60"/>
        <v>#NUM!</v>
      </c>
      <c r="AJ45" s="287">
        <f t="shared" si="61"/>
        <v>-1.05</v>
      </c>
      <c r="AK45" s="287">
        <f t="shared" si="62"/>
        <v>0.95</v>
      </c>
      <c r="AL45" s="287">
        <f t="shared" si="50"/>
        <v>-0.10500000000000001</v>
      </c>
      <c r="AM45" s="302">
        <f t="shared" si="51"/>
        <v>4.9999999999999836E-3</v>
      </c>
      <c r="AN45" s="287">
        <f>AN43</f>
        <v>0.6</v>
      </c>
      <c r="AO45" s="289">
        <f>1-$C$14</f>
        <v>0.75</v>
      </c>
      <c r="AP45" s="303">
        <f t="shared" si="52"/>
        <v>-0.15999989405709367</v>
      </c>
      <c r="AQ45" s="287">
        <f t="shared" si="53"/>
        <v>2.1866652187802793</v>
      </c>
      <c r="AR45" s="304" t="e">
        <f t="shared" si="54"/>
        <v>#NUM!</v>
      </c>
      <c r="AS45" s="304">
        <f t="shared" si="54"/>
        <v>0.99900731323470993</v>
      </c>
      <c r="AT45" s="305" t="e">
        <f t="shared" si="55"/>
        <v>#NUM!</v>
      </c>
      <c r="AU45" s="305" t="e">
        <f t="shared" si="56"/>
        <v>#NUM!</v>
      </c>
      <c r="AV45" s="305">
        <f t="shared" si="56"/>
        <v>9.9268676529007394E-4</v>
      </c>
      <c r="AW45" s="320" t="e">
        <f t="shared" si="56"/>
        <v>#NUM!</v>
      </c>
    </row>
    <row r="46" spans="1:49" s="71" customFormat="1" ht="15" customHeight="1">
      <c r="A46" s="584"/>
      <c r="B46" s="584"/>
      <c r="C46" s="136"/>
      <c r="D46" s="631"/>
      <c r="E46" s="755" t="s">
        <v>454</v>
      </c>
      <c r="F46" s="765">
        <f>Base!F46</f>
        <v>0.17699999999999999</v>
      </c>
      <c r="G46" s="758">
        <f t="shared" si="57"/>
        <v>6.8654545454545453</v>
      </c>
      <c r="H46" s="136" t="s">
        <v>10</v>
      </c>
      <c r="I46" s="66"/>
      <c r="J46" s="66"/>
      <c r="K46" s="66"/>
      <c r="L46" s="66"/>
      <c r="M46" s="66"/>
      <c r="N46" s="83"/>
      <c r="O46" s="66"/>
      <c r="P46" s="66"/>
      <c r="Q46" s="66"/>
      <c r="R46" s="84"/>
      <c r="S46" s="66"/>
      <c r="T46" s="86"/>
      <c r="U46" s="86"/>
      <c r="V46" s="66"/>
      <c r="Y46" s="303"/>
      <c r="Z46" s="287">
        <f t="shared" si="58"/>
        <v>0</v>
      </c>
      <c r="AA46" s="287">
        <f t="shared" si="46"/>
        <v>-2.6315789473684181E-2</v>
      </c>
      <c r="AB46" s="287">
        <f t="shared" si="47"/>
        <v>-5.4596752659069367E-2</v>
      </c>
      <c r="AC46" s="287">
        <f t="shared" si="48"/>
        <v>2.1292733537037076</v>
      </c>
      <c r="AD46" s="304" t="e">
        <f t="shared" si="49"/>
        <v>#NUM!</v>
      </c>
      <c r="AE46" s="304">
        <f t="shared" si="49"/>
        <v>0.99869911547460377</v>
      </c>
      <c r="AF46" s="305" t="e">
        <f t="shared" si="59"/>
        <v>#NUM!</v>
      </c>
      <c r="AG46" s="305" t="e">
        <f t="shared" si="60"/>
        <v>#NUM!</v>
      </c>
      <c r="AH46" s="305">
        <f t="shared" si="60"/>
        <v>1.3008845253962287E-3</v>
      </c>
      <c r="AI46" s="305" t="e">
        <f t="shared" si="60"/>
        <v>#NUM!</v>
      </c>
      <c r="AJ46" s="287">
        <f t="shared" si="61"/>
        <v>-1</v>
      </c>
      <c r="AK46" s="287">
        <f t="shared" si="62"/>
        <v>1</v>
      </c>
      <c r="AL46" s="287">
        <f t="shared" si="50"/>
        <v>-5.5E-2</v>
      </c>
      <c r="AM46" s="302">
        <f t="shared" si="51"/>
        <v>5.5E-2</v>
      </c>
      <c r="AN46" s="287">
        <f>AN42</f>
        <v>0.4</v>
      </c>
      <c r="AO46" s="289">
        <f>AO45</f>
        <v>0.75</v>
      </c>
      <c r="AP46" s="303">
        <f t="shared" si="52"/>
        <v>-5.3333298019031146E-2</v>
      </c>
      <c r="AQ46" s="287">
        <f t="shared" si="53"/>
        <v>2.0799986227422167</v>
      </c>
      <c r="AR46" s="304" t="e">
        <f t="shared" si="54"/>
        <v>#NUM!</v>
      </c>
      <c r="AS46" s="304">
        <f t="shared" si="54"/>
        <v>0.99836719401510843</v>
      </c>
      <c r="AT46" s="305" t="e">
        <f t="shared" si="55"/>
        <v>#NUM!</v>
      </c>
      <c r="AU46" s="305" t="e">
        <f t="shared" si="56"/>
        <v>#NUM!</v>
      </c>
      <c r="AV46" s="305">
        <f t="shared" si="56"/>
        <v>1.6328059848915721E-3</v>
      </c>
      <c r="AW46" s="320" t="e">
        <f t="shared" si="56"/>
        <v>#NUM!</v>
      </c>
    </row>
    <row r="47" spans="1:49" s="71" customFormat="1" ht="15" customHeight="1">
      <c r="A47" s="804"/>
      <c r="B47" s="804"/>
      <c r="C47" s="136"/>
      <c r="D47" s="631"/>
      <c r="E47" s="610"/>
      <c r="F47" s="732"/>
      <c r="G47" s="626"/>
      <c r="H47" s="136"/>
      <c r="I47" s="66"/>
      <c r="J47" s="66"/>
      <c r="K47" s="66"/>
      <c r="L47" s="66"/>
      <c r="M47" s="66"/>
      <c r="N47" s="83"/>
      <c r="O47" s="66"/>
      <c r="P47" s="66"/>
      <c r="Q47" s="66"/>
      <c r="R47" s="84"/>
      <c r="S47" s="66"/>
      <c r="T47" s="86"/>
      <c r="U47" s="86"/>
      <c r="V47" s="66"/>
      <c r="X47" s="93"/>
      <c r="Y47" s="306"/>
      <c r="Z47" s="287">
        <f t="shared" si="58"/>
        <v>0.05</v>
      </c>
      <c r="AA47" s="287">
        <f t="shared" si="46"/>
        <v>2.6315789473684237E-2</v>
      </c>
      <c r="AB47" s="287">
        <f t="shared" si="47"/>
        <v>5.4596752659069485E-2</v>
      </c>
      <c r="AC47" s="287">
        <f t="shared" si="48"/>
        <v>2.0200798483855689</v>
      </c>
      <c r="AD47" s="304">
        <f t="shared" si="49"/>
        <v>0.53077234065742418</v>
      </c>
      <c r="AE47" s="304">
        <f t="shared" si="49"/>
        <v>0.99786048686956852</v>
      </c>
      <c r="AF47" s="305">
        <f t="shared" si="59"/>
        <v>0.5286328275269927</v>
      </c>
      <c r="AG47" s="305">
        <f t="shared" si="60"/>
        <v>0.46922765934257582</v>
      </c>
      <c r="AH47" s="305">
        <f t="shared" si="60"/>
        <v>2.1395131304314807E-3</v>
      </c>
      <c r="AI47" s="305">
        <f t="shared" si="60"/>
        <v>0.4713671724730073</v>
      </c>
      <c r="AJ47" s="287">
        <f t="shared" si="61"/>
        <v>-0.95</v>
      </c>
      <c r="AK47" s="287">
        <f t="shared" si="62"/>
        <v>1.05</v>
      </c>
      <c r="AL47" s="287">
        <f t="shared" si="50"/>
        <v>-4.9999999999999975E-3</v>
      </c>
      <c r="AM47" s="302">
        <f t="shared" si="51"/>
        <v>0.10500000000000001</v>
      </c>
      <c r="AN47" s="308">
        <f>AN41</f>
        <v>0.3</v>
      </c>
      <c r="AO47" s="319">
        <v>0.5</v>
      </c>
      <c r="AP47" s="303">
        <f t="shared" si="52"/>
        <v>5.3333298019031257E-2</v>
      </c>
      <c r="AQ47" s="287">
        <f t="shared" si="53"/>
        <v>1.9733320267041543</v>
      </c>
      <c r="AR47" s="304">
        <f t="shared" si="54"/>
        <v>0.53006158569907713</v>
      </c>
      <c r="AS47" s="304">
        <f t="shared" si="54"/>
        <v>0.99737039496708058</v>
      </c>
      <c r="AT47" s="305">
        <f t="shared" si="55"/>
        <v>0.5274319806661576</v>
      </c>
      <c r="AU47" s="305">
        <f t="shared" si="56"/>
        <v>0.46993841430092287</v>
      </c>
      <c r="AV47" s="305">
        <f t="shared" si="56"/>
        <v>2.6296050329194243E-3</v>
      </c>
      <c r="AW47" s="320">
        <f t="shared" si="56"/>
        <v>0.4725680193338424</v>
      </c>
    </row>
    <row r="48" spans="1:49" s="71" customFormat="1" ht="15" customHeight="1">
      <c r="A48" s="805"/>
      <c r="B48" s="457"/>
      <c r="C48" s="136"/>
      <c r="D48" s="631"/>
      <c r="E48" s="757"/>
      <c r="F48" s="732"/>
      <c r="G48" s="626"/>
      <c r="H48" s="136"/>
      <c r="I48" s="66"/>
      <c r="J48" s="66"/>
      <c r="K48" s="66"/>
      <c r="L48" s="66"/>
      <c r="M48" s="66"/>
      <c r="N48" s="83"/>
      <c r="O48" s="66"/>
      <c r="P48" s="66"/>
      <c r="Q48" s="66"/>
      <c r="R48" s="84"/>
      <c r="S48" s="66"/>
      <c r="T48" s="86"/>
      <c r="U48" s="86"/>
      <c r="V48" s="66"/>
      <c r="X48" s="93"/>
      <c r="Y48" s="306"/>
      <c r="Z48" s="287">
        <f t="shared" si="58"/>
        <v>0.1</v>
      </c>
      <c r="AA48" s="287">
        <f t="shared" si="46"/>
        <v>7.8947368421052655E-2</v>
      </c>
      <c r="AB48" s="287">
        <f t="shared" si="47"/>
        <v>0.16379025797720834</v>
      </c>
      <c r="AC48" s="287">
        <f t="shared" si="48"/>
        <v>1.9108863430674301</v>
      </c>
      <c r="AD48" s="304">
        <f t="shared" si="49"/>
        <v>0.59158900826761174</v>
      </c>
      <c r="AE48" s="304">
        <f t="shared" si="49"/>
        <v>0.99655796976992439</v>
      </c>
      <c r="AF48" s="305">
        <f t="shared" si="59"/>
        <v>0.58814697803753613</v>
      </c>
      <c r="AG48" s="305">
        <f t="shared" si="60"/>
        <v>0.40841099173238826</v>
      </c>
      <c r="AH48" s="305">
        <f t="shared" si="60"/>
        <v>3.44203023007561E-3</v>
      </c>
      <c r="AI48" s="305">
        <f t="shared" si="60"/>
        <v>0.41185302196246387</v>
      </c>
      <c r="AJ48" s="287">
        <f t="shared" si="61"/>
        <v>-0.9</v>
      </c>
      <c r="AK48" s="287">
        <f t="shared" si="62"/>
        <v>1.1000000000000001</v>
      </c>
      <c r="AL48" s="287">
        <f t="shared" si="50"/>
        <v>4.5000000000000005E-2</v>
      </c>
      <c r="AM48" s="302">
        <f t="shared" si="51"/>
        <v>0.155</v>
      </c>
      <c r="AP48" s="303">
        <f t="shared" si="52"/>
        <v>0.15999989405709367</v>
      </c>
      <c r="AQ48" s="287">
        <f t="shared" si="53"/>
        <v>1.8666654306660921</v>
      </c>
      <c r="AR48" s="304">
        <f t="shared" si="54"/>
        <v>0.58950584832911113</v>
      </c>
      <c r="AS48" s="304">
        <f t="shared" si="54"/>
        <v>0.99585302939517284</v>
      </c>
      <c r="AT48" s="305">
        <f t="shared" si="55"/>
        <v>0.58535887772428397</v>
      </c>
      <c r="AU48" s="305">
        <f t="shared" si="56"/>
        <v>0.41049415167088887</v>
      </c>
      <c r="AV48" s="305">
        <f t="shared" si="56"/>
        <v>4.1469706048271604E-3</v>
      </c>
      <c r="AW48" s="320">
        <f t="shared" si="56"/>
        <v>0.41464112227571603</v>
      </c>
    </row>
    <row r="49" spans="1:49" s="71" customFormat="1" ht="15" customHeight="1">
      <c r="A49" s="455"/>
      <c r="B49" s="456"/>
      <c r="C49" s="450"/>
      <c r="D49" s="797"/>
      <c r="E49" s="760"/>
      <c r="F49" s="761"/>
      <c r="G49" s="768"/>
      <c r="H49" s="136"/>
      <c r="I49" s="66"/>
      <c r="J49" s="66"/>
      <c r="K49" s="66"/>
      <c r="L49" s="66"/>
      <c r="M49" s="66"/>
      <c r="N49" s="83"/>
      <c r="O49" s="66"/>
      <c r="P49" s="66"/>
      <c r="Q49" s="66"/>
      <c r="R49" s="84"/>
      <c r="S49" s="66"/>
      <c r="T49" s="86"/>
      <c r="U49" s="86"/>
      <c r="V49" s="66"/>
      <c r="X49" s="93"/>
      <c r="Y49" s="306"/>
      <c r="Z49" s="287">
        <f t="shared" si="58"/>
        <v>0.15000000000000002</v>
      </c>
      <c r="AA49" s="287">
        <f t="shared" si="46"/>
        <v>0.13157894736842107</v>
      </c>
      <c r="AB49" s="287">
        <f t="shared" si="47"/>
        <v>0.27298376329534724</v>
      </c>
      <c r="AC49" s="287">
        <f t="shared" si="48"/>
        <v>1.8016928377492913</v>
      </c>
      <c r="AD49" s="304">
        <f t="shared" si="49"/>
        <v>0.65027289858792203</v>
      </c>
      <c r="AE49" s="304">
        <f t="shared" si="49"/>
        <v>0.99458254134928747</v>
      </c>
      <c r="AF49" s="305">
        <f t="shared" si="59"/>
        <v>0.64485543993720951</v>
      </c>
      <c r="AG49" s="305">
        <f t="shared" si="60"/>
        <v>0.34972710141207797</v>
      </c>
      <c r="AH49" s="305">
        <f t="shared" si="60"/>
        <v>5.4174586507125255E-3</v>
      </c>
      <c r="AI49" s="305">
        <f t="shared" si="60"/>
        <v>0.35514456006279049</v>
      </c>
      <c r="AJ49" s="287">
        <f t="shared" si="61"/>
        <v>-0.85</v>
      </c>
      <c r="AK49" s="287">
        <f t="shared" si="62"/>
        <v>1.1499999999999999</v>
      </c>
      <c r="AL49" s="287">
        <f t="shared" si="50"/>
        <v>9.5000000000000029E-2</v>
      </c>
      <c r="AM49" s="302">
        <f t="shared" si="51"/>
        <v>0.20500000000000002</v>
      </c>
      <c r="AP49" s="303">
        <f t="shared" si="52"/>
        <v>0.26666649009515608</v>
      </c>
      <c r="AQ49" s="287">
        <f t="shared" si="53"/>
        <v>1.75999883462803</v>
      </c>
      <c r="AR49" s="304">
        <f t="shared" si="54"/>
        <v>0.64695903659301823</v>
      </c>
      <c r="AS49" s="304">
        <f t="shared" si="54"/>
        <v>0.99359510726055622</v>
      </c>
      <c r="AT49" s="305">
        <f t="shared" si="55"/>
        <v>0.64055414385357445</v>
      </c>
      <c r="AU49" s="305">
        <f t="shared" si="56"/>
        <v>0.35304096340698177</v>
      </c>
      <c r="AV49" s="305">
        <f t="shared" si="56"/>
        <v>6.4048927394437793E-3</v>
      </c>
      <c r="AW49" s="320">
        <f t="shared" si="56"/>
        <v>0.35944585614642555</v>
      </c>
    </row>
    <row r="50" spans="1:49" s="71" customFormat="1" ht="15" customHeight="1">
      <c r="A50" s="455"/>
      <c r="B50" s="457"/>
      <c r="C50" s="136"/>
      <c r="D50" s="797"/>
      <c r="E50" s="668"/>
      <c r="F50" s="761"/>
      <c r="G50" s="764"/>
      <c r="H50" s="136"/>
      <c r="I50" s="66"/>
      <c r="J50" s="66"/>
      <c r="K50" s="66"/>
      <c r="L50" s="66"/>
      <c r="M50" s="66"/>
      <c r="N50" s="83"/>
      <c r="O50" s="83"/>
      <c r="P50" s="83"/>
      <c r="Q50" s="66"/>
      <c r="R50" s="84"/>
      <c r="S50" s="66"/>
      <c r="T50" s="86"/>
      <c r="U50" s="86"/>
      <c r="V50" s="66"/>
      <c r="X50" s="93"/>
      <c r="Y50" s="306"/>
      <c r="Z50" s="287">
        <f t="shared" si="58"/>
        <v>0.2</v>
      </c>
      <c r="AA50" s="287">
        <f t="shared" si="46"/>
        <v>0.18421052631578949</v>
      </c>
      <c r="AB50" s="287">
        <f t="shared" si="47"/>
        <v>0.38217726861348611</v>
      </c>
      <c r="AC50" s="287">
        <f t="shared" si="48"/>
        <v>1.6924993324311524</v>
      </c>
      <c r="AD50" s="304">
        <f t="shared" si="49"/>
        <v>0.70556706940179748</v>
      </c>
      <c r="AE50" s="304">
        <f t="shared" si="49"/>
        <v>0.99165702138699963</v>
      </c>
      <c r="AF50" s="305">
        <f t="shared" si="59"/>
        <v>0.69722409078879721</v>
      </c>
      <c r="AG50" s="305">
        <f t="shared" si="60"/>
        <v>0.29443293059820252</v>
      </c>
      <c r="AH50" s="305">
        <f t="shared" si="60"/>
        <v>8.3429786130003736E-3</v>
      </c>
      <c r="AI50" s="305">
        <f t="shared" si="60"/>
        <v>0.30277590921120279</v>
      </c>
      <c r="AJ50" s="287">
        <f t="shared" si="61"/>
        <v>-0.8</v>
      </c>
      <c r="AK50" s="287">
        <f t="shared" si="62"/>
        <v>1.2</v>
      </c>
      <c r="AL50" s="287">
        <f t="shared" si="50"/>
        <v>0.14500000000000002</v>
      </c>
      <c r="AM50" s="302">
        <f t="shared" si="51"/>
        <v>0.255</v>
      </c>
      <c r="AP50" s="303">
        <f t="shared" si="52"/>
        <v>0.37333308613321853</v>
      </c>
      <c r="AQ50" s="287">
        <f t="shared" si="53"/>
        <v>1.6533322385899674</v>
      </c>
      <c r="AR50" s="304">
        <f t="shared" si="54"/>
        <v>0.70124086200258207</v>
      </c>
      <c r="AS50" s="304">
        <f t="shared" si="54"/>
        <v>0.99031065072414082</v>
      </c>
      <c r="AT50" s="305">
        <f t="shared" si="55"/>
        <v>0.69155151272672288</v>
      </c>
      <c r="AU50" s="305">
        <f t="shared" si="56"/>
        <v>0.29875913799741793</v>
      </c>
      <c r="AV50" s="305">
        <f t="shared" si="56"/>
        <v>9.6893492758591826E-3</v>
      </c>
      <c r="AW50" s="320">
        <f t="shared" si="56"/>
        <v>0.30844848727327712</v>
      </c>
    </row>
    <row r="51" spans="1:49" s="71" customFormat="1" ht="15" customHeight="1">
      <c r="A51" s="455"/>
      <c r="B51" s="458"/>
      <c r="C51" s="450"/>
      <c r="D51" s="631"/>
      <c r="E51" s="757"/>
      <c r="F51" s="761"/>
      <c r="G51" s="764"/>
      <c r="H51" s="136"/>
      <c r="I51" s="66"/>
      <c r="J51" s="66"/>
      <c r="K51" s="66"/>
      <c r="L51" s="66"/>
      <c r="M51" s="66"/>
      <c r="N51" s="83"/>
      <c r="O51" s="83"/>
      <c r="P51" s="83"/>
      <c r="Q51" s="83"/>
      <c r="R51" s="207"/>
      <c r="S51" s="66"/>
      <c r="T51" s="86"/>
      <c r="U51" s="86"/>
      <c r="V51" s="66"/>
      <c r="X51" s="93"/>
      <c r="Y51" s="306"/>
      <c r="Z51" s="287">
        <f t="shared" si="58"/>
        <v>0.25</v>
      </c>
      <c r="AA51" s="287">
        <f t="shared" si="46"/>
        <v>0.23684210526315791</v>
      </c>
      <c r="AB51" s="287">
        <f t="shared" si="47"/>
        <v>0.49137077393162493</v>
      </c>
      <c r="AC51" s="287">
        <f t="shared" si="48"/>
        <v>1.5833058271130134</v>
      </c>
      <c r="AD51" s="304">
        <f t="shared" si="49"/>
        <v>0.75644201969115787</v>
      </c>
      <c r="AE51" s="304">
        <f t="shared" si="49"/>
        <v>0.9874263522349056</v>
      </c>
      <c r="AF51" s="305">
        <f t="shared" si="59"/>
        <v>0.74386837192606348</v>
      </c>
      <c r="AG51" s="305">
        <f t="shared" si="60"/>
        <v>0.24355798030884213</v>
      </c>
      <c r="AH51" s="305">
        <f t="shared" si="60"/>
        <v>1.2573647765094398E-2</v>
      </c>
      <c r="AI51" s="305">
        <f t="shared" si="60"/>
        <v>0.25613162807393652</v>
      </c>
      <c r="AJ51" s="287">
        <f t="shared" si="61"/>
        <v>-0.75</v>
      </c>
      <c r="AK51" s="287">
        <f t="shared" si="62"/>
        <v>1.25</v>
      </c>
      <c r="AL51" s="287">
        <f t="shared" si="50"/>
        <v>0.19500000000000001</v>
      </c>
      <c r="AM51" s="302">
        <f t="shared" si="51"/>
        <v>0.30499999999999999</v>
      </c>
      <c r="AP51" s="303">
        <f t="shared" si="52"/>
        <v>0.47999968217128092</v>
      </c>
      <c r="AQ51" s="287">
        <f t="shared" si="53"/>
        <v>1.5466656425519048</v>
      </c>
      <c r="AR51" s="304">
        <f t="shared" si="54"/>
        <v>0.7513746924346264</v>
      </c>
      <c r="AS51" s="304">
        <f t="shared" si="54"/>
        <v>0.98564024975385067</v>
      </c>
      <c r="AT51" s="305">
        <f t="shared" si="55"/>
        <v>0.73701494218847707</v>
      </c>
      <c r="AU51" s="305">
        <f t="shared" si="56"/>
        <v>0.2486253075653736</v>
      </c>
      <c r="AV51" s="305">
        <f t="shared" si="56"/>
        <v>1.4359750246149328E-2</v>
      </c>
      <c r="AW51" s="320">
        <f t="shared" si="56"/>
        <v>0.26298505781152293</v>
      </c>
    </row>
    <row r="52" spans="1:49" s="71" customFormat="1" ht="15" customHeight="1">
      <c r="A52" s="205"/>
      <c r="B52" s="205"/>
      <c r="C52" s="136"/>
      <c r="D52" s="388"/>
      <c r="E52" s="757"/>
      <c r="F52" s="732"/>
      <c r="G52" s="626"/>
      <c r="H52" s="136"/>
      <c r="I52" s="66"/>
      <c r="J52" s="66"/>
      <c r="K52" s="66"/>
      <c r="L52" s="66"/>
      <c r="M52" s="66"/>
      <c r="N52" s="83"/>
      <c r="O52" s="83"/>
      <c r="P52" s="83"/>
      <c r="Q52" s="66"/>
      <c r="R52" s="84"/>
      <c r="S52" s="66"/>
      <c r="T52" s="86"/>
      <c r="U52" s="86"/>
      <c r="V52" s="66"/>
      <c r="X52" s="93"/>
      <c r="Y52" s="306"/>
      <c r="Z52" s="287">
        <f t="shared" si="58"/>
        <v>0.3</v>
      </c>
      <c r="AA52" s="287">
        <f t="shared" si="46"/>
        <v>0.28947368421052633</v>
      </c>
      <c r="AB52" s="287">
        <f t="shared" si="47"/>
        <v>0.60056427924976374</v>
      </c>
      <c r="AC52" s="287">
        <f t="shared" si="48"/>
        <v>1.4741123217948746</v>
      </c>
      <c r="AD52" s="304">
        <f t="shared" si="49"/>
        <v>0.80215008224181039</v>
      </c>
      <c r="AE52" s="304">
        <f t="shared" si="49"/>
        <v>0.98145216395617674</v>
      </c>
      <c r="AF52" s="305">
        <f t="shared" si="59"/>
        <v>0.78360224619798702</v>
      </c>
      <c r="AG52" s="305">
        <f t="shared" si="60"/>
        <v>0.19784991775818961</v>
      </c>
      <c r="AH52" s="305">
        <f t="shared" si="60"/>
        <v>1.8547836043823263E-2</v>
      </c>
      <c r="AI52" s="305">
        <f t="shared" si="60"/>
        <v>0.21639775380201298</v>
      </c>
      <c r="AJ52" s="287">
        <f t="shared" si="61"/>
        <v>-0.7</v>
      </c>
      <c r="AK52" s="287">
        <f t="shared" si="62"/>
        <v>1.3</v>
      </c>
      <c r="AL52" s="287">
        <f t="shared" si="50"/>
        <v>0.245</v>
      </c>
      <c r="AM52" s="302">
        <f t="shared" si="51"/>
        <v>0.35499999999999998</v>
      </c>
      <c r="AP52" s="303">
        <f t="shared" si="52"/>
        <v>0.58666627820934325</v>
      </c>
      <c r="AQ52" s="287">
        <f t="shared" si="53"/>
        <v>1.4399990465138426</v>
      </c>
      <c r="AR52" s="304">
        <f t="shared" si="54"/>
        <v>0.7966377037671899</v>
      </c>
      <c r="AS52" s="304">
        <f t="shared" si="54"/>
        <v>0.9791482148648174</v>
      </c>
      <c r="AT52" s="305">
        <f t="shared" si="55"/>
        <v>0.7757859186320073</v>
      </c>
      <c r="AU52" s="305">
        <f t="shared" si="56"/>
        <v>0.2033622962328101</v>
      </c>
      <c r="AV52" s="305">
        <f t="shared" si="56"/>
        <v>2.0851785135182599E-2</v>
      </c>
      <c r="AW52" s="320">
        <f t="shared" si="56"/>
        <v>0.2242140813679927</v>
      </c>
    </row>
    <row r="53" spans="1:49" s="71" customFormat="1" ht="15" customHeight="1">
      <c r="D53" s="751"/>
      <c r="E53" s="751"/>
      <c r="K53" s="590"/>
      <c r="L53" s="590"/>
      <c r="M53" s="590"/>
      <c r="N53" s="590"/>
      <c r="O53" s="589"/>
      <c r="P53" s="589"/>
      <c r="Q53" s="516"/>
      <c r="R53" s="591"/>
      <c r="S53" s="516"/>
      <c r="T53" s="592"/>
      <c r="U53" s="592"/>
      <c r="V53" s="516"/>
      <c r="W53" s="516"/>
      <c r="X53" s="516"/>
      <c r="Y53" s="306"/>
      <c r="Z53" s="287">
        <f t="shared" si="58"/>
        <v>0.35</v>
      </c>
      <c r="AA53" s="287">
        <f t="shared" si="46"/>
        <v>0.34210526315789469</v>
      </c>
      <c r="AB53" s="287">
        <f t="shared" si="47"/>
        <v>0.70975778456790251</v>
      </c>
      <c r="AC53" s="287">
        <f t="shared" si="48"/>
        <v>1.3649188164767359</v>
      </c>
      <c r="AD53" s="304">
        <f t="shared" si="49"/>
        <v>0.84225007046030942</v>
      </c>
      <c r="AE53" s="304">
        <f t="shared" si="49"/>
        <v>0.97321433505306199</v>
      </c>
      <c r="AF53" s="305">
        <f t="shared" si="59"/>
        <v>0.81546440551337129</v>
      </c>
      <c r="AG53" s="305">
        <f t="shared" si="60"/>
        <v>0.15774992953969058</v>
      </c>
      <c r="AH53" s="305">
        <f t="shared" si="60"/>
        <v>2.6785664946938015E-2</v>
      </c>
      <c r="AI53" s="305">
        <f t="shared" si="60"/>
        <v>0.18453559448662871</v>
      </c>
      <c r="AJ53" s="287">
        <f t="shared" si="61"/>
        <v>-0.65</v>
      </c>
      <c r="AK53" s="287">
        <f t="shared" si="62"/>
        <v>1.35</v>
      </c>
      <c r="AL53" s="287">
        <f t="shared" si="50"/>
        <v>0.29499999999999998</v>
      </c>
      <c r="AM53" s="302">
        <f t="shared" si="51"/>
        <v>0.40499999999999997</v>
      </c>
      <c r="AP53" s="303">
        <f t="shared" ref="AP53:AP69" si="63">MAX(MIN(B_1*Tb_eff*($AA53)/(SQRT(2)*$AP$39),10),-10)</f>
        <v>0.69333287424740564</v>
      </c>
      <c r="AQ53" s="287">
        <f t="shared" ref="AQ53:AQ69" si="64">MAX(MIN(B_1*Tb_eff*(1-$AA53)/(SQRT(2)*$AP$39),10),-10)</f>
        <v>1.3333324504757802</v>
      </c>
      <c r="AR53" s="304">
        <f t="shared" si="54"/>
        <v>0.83658542948794845</v>
      </c>
      <c r="AS53" s="304">
        <f t="shared" si="54"/>
        <v>0.9703266916251112</v>
      </c>
      <c r="AT53" s="305">
        <f t="shared" si="55"/>
        <v>0.80691212111305965</v>
      </c>
      <c r="AU53" s="305">
        <f t="shared" si="56"/>
        <v>0.16341457051205155</v>
      </c>
      <c r="AV53" s="305">
        <f t="shared" si="56"/>
        <v>2.9673308374888796E-2</v>
      </c>
      <c r="AW53" s="320">
        <f t="shared" si="56"/>
        <v>0.19308787888694035</v>
      </c>
    </row>
    <row r="54" spans="1:49" s="71" customFormat="1" ht="15" customHeight="1">
      <c r="A54" s="591"/>
      <c r="B54" s="591"/>
      <c r="C54" s="596"/>
      <c r="D54" s="591"/>
      <c r="E54" s="591"/>
      <c r="F54" s="591"/>
      <c r="G54" s="670"/>
      <c r="H54" s="670"/>
      <c r="I54" s="591"/>
      <c r="J54" s="591"/>
      <c r="K54" s="591"/>
      <c r="L54" s="591"/>
      <c r="M54" s="591"/>
      <c r="N54" s="591"/>
      <c r="O54" s="591"/>
      <c r="P54" s="591"/>
      <c r="Q54" s="591"/>
      <c r="R54" s="671"/>
      <c r="S54" s="591"/>
      <c r="T54" s="591"/>
      <c r="U54" s="591"/>
      <c r="V54" s="591"/>
      <c r="W54" s="591"/>
      <c r="X54" s="591"/>
      <c r="Y54" s="525"/>
      <c r="Z54" s="287">
        <f>Z53+$Y$42</f>
        <v>0.39999999999999997</v>
      </c>
      <c r="AA54" s="287">
        <f t="shared" si="46"/>
        <v>0.39473684210526311</v>
      </c>
      <c r="AB54" s="287">
        <f t="shared" si="47"/>
        <v>0.81895128988604138</v>
      </c>
      <c r="AC54" s="287">
        <f t="shared" si="48"/>
        <v>1.2557253111585971</v>
      </c>
      <c r="AD54" s="304">
        <f t="shared" si="49"/>
        <v>0.87660299607433823</v>
      </c>
      <c r="AE54" s="304">
        <f t="shared" si="49"/>
        <v>0.96212230530586151</v>
      </c>
      <c r="AF54" s="305">
        <f t="shared" si="59"/>
        <v>0.83872530138019963</v>
      </c>
      <c r="AG54" s="305">
        <f t="shared" si="60"/>
        <v>0.12339700392566177</v>
      </c>
      <c r="AH54" s="305">
        <f t="shared" si="60"/>
        <v>3.7877694694138486E-2</v>
      </c>
      <c r="AI54" s="305">
        <f t="shared" si="60"/>
        <v>0.16127469861980037</v>
      </c>
      <c r="AJ54" s="287">
        <f t="shared" si="61"/>
        <v>-0.60000000000000009</v>
      </c>
      <c r="AK54" s="287">
        <f t="shared" si="62"/>
        <v>1.4</v>
      </c>
      <c r="AL54" s="287">
        <f t="shared" si="50"/>
        <v>0.34499999999999997</v>
      </c>
      <c r="AM54" s="302">
        <f t="shared" si="51"/>
        <v>0.45499999999999996</v>
      </c>
      <c r="AP54" s="303">
        <f>MAX(MIN(B_1*Tb_eff*($AA54)/(SQRT(2)*$AP$39),10),-10)</f>
        <v>0.79999947028546803</v>
      </c>
      <c r="AQ54" s="287">
        <f>MAX(MIN(B_1*Tb_eff*(1-$AA54)/(SQRT(2)*$AP$39),10),-10)</f>
        <v>1.226665854437718</v>
      </c>
      <c r="AR54" s="304">
        <f t="shared" si="54"/>
        <v>0.8710502376049577</v>
      </c>
      <c r="AS54" s="304">
        <f t="shared" si="54"/>
        <v>0.95860898994581267</v>
      </c>
      <c r="AT54" s="305">
        <f t="shared" si="55"/>
        <v>0.82965922755077037</v>
      </c>
      <c r="AU54" s="305">
        <f t="shared" si="56"/>
        <v>0.1289497623950423</v>
      </c>
      <c r="AV54" s="305">
        <f t="shared" si="56"/>
        <v>4.1391010054187327E-2</v>
      </c>
      <c r="AW54" s="320">
        <f t="shared" si="56"/>
        <v>0.17034077244922963</v>
      </c>
    </row>
    <row r="55" spans="1:49" s="71" customFormat="1" ht="15" customHeight="1">
      <c r="A55" s="585"/>
      <c r="B55" s="591"/>
      <c r="C55" s="594"/>
      <c r="D55" s="522"/>
      <c r="E55" s="522"/>
      <c r="F55" s="672"/>
      <c r="G55" s="672"/>
      <c r="H55" s="672"/>
      <c r="I55" s="591"/>
      <c r="J55" s="522"/>
      <c r="K55" s="522"/>
      <c r="L55" s="522"/>
      <c r="M55" s="672"/>
      <c r="N55" s="523"/>
      <c r="O55" s="523"/>
      <c r="P55" s="523"/>
      <c r="Q55" s="523"/>
      <c r="R55" s="673"/>
      <c r="S55" s="674"/>
      <c r="T55" s="523"/>
      <c r="U55" s="523"/>
      <c r="V55" s="675"/>
      <c r="W55" s="523"/>
      <c r="X55" s="674"/>
      <c r="Y55" s="525"/>
      <c r="Z55" s="287">
        <f t="shared" si="58"/>
        <v>0.44999999999999996</v>
      </c>
      <c r="AA55" s="287">
        <f t="shared" si="46"/>
        <v>0.44736842105263153</v>
      </c>
      <c r="AB55" s="287">
        <f t="shared" si="47"/>
        <v>0.92814479520418025</v>
      </c>
      <c r="AC55" s="287">
        <f t="shared" si="48"/>
        <v>1.1465318058404581</v>
      </c>
      <c r="AD55" s="304">
        <f t="shared" si="49"/>
        <v>0.90534022123050817</v>
      </c>
      <c r="AE55" s="304">
        <f t="shared" si="49"/>
        <v>0.94753842318364656</v>
      </c>
      <c r="AF55" s="305">
        <f t="shared" si="59"/>
        <v>0.85287864441415473</v>
      </c>
      <c r="AG55" s="305">
        <f t="shared" si="60"/>
        <v>9.4659778769491831E-2</v>
      </c>
      <c r="AH55" s="305">
        <f t="shared" si="60"/>
        <v>5.2461576816353439E-2</v>
      </c>
      <c r="AI55" s="305">
        <f t="shared" si="60"/>
        <v>0.14712135558584527</v>
      </c>
      <c r="AJ55" s="287">
        <f t="shared" si="61"/>
        <v>-0.55000000000000004</v>
      </c>
      <c r="AK55" s="287">
        <f t="shared" si="62"/>
        <v>1.45</v>
      </c>
      <c r="AL55" s="287">
        <f t="shared" si="50"/>
        <v>0.39499999999999996</v>
      </c>
      <c r="AM55" s="302">
        <f t="shared" si="51"/>
        <v>0.505</v>
      </c>
      <c r="AP55" s="303">
        <f>MAX(MIN(B_1*Tb_eff*($AA55)/(SQRT(2)*$AP$39),10),-10)</f>
        <v>0.90666606632353031</v>
      </c>
      <c r="AQ55" s="287">
        <f>MAX(MIN(B_1*Tb_eff*(1-$AA55)/(SQRT(2)*$AP$39),10),-10)</f>
        <v>1.1199992583996554</v>
      </c>
      <c r="AR55" s="304">
        <f t="shared" si="54"/>
        <v>0.90011711810060258</v>
      </c>
      <c r="AS55" s="304">
        <f t="shared" si="54"/>
        <v>0.94339380785386595</v>
      </c>
      <c r="AT55" s="305">
        <f t="shared" si="55"/>
        <v>0.84351092595446842</v>
      </c>
      <c r="AU55" s="305">
        <f t="shared" si="56"/>
        <v>9.9882881899397424E-2</v>
      </c>
      <c r="AV55" s="305">
        <f t="shared" si="56"/>
        <v>5.6606192146134049E-2</v>
      </c>
      <c r="AW55" s="320">
        <f t="shared" si="56"/>
        <v>0.15648907404553158</v>
      </c>
    </row>
    <row r="56" spans="1:49" s="71" customFormat="1" ht="15" customHeight="1">
      <c r="A56" s="677"/>
      <c r="B56" s="677"/>
      <c r="C56" s="677"/>
      <c r="D56" s="677"/>
      <c r="E56" s="677"/>
      <c r="F56" s="677"/>
      <c r="G56" s="677"/>
      <c r="H56" s="677"/>
      <c r="I56" s="677"/>
      <c r="J56" s="678"/>
      <c r="K56" s="679"/>
      <c r="L56" s="680"/>
      <c r="M56" s="680"/>
      <c r="N56" s="680"/>
      <c r="O56" s="681"/>
      <c r="P56" s="681"/>
      <c r="Q56" s="596"/>
      <c r="R56" s="596"/>
      <c r="S56" s="596"/>
      <c r="T56" s="682"/>
      <c r="U56" s="682"/>
      <c r="V56" s="596"/>
      <c r="W56" s="596"/>
      <c r="X56" s="683"/>
      <c r="Y56" s="306"/>
      <c r="Z56" s="287">
        <f>Z55+$Y$42</f>
        <v>0.49999999999999994</v>
      </c>
      <c r="AA56" s="287">
        <f t="shared" si="46"/>
        <v>0.49999999999999994</v>
      </c>
      <c r="AB56" s="287">
        <f t="shared" si="47"/>
        <v>1.0373383005223191</v>
      </c>
      <c r="AC56" s="287">
        <f t="shared" si="48"/>
        <v>1.0373383005223191</v>
      </c>
      <c r="AD56" s="304">
        <f t="shared" si="49"/>
        <v>0.92881438162784768</v>
      </c>
      <c r="AE56" s="304">
        <f t="shared" si="49"/>
        <v>0.92881438162784768</v>
      </c>
      <c r="AF56" s="305">
        <f t="shared" si="59"/>
        <v>0.85762876325569537</v>
      </c>
      <c r="AG56" s="305">
        <f t="shared" si="60"/>
        <v>7.1185618372152315E-2</v>
      </c>
      <c r="AH56" s="305">
        <f t="shared" si="60"/>
        <v>7.1185618372152315E-2</v>
      </c>
      <c r="AI56" s="305">
        <f t="shared" si="60"/>
        <v>0.14237123674430463</v>
      </c>
      <c r="AJ56" s="287">
        <f t="shared" si="61"/>
        <v>-0.5</v>
      </c>
      <c r="AK56" s="287">
        <f t="shared" si="62"/>
        <v>1.5</v>
      </c>
      <c r="AL56" s="287">
        <f t="shared" si="50"/>
        <v>0.44499999999999995</v>
      </c>
      <c r="AM56" s="302">
        <f t="shared" si="51"/>
        <v>0.55499999999999994</v>
      </c>
      <c r="AP56" s="303">
        <f t="shared" si="63"/>
        <v>1.0133326623615928</v>
      </c>
      <c r="AQ56" s="287">
        <f t="shared" si="64"/>
        <v>1.0133326623615928</v>
      </c>
      <c r="AR56" s="304">
        <f t="shared" si="54"/>
        <v>0.92408088795037369</v>
      </c>
      <c r="AS56" s="304">
        <f t="shared" si="54"/>
        <v>0.92408088795037369</v>
      </c>
      <c r="AT56" s="305">
        <f t="shared" si="55"/>
        <v>0.84816177590074737</v>
      </c>
      <c r="AU56" s="305">
        <f t="shared" si="56"/>
        <v>7.5919112049626314E-2</v>
      </c>
      <c r="AV56" s="305">
        <f t="shared" si="56"/>
        <v>7.5919112049626314E-2</v>
      </c>
      <c r="AW56" s="320">
        <f t="shared" si="56"/>
        <v>0.15183822409925263</v>
      </c>
    </row>
    <row r="57" spans="1:49" s="71" customFormat="1" ht="15" customHeight="1">
      <c r="A57" s="585"/>
      <c r="B57" s="523"/>
      <c r="C57" s="523"/>
      <c r="D57" s="673"/>
      <c r="E57" s="523"/>
      <c r="F57" s="675"/>
      <c r="G57" s="523"/>
      <c r="H57" s="523"/>
      <c r="I57" s="523"/>
      <c r="J57" s="522"/>
      <c r="K57" s="591"/>
      <c r="L57" s="522"/>
      <c r="M57" s="523"/>
      <c r="N57" s="523"/>
      <c r="O57" s="672"/>
      <c r="P57" s="684"/>
      <c r="Q57" s="676"/>
      <c r="R57" s="522"/>
      <c r="S57" s="672"/>
      <c r="T57" s="672"/>
      <c r="U57" s="685"/>
      <c r="V57" s="523"/>
      <c r="W57" s="684"/>
      <c r="X57" s="686"/>
      <c r="Y57" s="306"/>
      <c r="Z57" s="287">
        <f t="shared" si="58"/>
        <v>0.54999999999999993</v>
      </c>
      <c r="AA57" s="287">
        <f t="shared" si="46"/>
        <v>0.55263157894736836</v>
      </c>
      <c r="AB57" s="287">
        <f t="shared" si="47"/>
        <v>1.1465318058404579</v>
      </c>
      <c r="AC57" s="287">
        <f t="shared" si="48"/>
        <v>0.92814479520418047</v>
      </c>
      <c r="AD57" s="304">
        <f t="shared" si="49"/>
        <v>0.94753842318364656</v>
      </c>
      <c r="AE57" s="304">
        <f t="shared" si="49"/>
        <v>0.90534022123050817</v>
      </c>
      <c r="AF57" s="305">
        <f t="shared" si="59"/>
        <v>0.85287864441415473</v>
      </c>
      <c r="AG57" s="305">
        <f t="shared" si="60"/>
        <v>5.2461576816353439E-2</v>
      </c>
      <c r="AH57" s="305">
        <f t="shared" si="60"/>
        <v>9.4659778769491831E-2</v>
      </c>
      <c r="AI57" s="305">
        <f t="shared" si="60"/>
        <v>0.14712135558584527</v>
      </c>
      <c r="AJ57" s="287">
        <f t="shared" si="61"/>
        <v>-0.45000000000000007</v>
      </c>
      <c r="AK57" s="287">
        <f t="shared" si="62"/>
        <v>1.5499999999999998</v>
      </c>
      <c r="AL57" s="287">
        <f t="shared" si="50"/>
        <v>0.49499999999999994</v>
      </c>
      <c r="AM57" s="302">
        <f t="shared" si="51"/>
        <v>0.60499999999999998</v>
      </c>
      <c r="AP57" s="303">
        <f t="shared" si="63"/>
        <v>1.1199992583996552</v>
      </c>
      <c r="AQ57" s="287">
        <f t="shared" si="64"/>
        <v>0.90666606632353064</v>
      </c>
      <c r="AR57" s="304">
        <f t="shared" si="54"/>
        <v>0.94339380785386595</v>
      </c>
      <c r="AS57" s="304">
        <f t="shared" si="54"/>
        <v>0.90011711810060258</v>
      </c>
      <c r="AT57" s="305">
        <f t="shared" si="55"/>
        <v>0.84351092595446842</v>
      </c>
      <c r="AU57" s="305">
        <f t="shared" si="56"/>
        <v>5.6606192146134049E-2</v>
      </c>
      <c r="AV57" s="305">
        <f t="shared" si="56"/>
        <v>9.9882881899397424E-2</v>
      </c>
      <c r="AW57" s="320">
        <f t="shared" si="56"/>
        <v>0.15648907404553158</v>
      </c>
    </row>
    <row r="58" spans="1:49" s="71" customFormat="1" ht="15" customHeight="1">
      <c r="A58" s="585"/>
      <c r="B58" s="523"/>
      <c r="C58" s="523"/>
      <c r="D58" s="520"/>
      <c r="E58" s="517"/>
      <c r="F58" s="582"/>
      <c r="G58" s="517"/>
      <c r="H58" s="517"/>
      <c r="I58" s="517"/>
      <c r="J58" s="518"/>
      <c r="K58" s="516"/>
      <c r="L58" s="518"/>
      <c r="M58" s="517"/>
      <c r="N58" s="517"/>
      <c r="O58" s="519"/>
      <c r="P58" s="580"/>
      <c r="Q58" s="524"/>
      <c r="R58" s="518"/>
      <c r="S58" s="519"/>
      <c r="T58" s="519"/>
      <c r="U58" s="583"/>
      <c r="V58" s="517"/>
      <c r="W58" s="518"/>
      <c r="X58" s="579"/>
      <c r="Y58" s="306"/>
      <c r="Z58" s="287">
        <f t="shared" si="58"/>
        <v>0.6</v>
      </c>
      <c r="AA58" s="287">
        <f t="shared" si="46"/>
        <v>0.60526315789473684</v>
      </c>
      <c r="AB58" s="287">
        <f t="shared" si="47"/>
        <v>1.2557253111585969</v>
      </c>
      <c r="AC58" s="287">
        <f t="shared" si="48"/>
        <v>0.81895128988604149</v>
      </c>
      <c r="AD58" s="304">
        <f t="shared" si="49"/>
        <v>0.96212230530586151</v>
      </c>
      <c r="AE58" s="304">
        <f t="shared" si="49"/>
        <v>0.87660299607433823</v>
      </c>
      <c r="AF58" s="305">
        <f t="shared" si="59"/>
        <v>0.83872530138019963</v>
      </c>
      <c r="AG58" s="305">
        <f t="shared" si="60"/>
        <v>3.7877694694138486E-2</v>
      </c>
      <c r="AH58" s="305">
        <f t="shared" si="60"/>
        <v>0.12339700392566177</v>
      </c>
      <c r="AI58" s="305">
        <f t="shared" si="60"/>
        <v>0.16127469861980037</v>
      </c>
      <c r="AJ58" s="287">
        <f t="shared" si="61"/>
        <v>-0.4</v>
      </c>
      <c r="AK58" s="287">
        <f t="shared" si="62"/>
        <v>1.6</v>
      </c>
      <c r="AL58" s="287">
        <f t="shared" si="50"/>
        <v>0.54499999999999993</v>
      </c>
      <c r="AM58" s="302">
        <f t="shared" si="51"/>
        <v>0.65500000000000003</v>
      </c>
      <c r="AP58" s="303">
        <f t="shared" si="63"/>
        <v>1.2266658544377176</v>
      </c>
      <c r="AQ58" s="287">
        <f t="shared" si="64"/>
        <v>0.79999947028546814</v>
      </c>
      <c r="AR58" s="304">
        <f t="shared" si="54"/>
        <v>0.95860898994581267</v>
      </c>
      <c r="AS58" s="304">
        <f t="shared" si="54"/>
        <v>0.8710502376049577</v>
      </c>
      <c r="AT58" s="305">
        <f t="shared" si="55"/>
        <v>0.82965922755077037</v>
      </c>
      <c r="AU58" s="305">
        <f t="shared" si="56"/>
        <v>4.1391010054187327E-2</v>
      </c>
      <c r="AV58" s="305">
        <f t="shared" si="56"/>
        <v>0.1289497623950423</v>
      </c>
      <c r="AW58" s="320">
        <f t="shared" si="56"/>
        <v>0.17034077244922963</v>
      </c>
    </row>
    <row r="59" spans="1:49" s="71" customFormat="1" ht="15" customHeight="1">
      <c r="A59" s="595"/>
      <c r="B59" s="595"/>
      <c r="C59" s="595"/>
      <c r="D59" s="595"/>
      <c r="E59" s="595"/>
      <c r="F59" s="595"/>
      <c r="G59" s="595"/>
      <c r="H59" s="595"/>
      <c r="I59" s="595"/>
      <c r="J59" s="595"/>
      <c r="K59" s="516"/>
      <c r="L59" s="518"/>
      <c r="M59" s="517"/>
      <c r="N59" s="517"/>
      <c r="O59" s="519"/>
      <c r="P59" s="580"/>
      <c r="Q59" s="524"/>
      <c r="R59" s="518"/>
      <c r="S59" s="519"/>
      <c r="T59" s="519"/>
      <c r="U59" s="583"/>
      <c r="V59" s="517"/>
      <c r="W59" s="580"/>
      <c r="X59" s="581"/>
      <c r="Y59" s="306"/>
      <c r="Z59" s="287">
        <f t="shared" si="58"/>
        <v>0.65</v>
      </c>
      <c r="AA59" s="287">
        <f t="shared" si="46"/>
        <v>0.65789473684210531</v>
      </c>
      <c r="AB59" s="287">
        <f t="shared" si="47"/>
        <v>1.3649188164767359</v>
      </c>
      <c r="AC59" s="287">
        <f t="shared" si="48"/>
        <v>0.70975778456790251</v>
      </c>
      <c r="AD59" s="304">
        <f t="shared" si="49"/>
        <v>0.97321433505306199</v>
      </c>
      <c r="AE59" s="304">
        <f t="shared" si="49"/>
        <v>0.84225007046030942</v>
      </c>
      <c r="AF59" s="305">
        <f t="shared" si="59"/>
        <v>0.81546440551337129</v>
      </c>
      <c r="AG59" s="305">
        <f t="shared" si="60"/>
        <v>2.6785664946938015E-2</v>
      </c>
      <c r="AH59" s="305">
        <f t="shared" si="60"/>
        <v>0.15774992953969058</v>
      </c>
      <c r="AI59" s="305">
        <f t="shared" si="60"/>
        <v>0.18453559448662871</v>
      </c>
      <c r="AJ59" s="287">
        <f t="shared" si="61"/>
        <v>-0.35</v>
      </c>
      <c r="AK59" s="287">
        <f t="shared" si="62"/>
        <v>1.65</v>
      </c>
      <c r="AL59" s="287">
        <f t="shared" si="50"/>
        <v>0.59499999999999997</v>
      </c>
      <c r="AM59" s="302">
        <f t="shared" si="51"/>
        <v>0.70500000000000007</v>
      </c>
      <c r="AP59" s="303">
        <f t="shared" si="63"/>
        <v>1.3333324504757802</v>
      </c>
      <c r="AQ59" s="287">
        <f t="shared" si="64"/>
        <v>0.69333287424740564</v>
      </c>
      <c r="AR59" s="304">
        <f t="shared" si="54"/>
        <v>0.9703266916251112</v>
      </c>
      <c r="AS59" s="304">
        <f t="shared" si="54"/>
        <v>0.83658542948794845</v>
      </c>
      <c r="AT59" s="305">
        <f t="shared" si="55"/>
        <v>0.80691212111305965</v>
      </c>
      <c r="AU59" s="305">
        <f t="shared" si="56"/>
        <v>2.9673308374888796E-2</v>
      </c>
      <c r="AV59" s="305">
        <f t="shared" si="56"/>
        <v>0.16341457051205155</v>
      </c>
      <c r="AW59" s="320">
        <f t="shared" si="56"/>
        <v>0.19308787888694035</v>
      </c>
    </row>
    <row r="60" spans="1:49" s="71" customFormat="1" ht="15" customHeight="1">
      <c r="A60" s="585"/>
      <c r="B60" s="523"/>
      <c r="C60" s="523"/>
      <c r="D60" s="520"/>
      <c r="E60" s="517"/>
      <c r="F60" s="582"/>
      <c r="G60" s="517"/>
      <c r="H60" s="517"/>
      <c r="I60" s="517"/>
      <c r="J60" s="518"/>
      <c r="K60" s="516"/>
      <c r="L60" s="518"/>
      <c r="M60" s="517"/>
      <c r="N60" s="517"/>
      <c r="O60" s="519"/>
      <c r="P60" s="580"/>
      <c r="Q60" s="524"/>
      <c r="R60" s="518"/>
      <c r="S60" s="519"/>
      <c r="T60" s="583"/>
      <c r="U60" s="519"/>
      <c r="V60" s="517"/>
      <c r="W60" s="518"/>
      <c r="X60" s="579"/>
      <c r="Y60" s="306"/>
      <c r="Z60" s="287">
        <f t="shared" si="58"/>
        <v>0.70000000000000007</v>
      </c>
      <c r="AA60" s="287">
        <f t="shared" si="46"/>
        <v>0.71052631578947378</v>
      </c>
      <c r="AB60" s="287">
        <f t="shared" si="47"/>
        <v>1.4741123217948746</v>
      </c>
      <c r="AC60" s="287">
        <f t="shared" si="48"/>
        <v>0.60056427924976352</v>
      </c>
      <c r="AD60" s="304">
        <f t="shared" si="49"/>
        <v>0.98145216395617674</v>
      </c>
      <c r="AE60" s="304">
        <f t="shared" si="49"/>
        <v>0.80215008224181039</v>
      </c>
      <c r="AF60" s="305">
        <f t="shared" si="59"/>
        <v>0.78360224619798702</v>
      </c>
      <c r="AG60" s="305">
        <f t="shared" si="60"/>
        <v>1.8547836043823263E-2</v>
      </c>
      <c r="AH60" s="305">
        <f t="shared" si="60"/>
        <v>0.19784991775818961</v>
      </c>
      <c r="AI60" s="305">
        <f t="shared" si="60"/>
        <v>0.21639775380201298</v>
      </c>
      <c r="AJ60" s="287">
        <f t="shared" si="61"/>
        <v>-0.29999999999999993</v>
      </c>
      <c r="AK60" s="287">
        <f t="shared" si="62"/>
        <v>1.7000000000000002</v>
      </c>
      <c r="AL60" s="287">
        <f t="shared" si="50"/>
        <v>0.64500000000000002</v>
      </c>
      <c r="AM60" s="302">
        <f t="shared" si="51"/>
        <v>0.75500000000000012</v>
      </c>
      <c r="AP60" s="303">
        <f t="shared" si="63"/>
        <v>1.4399990465138426</v>
      </c>
      <c r="AQ60" s="287">
        <f t="shared" si="64"/>
        <v>0.58666627820934303</v>
      </c>
      <c r="AR60" s="304">
        <f t="shared" si="54"/>
        <v>0.9791482148648174</v>
      </c>
      <c r="AS60" s="304">
        <f t="shared" si="54"/>
        <v>0.7966377037671899</v>
      </c>
      <c r="AT60" s="305">
        <f t="shared" si="55"/>
        <v>0.7757859186320073</v>
      </c>
      <c r="AU60" s="305">
        <f t="shared" si="56"/>
        <v>2.0851785135182599E-2</v>
      </c>
      <c r="AV60" s="305">
        <f t="shared" si="56"/>
        <v>0.2033622962328101</v>
      </c>
      <c r="AW60" s="320">
        <f t="shared" si="56"/>
        <v>0.2242140813679927</v>
      </c>
    </row>
    <row r="61" spans="1:49" s="71" customFormat="1" ht="15" customHeight="1">
      <c r="A61" s="585"/>
      <c r="B61" s="523"/>
      <c r="C61" s="523"/>
      <c r="D61" s="520"/>
      <c r="E61" s="517"/>
      <c r="F61" s="582"/>
      <c r="G61" s="517"/>
      <c r="H61" s="517"/>
      <c r="I61" s="517"/>
      <c r="J61" s="518"/>
      <c r="K61" s="516"/>
      <c r="L61" s="518"/>
      <c r="M61" s="517"/>
      <c r="N61" s="517"/>
      <c r="O61" s="519"/>
      <c r="P61" s="580"/>
      <c r="Q61" s="524"/>
      <c r="R61" s="518"/>
      <c r="S61" s="519"/>
      <c r="T61" s="583"/>
      <c r="U61" s="519"/>
      <c r="V61" s="517"/>
      <c r="W61" s="580"/>
      <c r="X61" s="581"/>
      <c r="Y61" s="306"/>
      <c r="Z61" s="287">
        <f t="shared" si="58"/>
        <v>0.75000000000000011</v>
      </c>
      <c r="AA61" s="287">
        <f t="shared" si="46"/>
        <v>0.76315789473684226</v>
      </c>
      <c r="AB61" s="287">
        <f t="shared" si="47"/>
        <v>1.5833058271130136</v>
      </c>
      <c r="AC61" s="287">
        <f t="shared" si="48"/>
        <v>0.49137077393162454</v>
      </c>
      <c r="AD61" s="304">
        <f t="shared" si="49"/>
        <v>0.9874263522349056</v>
      </c>
      <c r="AE61" s="304">
        <f t="shared" si="49"/>
        <v>0.75644201969115765</v>
      </c>
      <c r="AF61" s="305">
        <f t="shared" si="59"/>
        <v>0.74386837192606325</v>
      </c>
      <c r="AG61" s="305">
        <f t="shared" si="60"/>
        <v>1.2573647765094398E-2</v>
      </c>
      <c r="AH61" s="305">
        <f t="shared" si="60"/>
        <v>0.24355798030884235</v>
      </c>
      <c r="AI61" s="305">
        <f t="shared" si="60"/>
        <v>0.25613162807393675</v>
      </c>
      <c r="AJ61" s="287">
        <f t="shared" si="61"/>
        <v>-0.24999999999999989</v>
      </c>
      <c r="AK61" s="287">
        <f t="shared" si="62"/>
        <v>1.75</v>
      </c>
      <c r="AL61" s="287">
        <f t="shared" si="50"/>
        <v>0.69500000000000006</v>
      </c>
      <c r="AM61" s="302">
        <f t="shared" si="51"/>
        <v>0.80500000000000016</v>
      </c>
      <c r="AP61" s="303">
        <f t="shared" si="63"/>
        <v>1.5466656425519052</v>
      </c>
      <c r="AQ61" s="287">
        <f t="shared" si="64"/>
        <v>0.47999968217128053</v>
      </c>
      <c r="AR61" s="304">
        <f t="shared" si="54"/>
        <v>0.98564024975385067</v>
      </c>
      <c r="AS61" s="304">
        <f t="shared" si="54"/>
        <v>0.75137469243462629</v>
      </c>
      <c r="AT61" s="305">
        <f t="shared" si="55"/>
        <v>0.73701494218847685</v>
      </c>
      <c r="AU61" s="305">
        <f t="shared" si="56"/>
        <v>1.4359750246149328E-2</v>
      </c>
      <c r="AV61" s="305">
        <f t="shared" si="56"/>
        <v>0.24862530756537371</v>
      </c>
      <c r="AW61" s="320">
        <f t="shared" si="56"/>
        <v>0.26298505781152315</v>
      </c>
    </row>
    <row r="62" spans="1:49" s="71" customFormat="1" ht="15" customHeight="1">
      <c r="A62" s="585"/>
      <c r="B62" s="523"/>
      <c r="C62" s="523"/>
      <c r="D62" s="520"/>
      <c r="E62" s="517"/>
      <c r="F62" s="582"/>
      <c r="G62" s="517"/>
      <c r="H62" s="517"/>
      <c r="I62" s="517"/>
      <c r="J62" s="518"/>
      <c r="K62" s="516"/>
      <c r="L62" s="518"/>
      <c r="M62" s="517"/>
      <c r="N62" s="517"/>
      <c r="O62" s="519"/>
      <c r="P62" s="580"/>
      <c r="Q62" s="524"/>
      <c r="R62" s="518"/>
      <c r="S62" s="519"/>
      <c r="T62" s="583"/>
      <c r="U62" s="519"/>
      <c r="V62" s="517"/>
      <c r="W62" s="518"/>
      <c r="X62" s="579"/>
      <c r="Y62" s="306"/>
      <c r="Z62" s="287">
        <f t="shared" si="58"/>
        <v>0.80000000000000016</v>
      </c>
      <c r="AA62" s="287">
        <f t="shared" si="46"/>
        <v>0.81578947368421062</v>
      </c>
      <c r="AB62" s="287">
        <f t="shared" si="47"/>
        <v>1.6924993324311528</v>
      </c>
      <c r="AC62" s="287">
        <f t="shared" si="48"/>
        <v>0.38217726861348583</v>
      </c>
      <c r="AD62" s="304">
        <f t="shared" si="49"/>
        <v>0.99165702138699963</v>
      </c>
      <c r="AE62" s="304">
        <f t="shared" si="49"/>
        <v>0.70556706940179736</v>
      </c>
      <c r="AF62" s="305">
        <f t="shared" si="59"/>
        <v>0.69722409078879699</v>
      </c>
      <c r="AG62" s="305">
        <f t="shared" si="60"/>
        <v>8.3429786130003736E-3</v>
      </c>
      <c r="AH62" s="305">
        <f t="shared" si="60"/>
        <v>0.29443293059820264</v>
      </c>
      <c r="AI62" s="305">
        <f t="shared" si="60"/>
        <v>0.30277590921120301</v>
      </c>
      <c r="AJ62" s="287">
        <f t="shared" si="61"/>
        <v>-0.19999999999999984</v>
      </c>
      <c r="AK62" s="287">
        <f t="shared" si="62"/>
        <v>1.8000000000000003</v>
      </c>
      <c r="AL62" s="287">
        <f t="shared" si="50"/>
        <v>0.74500000000000011</v>
      </c>
      <c r="AM62" s="302">
        <f t="shared" si="51"/>
        <v>0.8550000000000002</v>
      </c>
      <c r="AP62" s="303">
        <f t="shared" si="63"/>
        <v>1.6533322385899676</v>
      </c>
      <c r="AQ62" s="287">
        <f t="shared" si="64"/>
        <v>0.37333308613321825</v>
      </c>
      <c r="AR62" s="304">
        <f t="shared" si="54"/>
        <v>0.99031065072414082</v>
      </c>
      <c r="AS62" s="304">
        <f t="shared" si="54"/>
        <v>0.70124086200258207</v>
      </c>
      <c r="AT62" s="305">
        <f t="shared" si="55"/>
        <v>0.69155151272672288</v>
      </c>
      <c r="AU62" s="305">
        <f t="shared" si="56"/>
        <v>9.6893492758591826E-3</v>
      </c>
      <c r="AV62" s="305">
        <f t="shared" si="56"/>
        <v>0.29875913799741793</v>
      </c>
      <c r="AW62" s="320">
        <f t="shared" si="56"/>
        <v>0.30844848727327712</v>
      </c>
    </row>
    <row r="63" spans="1:49" s="71" customFormat="1" ht="15" customHeight="1">
      <c r="A63" s="585"/>
      <c r="B63" s="523"/>
      <c r="C63" s="523"/>
      <c r="D63" s="520"/>
      <c r="E63" s="517"/>
      <c r="F63" s="582"/>
      <c r="G63" s="517"/>
      <c r="H63" s="517"/>
      <c r="I63" s="517"/>
      <c r="J63" s="518"/>
      <c r="K63" s="516"/>
      <c r="L63" s="518"/>
      <c r="M63" s="517"/>
      <c r="N63" s="517"/>
      <c r="O63" s="519"/>
      <c r="P63" s="580"/>
      <c r="Q63" s="524"/>
      <c r="R63" s="518"/>
      <c r="S63" s="519"/>
      <c r="T63" s="583"/>
      <c r="U63" s="519"/>
      <c r="V63" s="517"/>
      <c r="W63" s="580"/>
      <c r="X63" s="581"/>
      <c r="Y63" s="306"/>
      <c r="Z63" s="287">
        <f t="shared" si="58"/>
        <v>0.8500000000000002</v>
      </c>
      <c r="AA63" s="287">
        <f t="shared" si="46"/>
        <v>0.8684210526315792</v>
      </c>
      <c r="AB63" s="287">
        <f t="shared" si="47"/>
        <v>1.8016928377492918</v>
      </c>
      <c r="AC63" s="287">
        <f t="shared" si="48"/>
        <v>0.27298376329534663</v>
      </c>
      <c r="AD63" s="304">
        <f t="shared" si="49"/>
        <v>0.99458254134928747</v>
      </c>
      <c r="AE63" s="304">
        <f t="shared" si="49"/>
        <v>0.65027289858792159</v>
      </c>
      <c r="AF63" s="305">
        <f t="shared" si="59"/>
        <v>0.64485543993720906</v>
      </c>
      <c r="AG63" s="305">
        <f t="shared" si="60"/>
        <v>5.4174586507125255E-3</v>
      </c>
      <c r="AH63" s="305">
        <f t="shared" si="60"/>
        <v>0.34972710141207841</v>
      </c>
      <c r="AI63" s="305">
        <f t="shared" si="60"/>
        <v>0.35514456006279094</v>
      </c>
      <c r="AJ63" s="287">
        <f t="shared" si="61"/>
        <v>-0.1499999999999998</v>
      </c>
      <c r="AK63" s="287">
        <f t="shared" si="62"/>
        <v>1.85</v>
      </c>
      <c r="AL63" s="287">
        <f t="shared" si="50"/>
        <v>0.79500000000000015</v>
      </c>
      <c r="AM63" s="302">
        <f t="shared" si="51"/>
        <v>0.90500000000000025</v>
      </c>
      <c r="AP63" s="303">
        <f t="shared" si="63"/>
        <v>1.7599988346280302</v>
      </c>
      <c r="AQ63" s="287">
        <f t="shared" si="64"/>
        <v>0.26666649009515553</v>
      </c>
      <c r="AR63" s="304">
        <f t="shared" si="54"/>
        <v>0.99359510726055622</v>
      </c>
      <c r="AS63" s="304">
        <f t="shared" si="54"/>
        <v>0.64695903659301801</v>
      </c>
      <c r="AT63" s="305">
        <f t="shared" si="55"/>
        <v>0.64055414385357423</v>
      </c>
      <c r="AU63" s="305">
        <f t="shared" si="56"/>
        <v>6.4048927394437793E-3</v>
      </c>
      <c r="AV63" s="305">
        <f t="shared" si="56"/>
        <v>0.35304096340698199</v>
      </c>
      <c r="AW63" s="320">
        <f t="shared" si="56"/>
        <v>0.35944585614642577</v>
      </c>
    </row>
    <row r="64" spans="1:49" s="71" customFormat="1" ht="15" customHeight="1">
      <c r="A64" s="585"/>
      <c r="B64" s="523"/>
      <c r="C64" s="523"/>
      <c r="D64" s="520"/>
      <c r="E64" s="517"/>
      <c r="F64" s="582"/>
      <c r="G64" s="517"/>
      <c r="H64" s="517"/>
      <c r="I64" s="517"/>
      <c r="J64" s="518"/>
      <c r="K64" s="516"/>
      <c r="L64" s="518"/>
      <c r="M64" s="517"/>
      <c r="N64" s="517"/>
      <c r="O64" s="519"/>
      <c r="P64" s="580"/>
      <c r="Q64" s="524"/>
      <c r="R64" s="518"/>
      <c r="S64" s="519"/>
      <c r="T64" s="583"/>
      <c r="U64" s="519"/>
      <c r="V64" s="517"/>
      <c r="W64" s="518"/>
      <c r="X64" s="579"/>
      <c r="Y64" s="306"/>
      <c r="Z64" s="287">
        <f t="shared" si="58"/>
        <v>0.90000000000000024</v>
      </c>
      <c r="AA64" s="287">
        <f t="shared" si="46"/>
        <v>0.92105263157894757</v>
      </c>
      <c r="AB64" s="287">
        <f t="shared" si="47"/>
        <v>1.9108863430674303</v>
      </c>
      <c r="AC64" s="287">
        <f t="shared" si="48"/>
        <v>0.16379025797720789</v>
      </c>
      <c r="AD64" s="304">
        <f t="shared" si="49"/>
        <v>0.99655796976992439</v>
      </c>
      <c r="AE64" s="304">
        <f t="shared" si="49"/>
        <v>0.5915890082676114</v>
      </c>
      <c r="AF64" s="305">
        <f t="shared" si="59"/>
        <v>0.58814697803753591</v>
      </c>
      <c r="AG64" s="305">
        <f t="shared" si="60"/>
        <v>3.44203023007561E-3</v>
      </c>
      <c r="AH64" s="305">
        <f t="shared" si="60"/>
        <v>0.4084109917323886</v>
      </c>
      <c r="AI64" s="305">
        <f t="shared" si="60"/>
        <v>0.41185302196246409</v>
      </c>
      <c r="AJ64" s="287">
        <f t="shared" si="61"/>
        <v>-9.9999999999999756E-2</v>
      </c>
      <c r="AK64" s="287">
        <f t="shared" si="62"/>
        <v>1.9000000000000004</v>
      </c>
      <c r="AL64" s="287">
        <f t="shared" si="50"/>
        <v>0.8450000000000002</v>
      </c>
      <c r="AM64" s="302">
        <f t="shared" si="51"/>
        <v>0.95500000000000029</v>
      </c>
      <c r="AP64" s="303">
        <f t="shared" si="63"/>
        <v>1.8666654306660924</v>
      </c>
      <c r="AQ64" s="287">
        <f t="shared" si="64"/>
        <v>0.15999989405709322</v>
      </c>
      <c r="AR64" s="304">
        <f t="shared" si="54"/>
        <v>0.99585302939517284</v>
      </c>
      <c r="AS64" s="304">
        <f t="shared" si="54"/>
        <v>0.5895058483291109</v>
      </c>
      <c r="AT64" s="305">
        <f t="shared" si="55"/>
        <v>0.58535887772428374</v>
      </c>
      <c r="AU64" s="305">
        <f t="shared" si="56"/>
        <v>4.1469706048271604E-3</v>
      </c>
      <c r="AV64" s="305">
        <f t="shared" si="56"/>
        <v>0.4104941516708891</v>
      </c>
      <c r="AW64" s="320">
        <f t="shared" si="56"/>
        <v>0.41464112227571626</v>
      </c>
    </row>
    <row r="65" spans="1:49" s="71" customFormat="1" ht="15" customHeight="1">
      <c r="A65" s="521"/>
      <c r="B65" s="523"/>
      <c r="C65" s="523"/>
      <c r="D65" s="520"/>
      <c r="E65" s="517"/>
      <c r="F65" s="582"/>
      <c r="G65" s="517"/>
      <c r="H65" s="517"/>
      <c r="I65" s="517"/>
      <c r="J65" s="518"/>
      <c r="K65" s="516"/>
      <c r="L65" s="518"/>
      <c r="M65" s="517"/>
      <c r="N65" s="517"/>
      <c r="O65" s="519"/>
      <c r="P65" s="580"/>
      <c r="Q65" s="524"/>
      <c r="R65" s="518"/>
      <c r="S65" s="519"/>
      <c r="T65" s="583"/>
      <c r="U65" s="519"/>
      <c r="V65" s="517"/>
      <c r="W65" s="580"/>
      <c r="X65" s="581"/>
      <c r="Y65" s="306"/>
      <c r="Z65" s="287">
        <f t="shared" si="58"/>
        <v>0.95000000000000029</v>
      </c>
      <c r="AA65" s="287">
        <f t="shared" si="46"/>
        <v>0.97368421052631604</v>
      </c>
      <c r="AB65" s="287">
        <f t="shared" si="47"/>
        <v>2.0200798483855693</v>
      </c>
      <c r="AC65" s="287">
        <f t="shared" si="48"/>
        <v>5.4596752659068909E-2</v>
      </c>
      <c r="AD65" s="304">
        <f t="shared" si="49"/>
        <v>0.99786048686956852</v>
      </c>
      <c r="AE65" s="304">
        <f t="shared" si="49"/>
        <v>0.53077234065742385</v>
      </c>
      <c r="AF65" s="305">
        <f t="shared" si="59"/>
        <v>0.52863282752699225</v>
      </c>
      <c r="AG65" s="305">
        <f>1-AD65</f>
        <v>2.1395131304314807E-3</v>
      </c>
      <c r="AH65" s="305">
        <f t="shared" ref="AH65:AI69" si="65">1-AE65</f>
        <v>0.46922765934257615</v>
      </c>
      <c r="AI65" s="305">
        <f t="shared" si="65"/>
        <v>0.47136717247300775</v>
      </c>
      <c r="AJ65" s="287">
        <f t="shared" si="61"/>
        <v>-4.9999999999999711E-2</v>
      </c>
      <c r="AK65" s="287">
        <f t="shared" si="62"/>
        <v>1.9500000000000002</v>
      </c>
      <c r="AL65" s="287">
        <f t="shared" si="50"/>
        <v>0.89500000000000024</v>
      </c>
      <c r="AM65" s="302">
        <f t="shared" si="51"/>
        <v>1.0050000000000003</v>
      </c>
      <c r="AP65" s="303">
        <f t="shared" si="63"/>
        <v>1.973332026704155</v>
      </c>
      <c r="AQ65" s="287">
        <f t="shared" si="64"/>
        <v>5.3333298019030695E-2</v>
      </c>
      <c r="AR65" s="304">
        <f t="shared" si="54"/>
        <v>0.99737039496708058</v>
      </c>
      <c r="AS65" s="304">
        <f t="shared" si="54"/>
        <v>0.5300615856990768</v>
      </c>
      <c r="AT65" s="305">
        <f t="shared" si="55"/>
        <v>0.52743198066615737</v>
      </c>
      <c r="AU65" s="305">
        <f t="shared" si="56"/>
        <v>2.6296050329194243E-3</v>
      </c>
      <c r="AV65" s="305">
        <f t="shared" si="56"/>
        <v>0.4699384143009232</v>
      </c>
      <c r="AW65" s="320">
        <f t="shared" si="56"/>
        <v>0.47256801933384263</v>
      </c>
    </row>
    <row r="66" spans="1:49" s="71" customFormat="1" ht="15" customHeight="1">
      <c r="A66" s="521"/>
      <c r="B66" s="523"/>
      <c r="C66" s="523"/>
      <c r="D66" s="520"/>
      <c r="E66" s="517"/>
      <c r="F66" s="582"/>
      <c r="G66" s="517"/>
      <c r="H66" s="517"/>
      <c r="I66" s="517"/>
      <c r="J66" s="518"/>
      <c r="K66" s="516"/>
      <c r="L66" s="518"/>
      <c r="M66" s="517"/>
      <c r="N66" s="517"/>
      <c r="O66" s="519"/>
      <c r="P66" s="518"/>
      <c r="Q66" s="524"/>
      <c r="R66" s="518"/>
      <c r="S66" s="583"/>
      <c r="T66" s="519"/>
      <c r="U66" s="519"/>
      <c r="V66" s="517"/>
      <c r="W66" s="518"/>
      <c r="X66" s="579"/>
      <c r="Y66" s="306"/>
      <c r="Z66" s="287">
        <f t="shared" si="58"/>
        <v>1.0000000000000002</v>
      </c>
      <c r="AA66" s="287">
        <f t="shared" si="46"/>
        <v>1.0263157894736845</v>
      </c>
      <c r="AB66" s="287">
        <f t="shared" si="47"/>
        <v>2.1292733537037085</v>
      </c>
      <c r="AC66" s="287">
        <f t="shared" si="48"/>
        <v>-5.4596752659070061E-2</v>
      </c>
      <c r="AD66" s="304">
        <f t="shared" si="49"/>
        <v>0.99869911547460388</v>
      </c>
      <c r="AE66" s="304" t="e">
        <f t="shared" si="49"/>
        <v>#NUM!</v>
      </c>
      <c r="AF66" s="305" t="e">
        <f t="shared" si="59"/>
        <v>#NUM!</v>
      </c>
      <c r="AG66" s="305">
        <f>1-AD66</f>
        <v>1.3008845253961177E-3</v>
      </c>
      <c r="AH66" s="305" t="e">
        <f t="shared" si="65"/>
        <v>#NUM!</v>
      </c>
      <c r="AI66" s="305" t="e">
        <f t="shared" si="65"/>
        <v>#NUM!</v>
      </c>
      <c r="AJ66" s="287">
        <f t="shared" si="61"/>
        <v>0</v>
      </c>
      <c r="AK66" s="287">
        <f t="shared" si="62"/>
        <v>2</v>
      </c>
      <c r="AL66" s="287">
        <f t="shared" si="50"/>
        <v>0.94500000000000017</v>
      </c>
      <c r="AM66" s="302">
        <f t="shared" si="51"/>
        <v>1.0550000000000002</v>
      </c>
      <c r="AP66" s="303">
        <f t="shared" si="63"/>
        <v>2.0799986227422176</v>
      </c>
      <c r="AQ66" s="287">
        <f t="shared" si="64"/>
        <v>-5.3333298019031819E-2</v>
      </c>
      <c r="AR66" s="304">
        <f t="shared" si="54"/>
        <v>0.99836719401510843</v>
      </c>
      <c r="AS66" s="304" t="e">
        <f t="shared" si="54"/>
        <v>#NUM!</v>
      </c>
      <c r="AT66" s="305" t="e">
        <f t="shared" si="55"/>
        <v>#NUM!</v>
      </c>
      <c r="AU66" s="305">
        <f t="shared" si="56"/>
        <v>1.6328059848915721E-3</v>
      </c>
      <c r="AV66" s="305" t="e">
        <f t="shared" si="56"/>
        <v>#NUM!</v>
      </c>
      <c r="AW66" s="320" t="e">
        <f t="shared" si="56"/>
        <v>#NUM!</v>
      </c>
    </row>
    <row r="67" spans="1:49" s="71" customFormat="1" ht="16.5">
      <c r="A67" s="521"/>
      <c r="B67" s="523"/>
      <c r="C67" s="523"/>
      <c r="D67" s="520"/>
      <c r="E67" s="517"/>
      <c r="F67" s="582"/>
      <c r="G67" s="517"/>
      <c r="H67" s="517"/>
      <c r="I67" s="517"/>
      <c r="J67" s="518"/>
      <c r="K67" s="516"/>
      <c r="L67" s="518"/>
      <c r="M67" s="517"/>
      <c r="N67" s="517"/>
      <c r="O67" s="519"/>
      <c r="P67" s="518"/>
      <c r="Q67" s="524"/>
      <c r="R67" s="518"/>
      <c r="S67" s="583"/>
      <c r="T67" s="519"/>
      <c r="U67" s="519"/>
      <c r="V67" s="517"/>
      <c r="W67" s="580"/>
      <c r="X67" s="581"/>
      <c r="Y67" s="306"/>
      <c r="Z67" s="287">
        <f t="shared" si="58"/>
        <v>1.0500000000000003</v>
      </c>
      <c r="AA67" s="287">
        <f t="shared" si="46"/>
        <v>1.0789473684210529</v>
      </c>
      <c r="AB67" s="287">
        <f t="shared" si="47"/>
        <v>2.2384668590218468</v>
      </c>
      <c r="AC67" s="287">
        <f t="shared" si="48"/>
        <v>-0.16379025797720881</v>
      </c>
      <c r="AD67" s="304">
        <f t="shared" si="49"/>
        <v>0.99922636937172093</v>
      </c>
      <c r="AE67" s="304" t="e">
        <f t="shared" si="49"/>
        <v>#NUM!</v>
      </c>
      <c r="AF67" s="305" t="e">
        <f t="shared" si="59"/>
        <v>#NUM!</v>
      </c>
      <c r="AG67" s="305">
        <f>1-AD67</f>
        <v>7.7363062827906504E-4</v>
      </c>
      <c r="AH67" s="305" t="e">
        <f t="shared" si="65"/>
        <v>#NUM!</v>
      </c>
      <c r="AI67" s="305" t="e">
        <f t="shared" si="65"/>
        <v>#NUM!</v>
      </c>
      <c r="AJ67" s="287">
        <f t="shared" si="61"/>
        <v>5.0000000000000266E-2</v>
      </c>
      <c r="AK67" s="287">
        <f t="shared" si="62"/>
        <v>2.0500000000000003</v>
      </c>
      <c r="AL67" s="287">
        <f t="shared" si="50"/>
        <v>0.99500000000000022</v>
      </c>
      <c r="AM67" s="302">
        <f t="shared" si="51"/>
        <v>1.1050000000000002</v>
      </c>
      <c r="AP67" s="303">
        <f t="shared" si="63"/>
        <v>2.1866652187802798</v>
      </c>
      <c r="AQ67" s="287">
        <f t="shared" si="64"/>
        <v>-0.15999989405709411</v>
      </c>
      <c r="AR67" s="304">
        <f t="shared" si="54"/>
        <v>0.99900731323470993</v>
      </c>
      <c r="AS67" s="304" t="e">
        <f t="shared" si="54"/>
        <v>#NUM!</v>
      </c>
      <c r="AT67" s="305" t="e">
        <f t="shared" si="55"/>
        <v>#NUM!</v>
      </c>
      <c r="AU67" s="305">
        <f t="shared" si="56"/>
        <v>9.9268676529007394E-4</v>
      </c>
      <c r="AV67" s="305" t="e">
        <f t="shared" si="56"/>
        <v>#NUM!</v>
      </c>
      <c r="AW67" s="320" t="e">
        <f t="shared" si="56"/>
        <v>#NUM!</v>
      </c>
    </row>
    <row r="68" spans="1:49" s="71" customFormat="1" ht="16.5">
      <c r="A68" s="521"/>
      <c r="B68" s="523"/>
      <c r="C68" s="523"/>
      <c r="D68" s="520"/>
      <c r="E68" s="517"/>
      <c r="F68" s="582"/>
      <c r="G68" s="517"/>
      <c r="H68" s="517"/>
      <c r="I68" s="517"/>
      <c r="J68" s="518"/>
      <c r="K68" s="516"/>
      <c r="L68" s="518"/>
      <c r="M68" s="517"/>
      <c r="N68" s="517"/>
      <c r="O68" s="519"/>
      <c r="P68" s="518"/>
      <c r="Q68" s="524"/>
      <c r="R68" s="518"/>
      <c r="S68" s="583"/>
      <c r="T68" s="519"/>
      <c r="U68" s="519"/>
      <c r="V68" s="517"/>
      <c r="W68" s="518"/>
      <c r="X68" s="579"/>
      <c r="Y68" s="306"/>
      <c r="Z68" s="287">
        <f t="shared" si="58"/>
        <v>1.1000000000000003</v>
      </c>
      <c r="AA68" s="287">
        <f t="shared" si="46"/>
        <v>1.1315789473684212</v>
      </c>
      <c r="AB68" s="287">
        <f t="shared" si="47"/>
        <v>2.347660364339986</v>
      </c>
      <c r="AC68" s="287">
        <f t="shared" si="48"/>
        <v>-0.27298376329534757</v>
      </c>
      <c r="AD68" s="304">
        <f t="shared" si="49"/>
        <v>0.99955006286703796</v>
      </c>
      <c r="AE68" s="304" t="e">
        <f t="shared" si="49"/>
        <v>#NUM!</v>
      </c>
      <c r="AF68" s="305" t="e">
        <f t="shared" si="59"/>
        <v>#NUM!</v>
      </c>
      <c r="AG68" s="305">
        <f>1-AD68</f>
        <v>4.4993713296204163E-4</v>
      </c>
      <c r="AH68" s="305" t="e">
        <f t="shared" si="65"/>
        <v>#NUM!</v>
      </c>
      <c r="AI68" s="305" t="e">
        <f t="shared" si="65"/>
        <v>#NUM!</v>
      </c>
      <c r="AJ68" s="287">
        <f t="shared" si="61"/>
        <v>0.10000000000000031</v>
      </c>
      <c r="AK68" s="287">
        <f t="shared" si="62"/>
        <v>2.1000000000000005</v>
      </c>
      <c r="AL68" s="287">
        <f t="shared" si="50"/>
        <v>1.0450000000000004</v>
      </c>
      <c r="AM68" s="302">
        <f t="shared" si="51"/>
        <v>1.1550000000000002</v>
      </c>
      <c r="AP68" s="303">
        <f t="shared" si="63"/>
        <v>2.2933318148183424</v>
      </c>
      <c r="AQ68" s="287">
        <f t="shared" si="64"/>
        <v>-0.26666649009515642</v>
      </c>
      <c r="AR68" s="304">
        <f t="shared" si="54"/>
        <v>0.99940915035612643</v>
      </c>
      <c r="AS68" s="304" t="e">
        <f t="shared" si="54"/>
        <v>#NUM!</v>
      </c>
      <c r="AT68" s="305" t="e">
        <f t="shared" si="55"/>
        <v>#NUM!</v>
      </c>
      <c r="AU68" s="305">
        <f t="shared" si="56"/>
        <v>5.9084964387356997E-4</v>
      </c>
      <c r="AV68" s="305" t="e">
        <f t="shared" si="56"/>
        <v>#NUM!</v>
      </c>
      <c r="AW68" s="320" t="e">
        <f t="shared" si="56"/>
        <v>#NUM!</v>
      </c>
    </row>
    <row r="69" spans="1:49" s="71" customFormat="1" ht="16.5">
      <c r="A69" s="521"/>
      <c r="B69" s="523"/>
      <c r="C69" s="523"/>
      <c r="D69" s="520"/>
      <c r="E69" s="517"/>
      <c r="F69" s="582"/>
      <c r="G69" s="517"/>
      <c r="H69" s="517"/>
      <c r="I69" s="517"/>
      <c r="J69" s="518"/>
      <c r="K69" s="516"/>
      <c r="L69" s="518"/>
      <c r="M69" s="517"/>
      <c r="N69" s="517"/>
      <c r="O69" s="519"/>
      <c r="P69" s="518"/>
      <c r="Q69" s="524"/>
      <c r="R69" s="518"/>
      <c r="S69" s="583"/>
      <c r="T69" s="519"/>
      <c r="U69" s="519"/>
      <c r="V69" s="517"/>
      <c r="W69" s="580"/>
      <c r="X69" s="581"/>
      <c r="Y69" s="307"/>
      <c r="Z69" s="308">
        <f t="shared" si="58"/>
        <v>1.1500000000000004</v>
      </c>
      <c r="AA69" s="308">
        <f t="shared" si="46"/>
        <v>1.1842105263157898</v>
      </c>
      <c r="AB69" s="308">
        <f t="shared" si="47"/>
        <v>2.4568538696581252</v>
      </c>
      <c r="AC69" s="308">
        <f t="shared" si="48"/>
        <v>-0.38217726861348672</v>
      </c>
      <c r="AD69" s="309">
        <f t="shared" si="49"/>
        <v>0.99974411213620118</v>
      </c>
      <c r="AE69" s="309" t="e">
        <f t="shared" si="49"/>
        <v>#NUM!</v>
      </c>
      <c r="AF69" s="310" t="e">
        <f t="shared" si="59"/>
        <v>#NUM!</v>
      </c>
      <c r="AG69" s="310">
        <f>1-AD69</f>
        <v>2.5588786379882045E-4</v>
      </c>
      <c r="AH69" s="310" t="e">
        <f t="shared" si="65"/>
        <v>#NUM!</v>
      </c>
      <c r="AI69" s="310" t="e">
        <f t="shared" si="65"/>
        <v>#NUM!</v>
      </c>
      <c r="AJ69" s="308">
        <f t="shared" si="61"/>
        <v>0.15000000000000036</v>
      </c>
      <c r="AK69" s="308">
        <f t="shared" si="62"/>
        <v>2.1500000000000004</v>
      </c>
      <c r="AL69" s="308">
        <f t="shared" si="50"/>
        <v>1.0950000000000004</v>
      </c>
      <c r="AM69" s="311">
        <f t="shared" si="51"/>
        <v>1.2050000000000003</v>
      </c>
      <c r="AP69" s="321">
        <f t="shared" si="63"/>
        <v>2.399998410856405</v>
      </c>
      <c r="AQ69" s="308">
        <f t="shared" si="64"/>
        <v>-0.37333308613321914</v>
      </c>
      <c r="AR69" s="309">
        <f t="shared" si="54"/>
        <v>0.99965574022028358</v>
      </c>
      <c r="AS69" s="309" t="e">
        <f t="shared" si="54"/>
        <v>#NUM!</v>
      </c>
      <c r="AT69" s="310" t="e">
        <f t="shared" si="55"/>
        <v>#NUM!</v>
      </c>
      <c r="AU69" s="310">
        <f t="shared" si="56"/>
        <v>3.4425977971641597E-4</v>
      </c>
      <c r="AV69" s="310" t="e">
        <f t="shared" si="56"/>
        <v>#NUM!</v>
      </c>
      <c r="AW69" s="322" t="e">
        <f t="shared" si="56"/>
        <v>#NUM!</v>
      </c>
    </row>
    <row r="71" spans="1:49">
      <c r="Y71" s="13"/>
    </row>
    <row r="74" spans="1:49">
      <c r="Y74" s="586"/>
    </row>
  </sheetData>
  <mergeCells count="6">
    <mergeCell ref="AG13:AH13"/>
    <mergeCell ref="R1:U1"/>
    <mergeCell ref="W1:X1"/>
    <mergeCell ref="J2:K2"/>
    <mergeCell ref="L2:M2"/>
    <mergeCell ref="W2:X2"/>
  </mergeCells>
  <hyperlinks>
    <hyperlink ref="V11" location="Notes!A193" display="Notes!A193"/>
    <hyperlink ref="B7" location="Notes!A189" display="Notes!A189"/>
  </hyperlinks>
  <printOptions horizontalCentered="1"/>
  <pageMargins left="0.5" right="0.5" top="0.45" bottom="0.5" header="0.3" footer="0.4"/>
  <pageSetup scale="67" orientation="landscape" r:id="rId1"/>
  <headerFooter alignWithMargins="0">
    <oddHeader xml:space="preserve">&amp;CSpreadsheet by Agilent Technologies&amp;R </oddHeader>
    <oddFooter>&amp;L&amp;F tab &amp;A page &amp;P of &amp;N&amp;CAvago Technologies&amp;RPrinted &amp;T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0"/>
  <sheetViews>
    <sheetView topLeftCell="A16" zoomScale="90" zoomScaleNormal="90" workbookViewId="0"/>
  </sheetViews>
  <sheetFormatPr defaultRowHeight="12.75"/>
  <cols>
    <col min="1" max="1" width="5.7109375" style="209" customWidth="1"/>
    <col min="2" max="2" width="5.85546875" style="209" customWidth="1"/>
    <col min="3" max="3" width="6" style="209" customWidth="1"/>
    <col min="4" max="4" width="12" style="209" bestFit="1" customWidth="1"/>
    <col min="5" max="5" width="12.42578125" style="209" customWidth="1"/>
    <col min="6" max="12" width="9.140625" style="209"/>
    <col min="13" max="13" width="7.42578125" style="209" customWidth="1"/>
    <col min="14" max="16384" width="9.140625" style="209"/>
  </cols>
  <sheetData>
    <row r="1" spans="1:11">
      <c r="A1" s="397" t="s">
        <v>415</v>
      </c>
      <c r="E1" s="389">
        <v>37196</v>
      </c>
      <c r="F1" s="209" t="s">
        <v>392</v>
      </c>
    </row>
    <row r="2" spans="1:11">
      <c r="A2" s="252" t="s">
        <v>431</v>
      </c>
      <c r="E2" s="389">
        <v>37181</v>
      </c>
      <c r="F2" s="210" t="s">
        <v>3</v>
      </c>
      <c r="G2" s="387" t="s">
        <v>388</v>
      </c>
      <c r="H2" s="209" t="s">
        <v>174</v>
      </c>
    </row>
    <row r="3" spans="1:11">
      <c r="A3" s="209" t="s">
        <v>175</v>
      </c>
      <c r="C3" s="374" t="s">
        <v>347</v>
      </c>
    </row>
    <row r="4" spans="1:11">
      <c r="A4" s="397" t="s">
        <v>430</v>
      </c>
    </row>
    <row r="5" spans="1:11">
      <c r="A5" s="397" t="s">
        <v>416</v>
      </c>
      <c r="F5" s="424" t="s">
        <v>243</v>
      </c>
      <c r="G5" s="425" t="s">
        <v>417</v>
      </c>
    </row>
    <row r="6" spans="1:11">
      <c r="A6" s="397"/>
      <c r="B6" s="390" t="s">
        <v>421</v>
      </c>
    </row>
    <row r="7" spans="1:11">
      <c r="A7" s="209" t="s">
        <v>176</v>
      </c>
    </row>
    <row r="8" spans="1:11">
      <c r="B8" s="209" t="s">
        <v>177</v>
      </c>
    </row>
    <row r="9" spans="1:11">
      <c r="B9" s="209" t="s">
        <v>178</v>
      </c>
    </row>
    <row r="10" spans="1:11" s="212" customFormat="1">
      <c r="A10" s="209" t="s">
        <v>179</v>
      </c>
      <c r="D10" s="213"/>
    </row>
    <row r="11" spans="1:11" s="212" customFormat="1">
      <c r="A11" s="209"/>
      <c r="B11" s="209" t="s">
        <v>180</v>
      </c>
      <c r="D11" s="213"/>
      <c r="F11" s="209" t="s">
        <v>181</v>
      </c>
      <c r="K11" s="209" t="s">
        <v>182</v>
      </c>
    </row>
    <row r="12" spans="1:11" s="212" customFormat="1">
      <c r="A12" s="209" t="s">
        <v>183</v>
      </c>
      <c r="B12" s="209"/>
      <c r="D12" s="213"/>
    </row>
    <row r="13" spans="1:11" s="212" customFormat="1">
      <c r="A13" s="209"/>
      <c r="B13" s="209" t="s">
        <v>184</v>
      </c>
      <c r="D13" s="213"/>
      <c r="E13" s="209" t="s">
        <v>185</v>
      </c>
    </row>
    <row r="14" spans="1:11" s="212" customFormat="1">
      <c r="A14" s="212" t="s">
        <v>186</v>
      </c>
      <c r="B14" s="209"/>
      <c r="D14" s="213"/>
    </row>
    <row r="15" spans="1:11" s="212" customFormat="1">
      <c r="A15" s="212" t="s">
        <v>187</v>
      </c>
    </row>
    <row r="16" spans="1:11" s="216" customFormat="1">
      <c r="A16" s="214" t="s">
        <v>188</v>
      </c>
      <c r="B16" s="215"/>
      <c r="D16" s="427">
        <v>37195</v>
      </c>
      <c r="E16" s="217" t="s">
        <v>3</v>
      </c>
      <c r="F16" s="426" t="s">
        <v>419</v>
      </c>
      <c r="G16" s="218" t="s">
        <v>189</v>
      </c>
      <c r="I16" s="218"/>
      <c r="J16" s="218"/>
      <c r="K16" s="218"/>
    </row>
    <row r="17" spans="1:11" s="212" customFormat="1">
      <c r="A17" s="219" t="s">
        <v>190</v>
      </c>
      <c r="B17" s="220"/>
      <c r="C17" s="220"/>
      <c r="D17" s="221"/>
      <c r="E17" s="220"/>
      <c r="F17" s="220"/>
      <c r="G17" s="222"/>
      <c r="H17" s="223"/>
      <c r="I17" s="223"/>
      <c r="J17" s="223"/>
      <c r="K17" s="224"/>
    </row>
    <row r="18" spans="1:11">
      <c r="A18" s="225"/>
      <c r="B18" s="831" t="s">
        <v>191</v>
      </c>
      <c r="C18" s="832"/>
      <c r="D18" s="832"/>
      <c r="E18" s="832"/>
      <c r="F18" s="832"/>
      <c r="G18" s="832"/>
      <c r="H18" s="832"/>
      <c r="I18" s="832"/>
      <c r="J18" s="832"/>
      <c r="K18" s="832"/>
    </row>
    <row r="19" spans="1:11">
      <c r="A19" s="225" t="s">
        <v>192</v>
      </c>
      <c r="B19" s="226"/>
      <c r="C19" s="227"/>
      <c r="D19" s="227"/>
      <c r="E19" s="227"/>
      <c r="F19" s="227"/>
      <c r="G19" s="227"/>
      <c r="H19" s="227"/>
      <c r="I19" s="227"/>
      <c r="J19" s="227"/>
      <c r="K19" s="227"/>
    </row>
    <row r="20" spans="1:11">
      <c r="A20" s="225"/>
      <c r="B20" s="226" t="s">
        <v>193</v>
      </c>
      <c r="C20" s="227"/>
      <c r="D20" s="227"/>
      <c r="E20" s="227"/>
      <c r="F20" s="227"/>
      <c r="G20" s="227"/>
      <c r="H20" s="227"/>
      <c r="I20" s="227"/>
      <c r="J20" s="227"/>
      <c r="K20" s="227"/>
    </row>
    <row r="21" spans="1:11">
      <c r="A21" s="228" t="s">
        <v>194</v>
      </c>
      <c r="B21" s="229" t="s">
        <v>195</v>
      </c>
      <c r="C21" s="229"/>
      <c r="D21" s="230"/>
      <c r="E21" s="229"/>
      <c r="F21" s="229"/>
      <c r="G21" s="231"/>
      <c r="H21" s="225"/>
      <c r="I21" s="225"/>
      <c r="J21" s="225"/>
      <c r="K21" s="225"/>
    </row>
    <row r="22" spans="1:11">
      <c r="A22" s="228" t="s">
        <v>194</v>
      </c>
      <c r="B22" s="229" t="s">
        <v>196</v>
      </c>
      <c r="C22" s="229"/>
      <c r="D22" s="230"/>
      <c r="E22" s="229"/>
      <c r="F22" s="229"/>
      <c r="G22" s="231"/>
      <c r="H22" s="225"/>
      <c r="I22" s="225"/>
      <c r="J22" s="225"/>
      <c r="K22" s="225"/>
    </row>
    <row r="23" spans="1:11">
      <c r="A23" s="231"/>
      <c r="B23" s="232" t="s">
        <v>197</v>
      </c>
      <c r="C23" s="232"/>
      <c r="D23" s="230"/>
      <c r="E23" s="229"/>
      <c r="F23" s="229"/>
      <c r="G23" s="231"/>
      <c r="H23" s="225"/>
      <c r="I23" s="225"/>
      <c r="J23" s="225"/>
      <c r="K23" s="225"/>
    </row>
    <row r="24" spans="1:11">
      <c r="A24" s="231"/>
      <c r="B24" s="229" t="s">
        <v>198</v>
      </c>
      <c r="C24" s="232"/>
      <c r="D24" s="230"/>
      <c r="E24" s="229"/>
      <c r="F24" s="229"/>
      <c r="G24" s="231"/>
      <c r="H24" s="225"/>
      <c r="I24" s="225"/>
      <c r="J24" s="225"/>
      <c r="K24" s="225"/>
    </row>
    <row r="25" spans="1:11">
      <c r="A25" s="231"/>
      <c r="B25" s="229" t="s">
        <v>199</v>
      </c>
      <c r="C25" s="232"/>
      <c r="D25" s="230"/>
      <c r="E25" s="229"/>
      <c r="F25" s="229"/>
      <c r="G25" s="231"/>
      <c r="H25" s="225"/>
      <c r="I25" s="225"/>
      <c r="J25" s="225"/>
      <c r="K25" s="225"/>
    </row>
    <row r="26" spans="1:11">
      <c r="B26" s="229" t="s">
        <v>200</v>
      </c>
      <c r="C26" s="232"/>
      <c r="D26" s="230"/>
      <c r="E26" s="229"/>
      <c r="F26" s="229"/>
      <c r="G26" s="231"/>
      <c r="H26" s="225"/>
      <c r="I26" s="225"/>
      <c r="J26" s="225"/>
      <c r="K26" s="225"/>
    </row>
    <row r="27" spans="1:11">
      <c r="B27" s="229" t="s">
        <v>201</v>
      </c>
      <c r="C27" s="232"/>
      <c r="D27" s="230"/>
      <c r="E27" s="229"/>
      <c r="F27" s="229"/>
      <c r="G27" s="231"/>
      <c r="H27" s="225"/>
      <c r="I27" s="225"/>
      <c r="J27" s="225"/>
      <c r="K27" s="225"/>
    </row>
    <row r="28" spans="1:11">
      <c r="A28" s="228" t="s">
        <v>194</v>
      </c>
      <c r="B28" s="229" t="s">
        <v>202</v>
      </c>
      <c r="C28" s="229"/>
      <c r="D28" s="230"/>
      <c r="E28" s="229"/>
      <c r="F28" s="229"/>
      <c r="G28" s="231"/>
      <c r="H28" s="225"/>
      <c r="I28" s="225"/>
      <c r="J28" s="225"/>
      <c r="K28" s="225"/>
    </row>
    <row r="29" spans="1:11">
      <c r="A29" s="231"/>
      <c r="B29" s="229" t="s">
        <v>203</v>
      </c>
      <c r="C29" s="229"/>
      <c r="D29" s="230"/>
      <c r="E29" s="229"/>
      <c r="F29" s="229"/>
      <c r="G29" s="231"/>
      <c r="H29" s="225"/>
      <c r="I29" s="225"/>
      <c r="J29" s="225"/>
      <c r="K29" s="225"/>
    </row>
    <row r="30" spans="1:11">
      <c r="A30" s="228" t="s">
        <v>194</v>
      </c>
      <c r="B30" s="233" t="s">
        <v>204</v>
      </c>
      <c r="C30" s="229"/>
      <c r="D30" s="230"/>
      <c r="E30" s="229"/>
      <c r="F30" s="229"/>
      <c r="G30" s="231"/>
      <c r="H30" s="225"/>
      <c r="I30" s="225"/>
      <c r="J30" s="225"/>
      <c r="K30" s="225"/>
    </row>
    <row r="31" spans="1:11">
      <c r="A31" s="228" t="s">
        <v>194</v>
      </c>
      <c r="B31" s="233" t="s">
        <v>205</v>
      </c>
      <c r="C31" s="233"/>
      <c r="D31" s="233"/>
      <c r="E31" s="233"/>
      <c r="F31" s="233"/>
      <c r="G31" s="233"/>
      <c r="H31" s="233"/>
      <c r="I31" s="233"/>
      <c r="J31" s="233"/>
      <c r="K31" s="233"/>
    </row>
    <row r="32" spans="1:11">
      <c r="A32" s="228" t="s">
        <v>194</v>
      </c>
      <c r="B32" s="233" t="s">
        <v>206</v>
      </c>
      <c r="C32" s="233"/>
      <c r="D32" s="233"/>
      <c r="E32" s="233"/>
      <c r="F32" s="233"/>
      <c r="G32" s="233"/>
      <c r="H32" s="233"/>
      <c r="I32" s="233"/>
      <c r="J32" s="233"/>
      <c r="K32" s="233"/>
    </row>
    <row r="33" spans="1:11">
      <c r="A33" s="234" t="s">
        <v>207</v>
      </c>
      <c r="C33" s="233"/>
      <c r="D33" s="233"/>
      <c r="E33" s="233"/>
      <c r="F33" s="233"/>
      <c r="G33" s="233"/>
      <c r="H33" s="233"/>
      <c r="I33" s="233"/>
      <c r="J33" s="233"/>
      <c r="K33" s="233"/>
    </row>
    <row r="34" spans="1:11">
      <c r="A34" s="225"/>
      <c r="B34" s="831" t="s">
        <v>208</v>
      </c>
      <c r="C34" s="833"/>
      <c r="D34" s="833"/>
      <c r="E34" s="833"/>
      <c r="F34" s="833"/>
      <c r="G34" s="833"/>
      <c r="H34" s="833"/>
      <c r="I34" s="833"/>
      <c r="J34" s="833"/>
      <c r="K34" s="833"/>
    </row>
    <row r="35" spans="1:11">
      <c r="A35" s="228" t="s">
        <v>194</v>
      </c>
      <c r="B35" s="209" t="s">
        <v>209</v>
      </c>
    </row>
    <row r="36" spans="1:11">
      <c r="B36" s="209" t="s">
        <v>210</v>
      </c>
    </row>
    <row r="37" spans="1:11">
      <c r="A37" s="228" t="s">
        <v>194</v>
      </c>
      <c r="B37" s="209" t="s">
        <v>211</v>
      </c>
    </row>
    <row r="38" spans="1:11">
      <c r="A38" s="228" t="s">
        <v>194</v>
      </c>
      <c r="B38" s="209" t="s">
        <v>212</v>
      </c>
    </row>
    <row r="39" spans="1:11">
      <c r="A39" s="228" t="s">
        <v>194</v>
      </c>
      <c r="B39" s="209" t="s">
        <v>213</v>
      </c>
    </row>
    <row r="40" spans="1:11">
      <c r="A40" s="228" t="s">
        <v>194</v>
      </c>
      <c r="B40" s="209" t="s">
        <v>214</v>
      </c>
    </row>
    <row r="41" spans="1:11">
      <c r="A41" s="209" t="s">
        <v>215</v>
      </c>
    </row>
    <row r="42" spans="1:11">
      <c r="A42" s="228" t="s">
        <v>194</v>
      </c>
      <c r="B42" s="235" t="s">
        <v>216</v>
      </c>
    </row>
    <row r="43" spans="1:11">
      <c r="A43" s="228"/>
      <c r="C43" s="209" t="s">
        <v>217</v>
      </c>
    </row>
    <row r="44" spans="1:11">
      <c r="C44" s="209" t="s">
        <v>218</v>
      </c>
    </row>
    <row r="45" spans="1:11">
      <c r="C45" s="209" t="s">
        <v>219</v>
      </c>
    </row>
    <row r="46" spans="1:11">
      <c r="C46" s="209" t="s">
        <v>220</v>
      </c>
    </row>
    <row r="47" spans="1:11">
      <c r="A47" s="228" t="s">
        <v>194</v>
      </c>
      <c r="B47" s="235" t="s">
        <v>221</v>
      </c>
    </row>
    <row r="48" spans="1:11">
      <c r="B48" s="209" t="s">
        <v>308</v>
      </c>
    </row>
    <row r="49" spans="1:7">
      <c r="A49" s="209" t="s">
        <v>222</v>
      </c>
    </row>
    <row r="50" spans="1:7">
      <c r="A50" s="228" t="s">
        <v>194</v>
      </c>
      <c r="B50" s="235" t="s">
        <v>223</v>
      </c>
    </row>
    <row r="51" spans="1:7" s="212" customFormat="1">
      <c r="C51" s="209" t="s">
        <v>224</v>
      </c>
    </row>
    <row r="52" spans="1:7" s="212" customFormat="1">
      <c r="A52" s="228"/>
      <c r="B52" s="209"/>
      <c r="C52" s="212" t="s">
        <v>225</v>
      </c>
    </row>
    <row r="53" spans="1:7" s="212" customFormat="1">
      <c r="A53" s="228"/>
      <c r="B53" s="209"/>
      <c r="C53" s="212" t="s">
        <v>226</v>
      </c>
    </row>
    <row r="54" spans="1:7" s="212" customFormat="1">
      <c r="A54" s="228"/>
      <c r="B54" s="212" t="s">
        <v>227</v>
      </c>
    </row>
    <row r="55" spans="1:7" s="212" customFormat="1">
      <c r="A55" s="236"/>
      <c r="B55" s="212" t="s">
        <v>228</v>
      </c>
    </row>
    <row r="56" spans="1:7" s="212" customFormat="1">
      <c r="A56" s="236"/>
      <c r="C56" s="212" t="s">
        <v>229</v>
      </c>
    </row>
    <row r="57" spans="1:7" s="212" customFormat="1">
      <c r="A57" s="236"/>
      <c r="B57" s="212" t="s">
        <v>230</v>
      </c>
    </row>
    <row r="58" spans="1:7" s="212" customFormat="1">
      <c r="A58" s="236"/>
      <c r="C58" s="212" t="s">
        <v>231</v>
      </c>
    </row>
    <row r="59" spans="1:7" s="212" customFormat="1">
      <c r="A59" s="370" t="s">
        <v>412</v>
      </c>
    </row>
    <row r="60" spans="1:7">
      <c r="B60" s="250" t="s">
        <v>344</v>
      </c>
      <c r="C60" s="250"/>
    </row>
    <row r="61" spans="1:7">
      <c r="A61" s="370" t="s">
        <v>318</v>
      </c>
      <c r="B61" s="250"/>
      <c r="C61" s="250"/>
      <c r="G61" s="238"/>
    </row>
    <row r="62" spans="1:7">
      <c r="A62" s="250"/>
      <c r="B62" s="250" t="s">
        <v>317</v>
      </c>
      <c r="C62" s="250"/>
      <c r="G62" s="238"/>
    </row>
    <row r="63" spans="1:7">
      <c r="A63" s="250"/>
      <c r="B63" s="250" t="s">
        <v>264</v>
      </c>
      <c r="C63" s="250"/>
      <c r="G63" s="238"/>
    </row>
    <row r="64" spans="1:7">
      <c r="A64" s="250"/>
      <c r="B64" s="250" t="s">
        <v>259</v>
      </c>
      <c r="C64" s="250"/>
      <c r="G64" s="238"/>
    </row>
    <row r="65" spans="1:7">
      <c r="A65" s="250"/>
      <c r="C65" s="250" t="s">
        <v>314</v>
      </c>
      <c r="G65" s="238"/>
    </row>
    <row r="66" spans="1:7">
      <c r="A66" s="250"/>
      <c r="B66" s="250" t="s">
        <v>266</v>
      </c>
      <c r="C66" s="250"/>
      <c r="G66" s="238"/>
    </row>
    <row r="67" spans="1:7">
      <c r="A67" s="250"/>
      <c r="B67" s="250" t="s">
        <v>268</v>
      </c>
      <c r="C67" s="250"/>
      <c r="G67" s="238"/>
    </row>
    <row r="68" spans="1:7">
      <c r="A68" s="250"/>
      <c r="B68" s="250" t="s">
        <v>364</v>
      </c>
      <c r="C68" s="250"/>
      <c r="G68" s="238"/>
    </row>
    <row r="69" spans="1:7">
      <c r="A69" s="370" t="s">
        <v>320</v>
      </c>
      <c r="B69" s="250"/>
      <c r="C69" s="250"/>
      <c r="G69" s="238"/>
    </row>
    <row r="70" spans="1:7">
      <c r="A70" s="250"/>
      <c r="B70" s="250" t="s">
        <v>309</v>
      </c>
      <c r="C70" s="250"/>
      <c r="G70" s="238"/>
    </row>
    <row r="71" spans="1:7">
      <c r="A71" s="370" t="s">
        <v>319</v>
      </c>
      <c r="B71" s="250"/>
      <c r="C71" s="250"/>
      <c r="G71" s="238"/>
    </row>
    <row r="72" spans="1:7">
      <c r="A72" s="250"/>
      <c r="B72" s="250" t="s">
        <v>336</v>
      </c>
      <c r="C72" s="250"/>
      <c r="G72" s="238"/>
    </row>
    <row r="73" spans="1:7">
      <c r="A73" s="250"/>
      <c r="B73" s="250"/>
      <c r="C73" s="250" t="s">
        <v>423</v>
      </c>
      <c r="G73" s="238"/>
    </row>
    <row r="74" spans="1:7">
      <c r="A74" s="250"/>
      <c r="B74" s="250"/>
      <c r="C74" s="250" t="s">
        <v>323</v>
      </c>
      <c r="G74" s="238"/>
    </row>
    <row r="75" spans="1:7">
      <c r="A75" s="250"/>
      <c r="B75" s="250" t="s">
        <v>327</v>
      </c>
      <c r="C75" s="250"/>
      <c r="G75" s="238"/>
    </row>
    <row r="76" spans="1:7">
      <c r="A76" s="250"/>
      <c r="B76" s="250"/>
      <c r="C76" s="250" t="s">
        <v>326</v>
      </c>
      <c r="G76" s="238"/>
    </row>
    <row r="77" spans="1:7">
      <c r="A77" s="250"/>
      <c r="B77" s="250" t="s">
        <v>257</v>
      </c>
      <c r="C77" s="250"/>
      <c r="G77" s="238"/>
    </row>
    <row r="78" spans="1:7">
      <c r="A78" s="370" t="s">
        <v>424</v>
      </c>
      <c r="B78" s="250"/>
      <c r="C78" s="250"/>
    </row>
    <row r="79" spans="1:7">
      <c r="A79" s="250"/>
      <c r="B79" s="250" t="s">
        <v>322</v>
      </c>
      <c r="C79" s="250"/>
    </row>
    <row r="80" spans="1:7">
      <c r="A80" s="250"/>
      <c r="B80" s="250" t="s">
        <v>260</v>
      </c>
      <c r="C80" s="250"/>
    </row>
    <row r="81" spans="1:4">
      <c r="A81" s="250"/>
      <c r="C81" s="250" t="s">
        <v>261</v>
      </c>
    </row>
    <row r="82" spans="1:4">
      <c r="A82" s="250"/>
      <c r="B82" s="250" t="s">
        <v>249</v>
      </c>
      <c r="C82" s="250"/>
    </row>
    <row r="83" spans="1:4">
      <c r="A83" s="250"/>
      <c r="C83" s="250" t="s">
        <v>262</v>
      </c>
    </row>
    <row r="84" spans="1:4">
      <c r="A84" s="250"/>
      <c r="C84" s="250" t="s">
        <v>288</v>
      </c>
    </row>
    <row r="85" spans="1:4">
      <c r="A85" s="250"/>
      <c r="B85" s="250" t="s">
        <v>255</v>
      </c>
      <c r="C85" s="250"/>
    </row>
    <row r="86" spans="1:4">
      <c r="A86" s="250"/>
      <c r="B86" s="250"/>
      <c r="C86" s="250" t="s">
        <v>256</v>
      </c>
    </row>
    <row r="87" spans="1:4">
      <c r="A87" s="250"/>
      <c r="B87" s="250"/>
      <c r="C87" s="250"/>
      <c r="D87" s="250" t="s">
        <v>247</v>
      </c>
    </row>
    <row r="88" spans="1:4">
      <c r="A88" s="250"/>
      <c r="B88" s="250" t="s">
        <v>265</v>
      </c>
      <c r="C88" s="250"/>
      <c r="D88" s="250"/>
    </row>
    <row r="89" spans="1:4">
      <c r="A89" s="250"/>
      <c r="B89" s="237"/>
      <c r="C89" s="250" t="s">
        <v>267</v>
      </c>
      <c r="D89" s="250"/>
    </row>
    <row r="90" spans="1:4">
      <c r="A90" s="370" t="s">
        <v>302</v>
      </c>
      <c r="C90" s="250"/>
      <c r="D90" s="250"/>
    </row>
    <row r="91" spans="1:4">
      <c r="A91" s="250"/>
      <c r="B91" s="250" t="s">
        <v>303</v>
      </c>
      <c r="C91" s="250"/>
      <c r="D91" s="250"/>
    </row>
    <row r="92" spans="1:4">
      <c r="A92" s="250"/>
      <c r="B92" s="250" t="s">
        <v>304</v>
      </c>
      <c r="C92" s="250"/>
      <c r="D92" s="250"/>
    </row>
    <row r="93" spans="1:4">
      <c r="A93" s="250"/>
      <c r="B93" s="250" t="s">
        <v>316</v>
      </c>
      <c r="C93" s="250"/>
      <c r="D93" s="250"/>
    </row>
    <row r="94" spans="1:4">
      <c r="A94" s="250"/>
      <c r="B94" s="250" t="s">
        <v>305</v>
      </c>
      <c r="C94" s="250"/>
      <c r="D94" s="250"/>
    </row>
    <row r="95" spans="1:4">
      <c r="A95" s="250"/>
      <c r="B95" s="250" t="s">
        <v>315</v>
      </c>
      <c r="C95" s="250"/>
      <c r="D95" s="250"/>
    </row>
    <row r="96" spans="1:4">
      <c r="A96" s="370" t="s">
        <v>321</v>
      </c>
    </row>
    <row r="97" spans="1:4">
      <c r="A97" s="250"/>
      <c r="B97" s="250" t="s">
        <v>244</v>
      </c>
      <c r="C97" s="250"/>
    </row>
    <row r="98" spans="1:4">
      <c r="A98" s="250"/>
      <c r="B98" s="250"/>
      <c r="C98" s="250" t="s">
        <v>245</v>
      </c>
    </row>
    <row r="99" spans="1:4">
      <c r="A99" s="250"/>
      <c r="B99" s="250"/>
      <c r="C99" s="250" t="s">
        <v>246</v>
      </c>
    </row>
    <row r="100" spans="1:4">
      <c r="A100" s="250"/>
      <c r="B100" s="250"/>
      <c r="C100" s="250" t="s">
        <v>263</v>
      </c>
    </row>
    <row r="101" spans="1:4">
      <c r="A101" s="370" t="s">
        <v>328</v>
      </c>
      <c r="C101" s="250"/>
    </row>
    <row r="102" spans="1:4">
      <c r="B102" s="250" t="s">
        <v>329</v>
      </c>
      <c r="C102" s="250"/>
    </row>
    <row r="103" spans="1:4">
      <c r="A103" s="250"/>
      <c r="B103" s="250" t="s">
        <v>335</v>
      </c>
      <c r="C103" s="250"/>
    </row>
    <row r="104" spans="1:4">
      <c r="A104" s="370" t="s">
        <v>324</v>
      </c>
    </row>
    <row r="105" spans="1:4">
      <c r="A105" s="250"/>
      <c r="B105" s="250" t="s">
        <v>325</v>
      </c>
    </row>
    <row r="106" spans="1:4">
      <c r="A106" s="370" t="s">
        <v>337</v>
      </c>
    </row>
    <row r="107" spans="1:4">
      <c r="A107" s="370"/>
      <c r="B107" s="250" t="s">
        <v>338</v>
      </c>
    </row>
    <row r="108" spans="1:4">
      <c r="A108" s="250"/>
      <c r="B108" s="250" t="s">
        <v>343</v>
      </c>
      <c r="C108" s="250"/>
    </row>
    <row r="109" spans="1:4">
      <c r="A109" s="250"/>
      <c r="B109" s="250"/>
      <c r="C109" s="250" t="s">
        <v>342</v>
      </c>
    </row>
    <row r="110" spans="1:4">
      <c r="A110" s="250"/>
      <c r="B110" s="250"/>
      <c r="C110" s="250"/>
      <c r="D110" s="250" t="s">
        <v>341</v>
      </c>
    </row>
    <row r="111" spans="1:4">
      <c r="A111" s="250"/>
      <c r="C111" s="250" t="s">
        <v>345</v>
      </c>
    </row>
    <row r="112" spans="1:4">
      <c r="A112" s="250"/>
      <c r="D112" s="250" t="s">
        <v>346</v>
      </c>
    </row>
    <row r="113" spans="1:4">
      <c r="A113" s="250"/>
      <c r="C113" s="373" t="s">
        <v>312</v>
      </c>
    </row>
    <row r="114" spans="1:4">
      <c r="A114" s="250"/>
      <c r="D114" s="373" t="s">
        <v>313</v>
      </c>
    </row>
    <row r="115" spans="1:4">
      <c r="D115" s="373" t="s">
        <v>307</v>
      </c>
    </row>
    <row r="116" spans="1:4">
      <c r="A116" s="370" t="s">
        <v>339</v>
      </c>
      <c r="B116" s="250"/>
    </row>
    <row r="117" spans="1:4" customFormat="1">
      <c r="A117" s="250"/>
      <c r="B117" s="250" t="s">
        <v>340</v>
      </c>
      <c r="C117" s="250"/>
    </row>
    <row r="118" spans="1:4" customFormat="1">
      <c r="A118" s="250"/>
      <c r="B118" s="250"/>
      <c r="C118" s="250" t="s">
        <v>291</v>
      </c>
    </row>
    <row r="119" spans="1:4" customFormat="1">
      <c r="A119" s="250"/>
      <c r="B119" s="250"/>
      <c r="C119" s="250" t="s">
        <v>292</v>
      </c>
    </row>
    <row r="120" spans="1:4">
      <c r="A120" s="370" t="s">
        <v>330</v>
      </c>
    </row>
    <row r="121" spans="1:4">
      <c r="A121" s="250"/>
      <c r="B121" s="250" t="s">
        <v>332</v>
      </c>
      <c r="D121" s="250" t="s">
        <v>353</v>
      </c>
    </row>
    <row r="122" spans="1:4">
      <c r="A122" s="250"/>
      <c r="B122" s="250"/>
      <c r="D122" s="250" t="s">
        <v>333</v>
      </c>
    </row>
    <row r="123" spans="1:4">
      <c r="A123" s="250"/>
      <c r="B123" s="250" t="s">
        <v>348</v>
      </c>
      <c r="D123" s="250" t="s">
        <v>331</v>
      </c>
    </row>
    <row r="124" spans="1:4">
      <c r="A124" s="250"/>
      <c r="D124" s="250" t="s">
        <v>248</v>
      </c>
    </row>
    <row r="125" spans="1:4">
      <c r="A125" s="250"/>
      <c r="D125" s="250" t="s">
        <v>354</v>
      </c>
    </row>
    <row r="126" spans="1:4">
      <c r="A126" s="250"/>
      <c r="B126" s="250" t="s">
        <v>334</v>
      </c>
      <c r="D126" s="250" t="s">
        <v>270</v>
      </c>
    </row>
    <row r="127" spans="1:4">
      <c r="A127" s="250"/>
      <c r="C127" s="250"/>
      <c r="D127" s="250" t="s">
        <v>278</v>
      </c>
    </row>
    <row r="128" spans="1:4">
      <c r="A128" s="250"/>
      <c r="C128" s="250"/>
      <c r="D128" s="250" t="s">
        <v>269</v>
      </c>
    </row>
    <row r="129" spans="1:5" s="212" customFormat="1">
      <c r="A129" s="236"/>
      <c r="B129" s="376" t="s">
        <v>349</v>
      </c>
      <c r="D129" s="376" t="s">
        <v>355</v>
      </c>
    </row>
    <row r="130" spans="1:5" s="212" customFormat="1">
      <c r="A130" s="370" t="s">
        <v>371</v>
      </c>
      <c r="B130" s="376"/>
      <c r="D130" s="376"/>
    </row>
    <row r="131" spans="1:5" s="212" customFormat="1">
      <c r="A131" s="236"/>
      <c r="B131" s="834">
        <v>37116</v>
      </c>
      <c r="C131" s="834"/>
      <c r="D131" s="376" t="s">
        <v>368</v>
      </c>
    </row>
    <row r="132" spans="1:5" s="212" customFormat="1">
      <c r="A132" s="236"/>
      <c r="B132" s="834">
        <v>37126</v>
      </c>
      <c r="C132" s="834"/>
      <c r="D132" s="376" t="s">
        <v>372</v>
      </c>
      <c r="E132" s="376"/>
    </row>
    <row r="133" spans="1:5" s="212" customFormat="1">
      <c r="A133" s="236"/>
      <c r="B133" s="380"/>
      <c r="C133" s="380"/>
      <c r="D133" s="376" t="s">
        <v>373</v>
      </c>
      <c r="E133" s="376"/>
    </row>
    <row r="134" spans="1:5" s="212" customFormat="1">
      <c r="A134" s="236"/>
      <c r="B134" s="380"/>
      <c r="C134" s="380"/>
      <c r="D134" s="376" t="s">
        <v>375</v>
      </c>
      <c r="E134" s="376"/>
    </row>
    <row r="135" spans="1:5" s="212" customFormat="1">
      <c r="A135" s="236"/>
      <c r="B135" s="380"/>
      <c r="C135" s="380"/>
      <c r="D135" s="376" t="s">
        <v>374</v>
      </c>
      <c r="E135" s="376"/>
    </row>
    <row r="136" spans="1:5" s="212" customFormat="1">
      <c r="A136" s="236"/>
      <c r="B136" s="380"/>
      <c r="C136" s="380"/>
      <c r="D136" s="376" t="s">
        <v>380</v>
      </c>
      <c r="E136" s="376"/>
    </row>
    <row r="137" spans="1:5" s="212" customFormat="1">
      <c r="A137" s="236"/>
      <c r="B137" s="834">
        <v>37127</v>
      </c>
      <c r="C137" s="834"/>
      <c r="D137" s="376" t="s">
        <v>379</v>
      </c>
      <c r="E137" s="376"/>
    </row>
    <row r="138" spans="1:5" s="212" customFormat="1">
      <c r="A138" s="236"/>
      <c r="B138" s="380"/>
      <c r="C138" s="380"/>
      <c r="E138" s="376" t="s">
        <v>378</v>
      </c>
    </row>
    <row r="139" spans="1:5" s="212" customFormat="1">
      <c r="A139" s="236"/>
      <c r="B139" s="834">
        <v>37129</v>
      </c>
      <c r="C139" s="834"/>
      <c r="D139" s="376" t="s">
        <v>382</v>
      </c>
      <c r="E139" s="376"/>
    </row>
    <row r="140" spans="1:5" s="212" customFormat="1">
      <c r="A140" s="236"/>
      <c r="B140" s="380"/>
      <c r="C140" s="380"/>
      <c r="D140" s="376" t="s">
        <v>384</v>
      </c>
      <c r="E140" s="376"/>
    </row>
    <row r="141" spans="1:5" s="212" customFormat="1">
      <c r="A141" s="236"/>
      <c r="B141" s="380"/>
      <c r="C141" s="380"/>
      <c r="D141" s="376" t="s">
        <v>381</v>
      </c>
      <c r="E141" s="376"/>
    </row>
    <row r="142" spans="1:5" s="212" customFormat="1">
      <c r="A142" s="236"/>
      <c r="B142" s="380"/>
      <c r="C142" s="380"/>
      <c r="D142" s="376" t="s">
        <v>383</v>
      </c>
      <c r="E142" s="376"/>
    </row>
    <row r="143" spans="1:5" s="212" customFormat="1">
      <c r="A143" s="383" t="s">
        <v>385</v>
      </c>
      <c r="B143" s="384"/>
      <c r="C143" s="384"/>
      <c r="D143" s="384"/>
      <c r="E143" s="376"/>
    </row>
    <row r="144" spans="1:5" s="212" customFormat="1">
      <c r="A144" s="385"/>
      <c r="B144" s="837">
        <v>37180</v>
      </c>
      <c r="C144" s="837"/>
      <c r="D144" s="384" t="s">
        <v>387</v>
      </c>
      <c r="E144" s="376"/>
    </row>
    <row r="145" spans="1:5" s="212" customFormat="1">
      <c r="A145" s="236"/>
      <c r="B145" s="380"/>
      <c r="C145" s="380"/>
      <c r="D145" s="384" t="s">
        <v>396</v>
      </c>
      <c r="E145" s="376"/>
    </row>
    <row r="146" spans="1:5" s="212" customFormat="1">
      <c r="A146" s="236"/>
      <c r="B146" s="380"/>
      <c r="C146" s="380"/>
      <c r="D146" s="384"/>
      <c r="E146" s="384" t="s">
        <v>409</v>
      </c>
    </row>
    <row r="147" spans="1:5" s="212" customFormat="1">
      <c r="A147" s="236"/>
      <c r="B147" s="380"/>
      <c r="C147" s="380"/>
      <c r="D147" s="384"/>
      <c r="E147" s="384" t="s">
        <v>410</v>
      </c>
    </row>
    <row r="148" spans="1:5" s="212" customFormat="1">
      <c r="A148" s="236"/>
      <c r="B148" s="380"/>
      <c r="C148" s="380"/>
      <c r="D148" s="384"/>
      <c r="E148" s="391" t="s">
        <v>411</v>
      </c>
    </row>
    <row r="149" spans="1:5" s="212" customFormat="1">
      <c r="A149" s="236"/>
      <c r="B149" s="380"/>
      <c r="C149" s="380"/>
      <c r="D149" s="384" t="s">
        <v>391</v>
      </c>
      <c r="E149" s="376"/>
    </row>
    <row r="150" spans="1:5" s="212" customFormat="1">
      <c r="A150" s="236"/>
      <c r="B150" s="380"/>
      <c r="C150" s="380"/>
      <c r="D150" s="384" t="s">
        <v>386</v>
      </c>
      <c r="E150" s="376"/>
    </row>
    <row r="151" spans="1:5" s="212" customFormat="1">
      <c r="A151" s="236"/>
      <c r="B151" s="380"/>
      <c r="C151" s="380"/>
      <c r="D151" s="384" t="s">
        <v>389</v>
      </c>
      <c r="E151" s="376"/>
    </row>
    <row r="152" spans="1:5" s="212" customFormat="1">
      <c r="A152" s="236"/>
      <c r="B152" s="380"/>
      <c r="D152" s="384" t="s">
        <v>390</v>
      </c>
      <c r="E152" s="376"/>
    </row>
    <row r="153" spans="1:5" s="212" customFormat="1">
      <c r="A153" s="236"/>
      <c r="B153" s="380"/>
      <c r="C153" s="380"/>
      <c r="D153" s="384" t="s">
        <v>422</v>
      </c>
      <c r="E153" s="376"/>
    </row>
    <row r="154" spans="1:5" s="212" customFormat="1">
      <c r="A154" s="390" t="s">
        <v>393</v>
      </c>
      <c r="B154" s="391"/>
      <c r="C154" s="391"/>
      <c r="D154" s="391"/>
      <c r="E154" s="376"/>
    </row>
    <row r="155" spans="1:5" s="212" customFormat="1">
      <c r="A155" s="398"/>
      <c r="B155" s="835">
        <v>37181</v>
      </c>
      <c r="C155" s="835"/>
      <c r="D155" s="391" t="s">
        <v>397</v>
      </c>
      <c r="E155" s="376"/>
    </row>
    <row r="156" spans="1:5" s="212" customFormat="1">
      <c r="A156" s="398"/>
      <c r="B156" s="399"/>
      <c r="C156" s="399"/>
      <c r="D156" s="391" t="s">
        <v>394</v>
      </c>
      <c r="E156" s="376"/>
    </row>
    <row r="157" spans="1:5" s="212" customFormat="1">
      <c r="A157" s="398"/>
      <c r="B157" s="399"/>
      <c r="C157" s="399"/>
      <c r="D157" s="391" t="s">
        <v>395</v>
      </c>
      <c r="E157" s="376"/>
    </row>
    <row r="158" spans="1:5" s="212" customFormat="1">
      <c r="A158" s="398"/>
      <c r="B158" s="835">
        <v>37182</v>
      </c>
      <c r="C158" s="835"/>
      <c r="D158" s="391" t="s">
        <v>427</v>
      </c>
      <c r="E158" s="376"/>
    </row>
    <row r="159" spans="1:5" s="212" customFormat="1">
      <c r="A159" s="398"/>
      <c r="B159" s="399"/>
      <c r="C159" s="399"/>
      <c r="D159" s="391"/>
      <c r="E159" s="391" t="s">
        <v>428</v>
      </c>
    </row>
    <row r="160" spans="1:5" s="212" customFormat="1">
      <c r="A160" s="398"/>
      <c r="B160" s="835">
        <v>37188</v>
      </c>
      <c r="C160" s="835"/>
      <c r="D160" s="391" t="s">
        <v>398</v>
      </c>
      <c r="E160" s="376"/>
    </row>
    <row r="161" spans="1:10" s="212" customFormat="1">
      <c r="A161" s="398"/>
      <c r="B161" s="835">
        <v>37194</v>
      </c>
      <c r="C161" s="835"/>
      <c r="D161" s="391" t="s">
        <v>399</v>
      </c>
      <c r="E161" s="376"/>
    </row>
    <row r="162" spans="1:10" s="212" customFormat="1">
      <c r="A162" s="398"/>
      <c r="B162" s="399"/>
      <c r="C162" s="399"/>
      <c r="D162" s="391" t="s">
        <v>400</v>
      </c>
      <c r="E162" s="376"/>
    </row>
    <row r="163" spans="1:10" s="212" customFormat="1">
      <c r="A163" s="398"/>
      <c r="B163" s="399"/>
      <c r="C163" s="399"/>
      <c r="D163" s="391" t="s">
        <v>401</v>
      </c>
      <c r="E163" s="376"/>
    </row>
    <row r="164" spans="1:10" s="212" customFormat="1">
      <c r="A164" s="398"/>
      <c r="B164" s="835">
        <v>37195</v>
      </c>
      <c r="C164" s="835"/>
      <c r="D164" s="411" t="s">
        <v>402</v>
      </c>
      <c r="E164" s="376"/>
    </row>
    <row r="165" spans="1:10" s="212" customFormat="1">
      <c r="A165" s="398"/>
      <c r="B165" s="399"/>
      <c r="C165" s="399"/>
      <c r="D165" s="422" t="s">
        <v>429</v>
      </c>
      <c r="E165" s="376"/>
    </row>
    <row r="166" spans="1:10" s="212" customFormat="1">
      <c r="A166" s="398"/>
      <c r="B166" s="399"/>
      <c r="C166" s="399"/>
      <c r="D166" s="422"/>
      <c r="E166" s="411" t="s">
        <v>408</v>
      </c>
      <c r="J166" s="411"/>
    </row>
    <row r="167" spans="1:10" s="212" customFormat="1">
      <c r="A167" s="398"/>
      <c r="B167" s="836">
        <v>37196</v>
      </c>
      <c r="C167" s="836"/>
      <c r="D167" s="422" t="s">
        <v>420</v>
      </c>
      <c r="E167" s="376"/>
      <c r="J167" s="411"/>
    </row>
    <row r="168" spans="1:10" s="216" customFormat="1">
      <c r="A168" s="214" t="s">
        <v>232</v>
      </c>
    </row>
    <row r="169" spans="1:10">
      <c r="A169" s="209" t="s">
        <v>234</v>
      </c>
    </row>
    <row r="170" spans="1:10">
      <c r="A170" s="209" t="s">
        <v>235</v>
      </c>
    </row>
    <row r="171" spans="1:10">
      <c r="A171" s="209" t="s">
        <v>243</v>
      </c>
      <c r="B171" s="211" t="s">
        <v>417</v>
      </c>
      <c r="H171" s="209" t="s">
        <v>418</v>
      </c>
    </row>
    <row r="172" spans="1:10" s="212" customFormat="1">
      <c r="A172" s="250" t="s">
        <v>352</v>
      </c>
    </row>
    <row r="173" spans="1:10">
      <c r="B173" s="250" t="s">
        <v>370</v>
      </c>
    </row>
    <row r="174" spans="1:10">
      <c r="A174" s="250"/>
      <c r="B174" s="250" t="s">
        <v>369</v>
      </c>
    </row>
    <row r="175" spans="1:10">
      <c r="B175" s="250" t="s">
        <v>258</v>
      </c>
    </row>
    <row r="176" spans="1:10">
      <c r="A176" s="250" t="s">
        <v>376</v>
      </c>
    </row>
    <row r="177" spans="1:2">
      <c r="A177" s="250"/>
      <c r="B177" s="250" t="s">
        <v>350</v>
      </c>
    </row>
    <row r="178" spans="1:2">
      <c r="A178" s="250"/>
      <c r="B178" s="250" t="s">
        <v>351</v>
      </c>
    </row>
    <row r="179" spans="1:2">
      <c r="A179" s="250"/>
      <c r="B179" s="250" t="s">
        <v>377</v>
      </c>
    </row>
    <row r="180" spans="1:2">
      <c r="A180" s="250" t="s">
        <v>310</v>
      </c>
    </row>
    <row r="181" spans="1:2">
      <c r="A181" s="250" t="s">
        <v>365</v>
      </c>
    </row>
    <row r="182" spans="1:2">
      <c r="A182" s="250"/>
      <c r="B182" s="250" t="s">
        <v>366</v>
      </c>
    </row>
    <row r="183" spans="1:2">
      <c r="A183" s="408" t="s">
        <v>414</v>
      </c>
      <c r="B183" s="250"/>
    </row>
    <row r="184" spans="1:2">
      <c r="A184" s="209" t="s">
        <v>233</v>
      </c>
    </row>
    <row r="185" spans="1:2">
      <c r="A185" s="209" t="s">
        <v>236</v>
      </c>
    </row>
    <row r="186" spans="1:2">
      <c r="A186" s="409" t="s">
        <v>407</v>
      </c>
    </row>
    <row r="187" spans="1:2">
      <c r="A187" s="409" t="s">
        <v>413</v>
      </c>
    </row>
    <row r="188" spans="1:2">
      <c r="A188" s="209" t="s">
        <v>237</v>
      </c>
    </row>
    <row r="189" spans="1:2">
      <c r="A189" s="209" t="s">
        <v>238</v>
      </c>
    </row>
    <row r="190" spans="1:2">
      <c r="A190" s="209" t="s">
        <v>239</v>
      </c>
    </row>
    <row r="191" spans="1:2">
      <c r="B191" s="250" t="s">
        <v>311</v>
      </c>
    </row>
    <row r="192" spans="1:2">
      <c r="A192" s="209" t="s">
        <v>240</v>
      </c>
    </row>
    <row r="193" spans="1:3">
      <c r="A193" s="209" t="s">
        <v>241</v>
      </c>
    </row>
    <row r="194" spans="1:3">
      <c r="A194" s="209" t="s">
        <v>242</v>
      </c>
    </row>
    <row r="195" spans="1:3">
      <c r="A195" s="409" t="s">
        <v>403</v>
      </c>
    </row>
    <row r="196" spans="1:3">
      <c r="A196" s="227"/>
      <c r="B196" s="408" t="s">
        <v>425</v>
      </c>
    </row>
    <row r="197" spans="1:3">
      <c r="A197" s="227"/>
      <c r="B197" s="408"/>
      <c r="C197" s="408" t="s">
        <v>426</v>
      </c>
    </row>
    <row r="198" spans="1:3">
      <c r="A198" s="227"/>
      <c r="B198" s="408" t="s">
        <v>404</v>
      </c>
    </row>
    <row r="199" spans="1:3">
      <c r="A199" s="227"/>
      <c r="B199" s="408" t="s">
        <v>405</v>
      </c>
    </row>
    <row r="200" spans="1:3">
      <c r="B200" s="408"/>
    </row>
  </sheetData>
  <mergeCells count="13">
    <mergeCell ref="B167:C167"/>
    <mergeCell ref="B164:C164"/>
    <mergeCell ref="B137:C137"/>
    <mergeCell ref="B158:C158"/>
    <mergeCell ref="B155:C155"/>
    <mergeCell ref="B144:C144"/>
    <mergeCell ref="B139:C139"/>
    <mergeCell ref="B18:K18"/>
    <mergeCell ref="B34:K34"/>
    <mergeCell ref="B131:C131"/>
    <mergeCell ref="B132:C132"/>
    <mergeCell ref="B161:C161"/>
    <mergeCell ref="B160:C160"/>
  </mergeCells>
  <hyperlinks>
    <hyperlink ref="B18" r:id="rId1"/>
    <hyperlink ref="B34" r:id="rId2" display="http://grouper.ieee.org/groups/802/3/10G_study/public/email_attach/All_1250.xls"/>
    <hyperlink ref="B34:K34" r:id="rId3" display="http://grouper.ieee.org/groups/802/3/10G_study/public/email_attach/All_1250v2.xls"/>
    <hyperlink ref="C3" r:id="rId4"/>
    <hyperlink ref="B20" r:id="rId5"/>
    <hyperlink ref="D164" location="A185" display="A185"/>
    <hyperlink ref="E166" r:id="rId6"/>
    <hyperlink ref="G5" r:id="rId7"/>
    <hyperlink ref="B171" r:id="rId8"/>
  </hyperlinks>
  <printOptions horizontalCentered="1"/>
  <pageMargins left="0.75" right="0.75" top="0.75" bottom="0.75" header="0.5" footer="0.5"/>
  <pageSetup scale="83" fitToHeight="3" orientation="portrait" r:id="rId9"/>
  <headerFooter alignWithMargins="0">
    <oddHeader xml:space="preserve">&amp;CSpreadsheet by Agilent Technologies&amp;R </oddHeader>
    <oddFooter>&amp;L&amp;F tab &amp;A page &amp;P of &amp;N&amp;RPrinted &amp;T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AW69"/>
  <sheetViews>
    <sheetView showGridLines="0" showOutlineSymbols="0" zoomScale="70" zoomScaleNormal="70" workbookViewId="0">
      <pane ySplit="3570" topLeftCell="A27" activePane="bottomLeft"/>
      <selection activeCell="T5" sqref="T5"/>
      <selection pane="bottomLeft" activeCell="Q63" sqref="Q63"/>
    </sheetView>
  </sheetViews>
  <sheetFormatPr defaultColWidth="11.140625" defaultRowHeight="15.75"/>
  <cols>
    <col min="1" max="1" width="8.5703125" style="71" customWidth="1"/>
    <col min="2" max="2" width="8.28515625" style="13" customWidth="1"/>
    <col min="3" max="3" width="9.5703125" style="13" customWidth="1"/>
    <col min="4" max="4" width="6.85546875" style="13" bestFit="1" customWidth="1"/>
    <col min="5" max="5" width="6.28515625" style="13" customWidth="1"/>
    <col min="6" max="6" width="8.5703125" style="13" customWidth="1"/>
    <col min="7" max="7" width="9" style="13" customWidth="1"/>
    <col min="8" max="8" width="6.85546875" style="13" customWidth="1"/>
    <col min="9" max="9" width="5.7109375" style="13" customWidth="1"/>
    <col min="10" max="10" width="7.5703125" style="13" customWidth="1"/>
    <col min="11" max="11" width="7.28515625" style="13" customWidth="1"/>
    <col min="12" max="12" width="7.7109375" style="13" bestFit="1" customWidth="1"/>
    <col min="13" max="13" width="7.28515625" style="13" customWidth="1"/>
    <col min="14" max="14" width="6.5703125" style="13" customWidth="1"/>
    <col min="15" max="15" width="8.85546875" style="13" customWidth="1"/>
    <col min="16" max="16" width="9" style="13" customWidth="1"/>
    <col min="17" max="17" width="6.85546875" style="13" customWidth="1"/>
    <col min="18" max="18" width="8" style="98" customWidth="1"/>
    <col min="19" max="19" width="8" style="13" customWidth="1"/>
    <col min="20" max="20" width="7.7109375" style="95" customWidth="1"/>
    <col min="21" max="21" width="7.140625" style="95" customWidth="1"/>
    <col min="22" max="22" width="10.28515625" style="13" customWidth="1"/>
    <col min="23" max="23" width="7.140625" style="13" customWidth="1"/>
    <col min="24" max="24" width="8.140625" style="19" customWidth="1"/>
    <col min="25" max="25" width="8.85546875" style="19" customWidth="1"/>
    <col min="26" max="26" width="8.140625" style="13" customWidth="1"/>
    <col min="27" max="27" width="8.5703125" style="13" customWidth="1"/>
    <col min="28" max="28" width="9" style="13" customWidth="1"/>
    <col min="29" max="29" width="8.140625" style="13" customWidth="1"/>
    <col min="30" max="30" width="7.5703125" style="13" customWidth="1"/>
    <col min="31" max="31" width="8.5703125" style="13" customWidth="1"/>
    <col min="32" max="32" width="8.85546875" style="13" customWidth="1"/>
    <col min="33" max="33" width="9.5703125" style="13" bestFit="1" customWidth="1"/>
    <col min="34" max="34" width="8.5703125" style="13" customWidth="1"/>
    <col min="35" max="35" width="8" style="13" customWidth="1"/>
    <col min="36" max="36" width="9.140625" style="13" customWidth="1"/>
    <col min="37" max="37" width="9.28515625" style="13" customWidth="1"/>
    <col min="38" max="38" width="5.85546875" style="13" customWidth="1"/>
    <col min="39" max="39" width="6.140625" style="13" customWidth="1"/>
    <col min="40" max="40" width="5.5703125" style="13" customWidth="1"/>
    <col min="41" max="41" width="7.140625" style="13" customWidth="1"/>
    <col min="42" max="42" width="8.28515625" style="13" customWidth="1"/>
    <col min="43" max="43" width="8.7109375" style="13" customWidth="1"/>
    <col min="44" max="45" width="7.140625" style="13" bestFit="1" customWidth="1"/>
    <col min="46" max="46" width="9.5703125" style="13" bestFit="1" customWidth="1"/>
    <col min="47" max="48" width="5.85546875" style="13" bestFit="1" customWidth="1"/>
    <col min="49" max="49" width="9.5703125" style="13" bestFit="1" customWidth="1"/>
    <col min="50" max="16384" width="11.140625" style="13"/>
  </cols>
  <sheetData>
    <row r="1" spans="1:49" s="7" customFormat="1">
      <c r="A1" s="1" t="s">
        <v>0</v>
      </c>
      <c r="B1" s="2"/>
      <c r="C1" s="2"/>
      <c r="D1" s="2"/>
      <c r="E1" s="3"/>
      <c r="F1" s="3"/>
      <c r="G1" s="3"/>
      <c r="H1" s="3"/>
      <c r="I1" s="5"/>
      <c r="J1" s="5"/>
      <c r="K1" s="5"/>
      <c r="L1" s="5"/>
      <c r="M1" s="5"/>
      <c r="N1" s="4" t="s">
        <v>3</v>
      </c>
      <c r="O1" s="99" t="str">
        <f>'10GbE Notes'!G2</f>
        <v>3.2/3</v>
      </c>
      <c r="P1" s="5"/>
      <c r="Q1" s="6" t="s">
        <v>151</v>
      </c>
      <c r="R1" s="840" t="str">
        <f>'10GbE Notes'!A1</f>
        <v>10GEPBud3_1_16a.xls</v>
      </c>
      <c r="S1" s="841"/>
      <c r="T1" s="841"/>
      <c r="U1" s="841"/>
      <c r="V1" s="166" t="s">
        <v>12</v>
      </c>
      <c r="W1" s="838">
        <f>'10GbE Notes'!E2</f>
        <v>37181</v>
      </c>
      <c r="X1" s="839"/>
      <c r="AA1" s="133"/>
      <c r="AB1" s="26"/>
      <c r="AD1" s="191"/>
      <c r="AF1" s="123"/>
      <c r="AG1" s="314"/>
      <c r="AH1" s="5"/>
      <c r="AJ1" s="118" t="s">
        <v>298</v>
      </c>
      <c r="AK1" s="367">
        <f>MAX(MIN(B_1*Tb_eff*($G$9+1)/(SQRT(8)*AG9),10),-10)</f>
        <v>0.98272195508741189</v>
      </c>
    </row>
    <row r="2" spans="1:49">
      <c r="A2" s="114" t="s">
        <v>128</v>
      </c>
      <c r="B2" s="115" t="s">
        <v>6</v>
      </c>
      <c r="C2" s="109" t="s">
        <v>7</v>
      </c>
      <c r="D2" s="116"/>
      <c r="E2" s="5"/>
      <c r="F2" s="115" t="s">
        <v>132</v>
      </c>
      <c r="G2" s="243">
        <v>47.1</v>
      </c>
      <c r="H2" s="116" t="s">
        <v>10</v>
      </c>
      <c r="I2" s="341" t="s">
        <v>1</v>
      </c>
      <c r="J2" s="842" t="s">
        <v>149</v>
      </c>
      <c r="K2" s="842"/>
      <c r="L2" s="843" t="s">
        <v>2</v>
      </c>
      <c r="M2" s="844"/>
      <c r="N2" s="140"/>
      <c r="O2" s="6" t="s">
        <v>139</v>
      </c>
      <c r="P2" s="396">
        <v>0.4</v>
      </c>
      <c r="Q2" s="127" t="s">
        <v>140</v>
      </c>
      <c r="R2" s="107"/>
      <c r="T2" s="145" t="s">
        <v>11</v>
      </c>
      <c r="U2" s="146" t="str">
        <f>'10GbE Notes'!F16</f>
        <v>3.1.16a</v>
      </c>
      <c r="V2" s="61" t="s">
        <v>12</v>
      </c>
      <c r="W2" s="845">
        <f>'10GbE Notes'!D16</f>
        <v>37195</v>
      </c>
      <c r="X2" s="827"/>
      <c r="Y2" s="94"/>
      <c r="Z2" s="352"/>
      <c r="AA2" s="123"/>
      <c r="AB2" s="352"/>
      <c r="AC2" s="71"/>
      <c r="AD2" s="191"/>
      <c r="AE2" s="71"/>
      <c r="AF2" s="123"/>
      <c r="AG2" s="377"/>
      <c r="AH2" s="71"/>
      <c r="AI2" s="83"/>
      <c r="AJ2" s="118" t="s">
        <v>299</v>
      </c>
      <c r="AK2" s="368">
        <f>MAX(MIN(B_1*Tb_eff*(1-$G$9)/(SQRT(8)*AG9),10),-10)</f>
        <v>0.98272195508741189</v>
      </c>
    </row>
    <row r="3" spans="1:49" ht="15" customHeight="1">
      <c r="A3" s="117"/>
      <c r="B3" s="118" t="s">
        <v>28</v>
      </c>
      <c r="C3" s="16">
        <v>7.0369999999999999</v>
      </c>
      <c r="D3" s="119"/>
      <c r="E3" s="7"/>
      <c r="F3" s="118" t="s">
        <v>133</v>
      </c>
      <c r="G3" s="10">
        <f>G2*1.518</f>
        <v>71.497799999999998</v>
      </c>
      <c r="H3" s="122" t="s">
        <v>10</v>
      </c>
      <c r="I3" s="240" t="s">
        <v>99</v>
      </c>
      <c r="J3" s="5"/>
      <c r="K3" s="6" t="s">
        <v>8</v>
      </c>
      <c r="L3" s="130">
        <v>10</v>
      </c>
      <c r="M3" s="127" t="s">
        <v>9</v>
      </c>
      <c r="N3" s="149" t="s">
        <v>138</v>
      </c>
      <c r="O3" s="133" t="s">
        <v>141</v>
      </c>
      <c r="P3" s="287">
        <f>IF(Uc&lt;1000,850,1310)</f>
        <v>1310</v>
      </c>
      <c r="Q3" s="119" t="s">
        <v>125</v>
      </c>
      <c r="S3" s="365" t="s">
        <v>297</v>
      </c>
      <c r="T3" s="400">
        <v>-12.59</v>
      </c>
      <c r="U3" s="364" t="s">
        <v>117</v>
      </c>
      <c r="V3" s="167" t="s">
        <v>33</v>
      </c>
      <c r="W3" s="168">
        <f>AO39</f>
        <v>0.14608065357832789</v>
      </c>
      <c r="X3" s="127" t="s">
        <v>152</v>
      </c>
      <c r="Y3" s="94"/>
      <c r="AA3" s="33" t="s">
        <v>41</v>
      </c>
      <c r="AB3" s="21">
        <v>2.5630000000000002</v>
      </c>
      <c r="AC3" s="20" t="s">
        <v>30</v>
      </c>
      <c r="AD3" s="191"/>
      <c r="AE3" s="71"/>
      <c r="AF3" s="33" t="s">
        <v>31</v>
      </c>
      <c r="AG3" s="198">
        <f>B_1*Tb_eff/(SQRT(8)*$T$7)</f>
        <v>1.9355435652116739</v>
      </c>
      <c r="AH3" s="20" t="s">
        <v>30</v>
      </c>
      <c r="AI3" s="83"/>
      <c r="AJ3" s="123" t="s">
        <v>300</v>
      </c>
      <c r="AK3" s="368">
        <f>ERF(AK1)+ERF(AK2)-1</f>
        <v>0.67080767810038266</v>
      </c>
    </row>
    <row r="4" spans="1:49" ht="15" customHeight="1">
      <c r="A4" s="11"/>
      <c r="B4" s="120" t="s">
        <v>38</v>
      </c>
      <c r="C4" s="344">
        <v>10312.5</v>
      </c>
      <c r="D4" s="121" t="s">
        <v>39</v>
      </c>
      <c r="E4" s="7"/>
      <c r="F4" s="133" t="s">
        <v>131</v>
      </c>
      <c r="G4" s="381">
        <v>-130</v>
      </c>
      <c r="H4" s="165" t="s">
        <v>37</v>
      </c>
      <c r="I4" s="241" t="s">
        <v>135</v>
      </c>
      <c r="J4" s="7"/>
      <c r="K4" s="118" t="s">
        <v>17</v>
      </c>
      <c r="L4" s="128">
        <v>7.5</v>
      </c>
      <c r="M4" s="122" t="s">
        <v>9</v>
      </c>
      <c r="N4" s="117"/>
      <c r="O4" s="118" t="s">
        <v>18</v>
      </c>
      <c r="P4" s="345">
        <f>IF(Uc&gt;1000,$P$2/1.4846,$P$2/3.5)</f>
        <v>0.269432843863667</v>
      </c>
      <c r="Q4" s="119"/>
      <c r="R4" s="366" t="s">
        <v>57</v>
      </c>
      <c r="S4" s="8" t="s">
        <v>27</v>
      </c>
      <c r="T4" s="111">
        <v>-12</v>
      </c>
      <c r="U4" s="137" t="s">
        <v>23</v>
      </c>
      <c r="V4" s="169" t="s">
        <v>147</v>
      </c>
      <c r="W4" s="28"/>
      <c r="X4" s="208" t="str">
        <f>$L$3&amp;" km"</f>
        <v>10 km</v>
      </c>
      <c r="Y4" s="93"/>
      <c r="AA4" s="123" t="s">
        <v>24</v>
      </c>
      <c r="AB4" s="199">
        <f>0.7*$P$8*$C$7</f>
        <v>1.3019999999999999E-2</v>
      </c>
      <c r="AC4" s="8" t="s">
        <v>14</v>
      </c>
      <c r="AD4" s="67"/>
      <c r="AE4" s="71"/>
      <c r="AF4" s="33" t="s">
        <v>34</v>
      </c>
      <c r="AG4" s="65">
        <f>IF(ABS($AG$3)&lt;10,SIGN($AG$3)*ERF(ABS($AG$3)),SIGN($AG$3))</f>
        <v>0.99380489399369665</v>
      </c>
      <c r="AH4" s="20" t="s">
        <v>30</v>
      </c>
      <c r="AI4" s="83"/>
      <c r="AJ4" s="123" t="s">
        <v>301</v>
      </c>
      <c r="AK4" s="367">
        <f>AK3*(1-2*$L$10*10^(-$C17/10)*$AB$5*SQRT(2*ER*(AK3*(ER-1)+ER+1))/(AK3*(ER-1)))</f>
        <v>0.52016076708191028</v>
      </c>
    </row>
    <row r="5" spans="1:49" ht="15" customHeight="1">
      <c r="A5" s="114" t="s">
        <v>129</v>
      </c>
      <c r="B5" s="7"/>
      <c r="C5" s="7"/>
      <c r="D5" s="7"/>
      <c r="E5" s="7"/>
      <c r="F5" s="118" t="s">
        <v>42</v>
      </c>
      <c r="G5" s="108">
        <f>G4-2*C11</f>
        <v>-137.32059991327961</v>
      </c>
      <c r="H5" s="124" t="s">
        <v>37</v>
      </c>
      <c r="I5" s="242" t="s">
        <v>136</v>
      </c>
      <c r="J5" s="107"/>
      <c r="K5" s="120" t="s">
        <v>21</v>
      </c>
      <c r="L5" s="131">
        <v>0.25</v>
      </c>
      <c r="M5" s="132" t="s">
        <v>9</v>
      </c>
      <c r="N5" s="117"/>
      <c r="O5" s="113" t="s">
        <v>139</v>
      </c>
      <c r="P5" s="15">
        <f>$P$4*((1/(0.00094*Uc)^4)+1.05)</f>
        <v>0.41982134908628371</v>
      </c>
      <c r="Q5" s="119" t="s">
        <v>140</v>
      </c>
      <c r="R5" s="151"/>
      <c r="S5" s="113" t="s">
        <v>43</v>
      </c>
      <c r="T5" s="135">
        <v>7725</v>
      </c>
      <c r="U5" s="122" t="s">
        <v>44</v>
      </c>
      <c r="V5" s="405" t="s">
        <v>271</v>
      </c>
      <c r="W5" s="406">
        <v>7500</v>
      </c>
      <c r="X5" s="407" t="s">
        <v>44</v>
      </c>
      <c r="Y5" s="93"/>
      <c r="AA5" s="281" t="s">
        <v>4</v>
      </c>
      <c r="AB5" s="284">
        <f>10^(($G$12+$T$4)/20)</f>
        <v>6.3095734448019317E-2</v>
      </c>
      <c r="AC5" s="285" t="s">
        <v>5</v>
      </c>
      <c r="AD5" s="64"/>
      <c r="AE5" s="71"/>
      <c r="AF5" s="194" t="s">
        <v>48</v>
      </c>
      <c r="AG5" s="22">
        <f>ERF(MAX(MIN(B_1*Tb_eff*($L$13+1)/(SQRT(8)*$T$7),10),-10))+ERF(MAX(MIN(B_1*Tb_eff*(1-$L$13)/(SQRT(8)*$T$7),10),-10))-1</f>
        <v>0.96783955944426547</v>
      </c>
      <c r="AH5" s="193" t="s">
        <v>30</v>
      </c>
      <c r="AI5" s="83"/>
    </row>
    <row r="6" spans="1:49" ht="15" customHeight="1">
      <c r="A6" s="117"/>
      <c r="B6" s="118" t="s">
        <v>137</v>
      </c>
      <c r="C6" s="342">
        <v>1260</v>
      </c>
      <c r="D6" s="8" t="s">
        <v>125</v>
      </c>
      <c r="E6" s="7"/>
      <c r="F6" s="118" t="s">
        <v>26</v>
      </c>
      <c r="G6" s="16">
        <v>0.7</v>
      </c>
      <c r="H6" s="119"/>
      <c r="I6" s="7"/>
      <c r="J6" s="7"/>
      <c r="K6" s="113" t="s">
        <v>134</v>
      </c>
      <c r="L6" s="345">
        <f>C8-T3</f>
        <v>9.39</v>
      </c>
      <c r="M6" s="136" t="s">
        <v>23</v>
      </c>
      <c r="N6" s="117"/>
      <c r="O6" s="133" t="s">
        <v>141</v>
      </c>
      <c r="P6" s="7">
        <f>Uc</f>
        <v>1260</v>
      </c>
      <c r="Q6" s="119" t="s">
        <v>125</v>
      </c>
      <c r="R6" s="152"/>
      <c r="S6" s="133" t="s">
        <v>51</v>
      </c>
      <c r="T6" s="26">
        <v>329</v>
      </c>
      <c r="U6" s="158" t="s">
        <v>46</v>
      </c>
      <c r="V6" s="402"/>
      <c r="W6" s="403"/>
      <c r="X6" s="404"/>
      <c r="Y6" s="93"/>
      <c r="AA6" s="195" t="s">
        <v>13</v>
      </c>
      <c r="AB6" s="196">
        <f>10^(C9/10)</f>
        <v>2.5118332385550626</v>
      </c>
      <c r="AC6" s="197" t="s">
        <v>5</v>
      </c>
      <c r="AD6" s="20"/>
      <c r="AF6" s="279" t="s">
        <v>277</v>
      </c>
      <c r="AG6" s="286">
        <f>kRIN*10^6*$AK$7*$AK$7/SQRT((1/F17)^2+(1/G17)^2+0.477*(1/$W$5)^2)*10^($G$4/10)</f>
        <v>7.6015141476665714E-4</v>
      </c>
      <c r="AH6" s="287" t="s">
        <v>367</v>
      </c>
      <c r="AI6" s="83"/>
    </row>
    <row r="7" spans="1:49" ht="15" customHeight="1">
      <c r="A7" s="117"/>
      <c r="B7" s="410" t="s">
        <v>406</v>
      </c>
      <c r="C7" s="277">
        <v>0.2</v>
      </c>
      <c r="D7" s="8" t="s">
        <v>125</v>
      </c>
      <c r="E7" s="7"/>
      <c r="F7" s="279" t="s">
        <v>25</v>
      </c>
      <c r="G7" s="382">
        <f>G8</f>
        <v>6</v>
      </c>
      <c r="H7" s="280" t="str">
        <f>IF(G9&lt;0,"should not be &lt; DCD!","ps inc. DCD")</f>
        <v>ps inc. DCD</v>
      </c>
      <c r="I7" s="7"/>
      <c r="J7" s="7"/>
      <c r="K7" s="125" t="s">
        <v>143</v>
      </c>
      <c r="L7" s="343">
        <v>2</v>
      </c>
      <c r="M7" s="136" t="s">
        <v>23</v>
      </c>
      <c r="N7" s="117"/>
      <c r="O7" s="113" t="s">
        <v>124</v>
      </c>
      <c r="P7" s="111">
        <v>1324</v>
      </c>
      <c r="Q7" s="119" t="s">
        <v>125</v>
      </c>
      <c r="R7" s="152"/>
      <c r="S7" s="133" t="s">
        <v>47</v>
      </c>
      <c r="T7" s="108">
        <f>T6*1000/$T$5</f>
        <v>42.588996763754047</v>
      </c>
      <c r="U7" s="119" t="s">
        <v>10</v>
      </c>
      <c r="V7" s="371" t="s">
        <v>122</v>
      </c>
      <c r="W7" s="7"/>
      <c r="X7" s="160"/>
      <c r="Y7" s="93"/>
      <c r="AA7" s="195" t="s">
        <v>19</v>
      </c>
      <c r="AB7" s="196">
        <f>(ER+1)/(ER-1)</f>
        <v>2.3228972276806825</v>
      </c>
      <c r="AC7" s="197" t="s">
        <v>5</v>
      </c>
      <c r="AD7" s="20"/>
      <c r="AF7" s="281" t="s">
        <v>106</v>
      </c>
      <c r="AG7" s="288">
        <f>(1-10^(-Pmn/5))/(Q*Q)</f>
        <v>0</v>
      </c>
      <c r="AH7" s="289" t="s">
        <v>105</v>
      </c>
      <c r="AI7" s="71"/>
      <c r="AJ7" s="123" t="s">
        <v>306</v>
      </c>
      <c r="AK7" s="388">
        <v>1</v>
      </c>
    </row>
    <row r="8" spans="1:49" ht="15" customHeight="1">
      <c r="A8" s="117"/>
      <c r="B8" s="133" t="s">
        <v>121</v>
      </c>
      <c r="C8" s="401">
        <v>-3.2</v>
      </c>
      <c r="D8" s="7" t="s">
        <v>117</v>
      </c>
      <c r="E8" s="7"/>
      <c r="F8" s="113" t="s">
        <v>40</v>
      </c>
      <c r="G8" s="278">
        <f>8-2</f>
        <v>6</v>
      </c>
      <c r="H8" s="302" t="s">
        <v>358</v>
      </c>
      <c r="I8" s="7"/>
      <c r="J8" s="7"/>
      <c r="K8" s="24" t="s">
        <v>29</v>
      </c>
      <c r="L8" s="8">
        <f>$L$6-$L$7</f>
        <v>7.3900000000000006</v>
      </c>
      <c r="M8" s="136" t="s">
        <v>23</v>
      </c>
      <c r="N8" s="100"/>
      <c r="O8" s="113" t="s">
        <v>357</v>
      </c>
      <c r="P8" s="111">
        <v>9.2999999999999999E-2</v>
      </c>
      <c r="Q8" s="119" t="s">
        <v>146</v>
      </c>
      <c r="R8" s="152"/>
      <c r="S8" s="317" t="s">
        <v>282</v>
      </c>
      <c r="T8" s="153">
        <f>$G$14*10^6/$C$4</f>
        <v>19.393939393939387</v>
      </c>
      <c r="U8" s="119" t="s">
        <v>10</v>
      </c>
      <c r="V8" s="149" t="s">
        <v>148</v>
      </c>
      <c r="W8" s="112">
        <v>6</v>
      </c>
      <c r="X8" s="119" t="s">
        <v>23</v>
      </c>
      <c r="Y8" s="93"/>
      <c r="AA8" s="133" t="s">
        <v>153</v>
      </c>
      <c r="AB8" s="15">
        <f>10*LOG10((1+10^(-($W$8/10)))/(1-10^(-($W$8/10))))</f>
        <v>2.2295037120051053</v>
      </c>
      <c r="AC8" s="7" t="s">
        <v>23</v>
      </c>
      <c r="AD8" s="20"/>
      <c r="AE8" s="71"/>
      <c r="AF8" s="133" t="s">
        <v>272</v>
      </c>
      <c r="AG8" s="108">
        <f>$T$6*1000/$W$5</f>
        <v>43.866666666666667</v>
      </c>
      <c r="AH8" s="7" t="s">
        <v>10</v>
      </c>
      <c r="AI8" s="315" t="s">
        <v>287</v>
      </c>
      <c r="AJ8" s="323">
        <v>0.5</v>
      </c>
      <c r="AK8" s="324">
        <f>0.5+0.5*10^-0.36</f>
        <v>0.71825791612008294</v>
      </c>
      <c r="AN8" s="96"/>
      <c r="AO8" s="14"/>
    </row>
    <row r="9" spans="1:49" ht="15" customHeight="1">
      <c r="A9" s="117"/>
      <c r="B9" s="118" t="s">
        <v>120</v>
      </c>
      <c r="C9" s="15">
        <f>10*LOG10((2*AB12+AB11)/(2*AB12-AB11))</f>
        <v>3.9999080306699364</v>
      </c>
      <c r="D9" s="8" t="s">
        <v>23</v>
      </c>
      <c r="E9" s="7"/>
      <c r="F9" s="281" t="s">
        <v>130</v>
      </c>
      <c r="G9" s="282">
        <f>(10^-6)*($G$7-$G$8)*$L$11</f>
        <v>0</v>
      </c>
      <c r="H9" s="283" t="s">
        <v>123</v>
      </c>
      <c r="I9" s="7"/>
      <c r="J9" s="7"/>
      <c r="K9" s="118" t="s">
        <v>45</v>
      </c>
      <c r="L9" s="129">
        <v>480</v>
      </c>
      <c r="M9" s="7" t="s">
        <v>46</v>
      </c>
      <c r="N9" s="117"/>
      <c r="O9" s="118" t="s">
        <v>356</v>
      </c>
      <c r="P9" s="15">
        <f>0.25*$P$8*Uc*(1-(Uo/Uc)^4)</f>
        <v>-6.4210368427695634</v>
      </c>
      <c r="Q9" s="124" t="s">
        <v>14</v>
      </c>
      <c r="R9" s="152"/>
      <c r="S9" s="317" t="s">
        <v>280</v>
      </c>
      <c r="U9" s="158" t="s">
        <v>281</v>
      </c>
      <c r="V9" s="316" t="s">
        <v>279</v>
      </c>
      <c r="W9" s="15">
        <f>10*LOG10((1+10^(-($W$8/10)))/(1-10^(-($W$8/10))))</f>
        <v>2.2295037120051053</v>
      </c>
      <c r="X9" s="119" t="s">
        <v>20</v>
      </c>
      <c r="Y9" s="93"/>
      <c r="AA9" s="378" t="s">
        <v>363</v>
      </c>
      <c r="AB9" s="196">
        <f>$C$11-$AB$8</f>
        <v>1.4307962446347013</v>
      </c>
      <c r="AC9" s="196" t="s">
        <v>20</v>
      </c>
      <c r="AD9" s="193"/>
      <c r="AE9" s="71"/>
      <c r="AF9" s="71" t="s">
        <v>273</v>
      </c>
      <c r="AG9" s="372">
        <f>SQRT($H$17^2+$AG$8^2)</f>
        <v>83.882178685600493</v>
      </c>
      <c r="AH9" s="7" t="s">
        <v>10</v>
      </c>
      <c r="AI9" s="11"/>
      <c r="AJ9" s="28">
        <v>0.5</v>
      </c>
      <c r="AK9" s="325">
        <f>0.5-0.5*10^-0.36</f>
        <v>0.28174208387991706</v>
      </c>
      <c r="AM9" s="96"/>
      <c r="AN9" s="96"/>
      <c r="AO9" s="14"/>
    </row>
    <row r="10" spans="1:49" ht="15" customHeight="1">
      <c r="A10" s="117"/>
      <c r="B10" s="125" t="s">
        <v>118</v>
      </c>
      <c r="C10" s="110">
        <f>MIN(C8+0.65,0.5)</f>
        <v>-2.5500000000000003</v>
      </c>
      <c r="D10" s="7" t="s">
        <v>117</v>
      </c>
      <c r="E10" s="7"/>
      <c r="F10" s="118" t="s">
        <v>49</v>
      </c>
      <c r="G10" s="111">
        <v>0</v>
      </c>
      <c r="H10" s="119"/>
      <c r="I10" s="7"/>
      <c r="J10" s="7"/>
      <c r="K10" s="25" t="s">
        <v>127</v>
      </c>
      <c r="L10" s="141">
        <v>0.6</v>
      </c>
      <c r="M10" s="137" t="s">
        <v>30</v>
      </c>
      <c r="N10" s="117"/>
      <c r="O10" s="9"/>
      <c r="P10" s="9"/>
      <c r="Q10" s="105"/>
      <c r="R10" s="152"/>
      <c r="S10" s="24" t="s">
        <v>145</v>
      </c>
      <c r="T10" s="313">
        <v>2.5000000000000001E-2</v>
      </c>
      <c r="U10" s="159" t="s">
        <v>55</v>
      </c>
      <c r="V10" s="117"/>
      <c r="W10" s="7"/>
      <c r="X10" s="160"/>
      <c r="Y10" s="93"/>
      <c r="AD10" s="193"/>
      <c r="AE10" s="71"/>
      <c r="AF10" s="123" t="s">
        <v>274</v>
      </c>
      <c r="AG10" s="314">
        <f>MAX(MIN(B_1*Tb_eff*($G$14*$Y$44+$G$9+1)/(SQRT(8)*$AG$9),10),-10)</f>
        <v>1.1922296337203044</v>
      </c>
      <c r="AH10" s="71"/>
      <c r="AI10" s="71"/>
      <c r="AJ10" s="133"/>
      <c r="AK10" s="108"/>
      <c r="AL10" s="7"/>
      <c r="AM10" s="96"/>
      <c r="AN10" s="96"/>
      <c r="AO10" s="14"/>
    </row>
    <row r="11" spans="1:49" ht="15" customHeight="1">
      <c r="A11" s="117"/>
      <c r="B11" s="195" t="s">
        <v>119</v>
      </c>
      <c r="C11" s="196">
        <f>10*LOG10(AB7)</f>
        <v>3.6602999566398067</v>
      </c>
      <c r="D11" s="7" t="s">
        <v>20</v>
      </c>
      <c r="E11" s="7"/>
      <c r="F11" s="281" t="s">
        <v>50</v>
      </c>
      <c r="G11" s="386">
        <f>$AG$12-2.519*SQRT($AG$6)</f>
        <v>0.56458730173013105</v>
      </c>
      <c r="H11" s="106"/>
      <c r="I11" s="7"/>
      <c r="J11" s="7"/>
      <c r="K11" s="125" t="s">
        <v>142</v>
      </c>
      <c r="L11" s="10">
        <f>1/((1/$C$4)-$G$8*10^-6)</f>
        <v>10992.671552298467</v>
      </c>
      <c r="M11" s="8" t="s">
        <v>39</v>
      </c>
      <c r="N11" s="117"/>
      <c r="O11" s="125" t="str">
        <f>IF(L2="SMF","PolMD DGDmax","(not in use)")</f>
        <v>PolMD DGDmax</v>
      </c>
      <c r="P11" s="111">
        <v>10</v>
      </c>
      <c r="Q11" s="170" t="str">
        <f>IF(L2="SMF","ps at target "&amp;L3&amp;M3,"")</f>
        <v>ps at target 10km</v>
      </c>
      <c r="R11" s="152"/>
      <c r="S11" s="7"/>
      <c r="T11" s="7"/>
      <c r="U11" s="155"/>
      <c r="V11" s="423" t="s">
        <v>362</v>
      </c>
      <c r="W11" s="264">
        <f>-10*LOG10(ERF(AQ39)+ERF(AR39) - 1)</f>
        <v>2.2402782575641651</v>
      </c>
      <c r="X11" s="132" t="s">
        <v>20</v>
      </c>
      <c r="Y11" s="93"/>
      <c r="AA11" s="133" t="s">
        <v>290</v>
      </c>
      <c r="AB11" s="10">
        <f>10^(($C$8/10)+3)</f>
        <v>478.63009232263886</v>
      </c>
      <c r="AC11" s="7" t="s">
        <v>36</v>
      </c>
      <c r="AD11" s="193"/>
      <c r="AE11" s="71"/>
      <c r="AF11" s="123" t="s">
        <v>275</v>
      </c>
      <c r="AG11" s="314">
        <f>MAX(MIN(B_1*Tb_eff*(1-$G$14*$Y$44-$G$9)/(SQRT(8)*$AG$9),10),-10)</f>
        <v>0.77321427645451946</v>
      </c>
      <c r="AH11" s="71"/>
      <c r="AI11" s="71"/>
      <c r="AJ11" s="123"/>
      <c r="AK11" s="372"/>
      <c r="AL11" s="7"/>
      <c r="AM11" s="96"/>
      <c r="AN11" s="96"/>
      <c r="AO11" s="14"/>
    </row>
    <row r="12" spans="1:49" ht="15" customHeight="1">
      <c r="A12" s="117" t="s">
        <v>250</v>
      </c>
      <c r="B12" s="7" t="s">
        <v>251</v>
      </c>
      <c r="C12" s="26">
        <v>0.3</v>
      </c>
      <c r="D12" s="7" t="s">
        <v>116</v>
      </c>
      <c r="E12" s="7"/>
      <c r="F12" s="8" t="s">
        <v>22</v>
      </c>
      <c r="G12" s="111">
        <v>-12</v>
      </c>
      <c r="H12" s="124" t="s">
        <v>23</v>
      </c>
      <c r="I12" s="7"/>
      <c r="J12" s="7"/>
      <c r="K12" s="118" t="s">
        <v>108</v>
      </c>
      <c r="L12" s="10">
        <f>1000000/$L$11</f>
        <v>90.969696969696983</v>
      </c>
      <c r="M12" s="7" t="s">
        <v>10</v>
      </c>
      <c r="N12" s="117"/>
      <c r="O12" s="113" t="s">
        <v>15</v>
      </c>
      <c r="P12" s="134">
        <v>1000000</v>
      </c>
      <c r="Q12" s="312" t="s">
        <v>16</v>
      </c>
      <c r="R12" s="152"/>
      <c r="S12" s="150" t="s">
        <v>144</v>
      </c>
      <c r="T12" s="18">
        <f>10*LOG10(1/SQRT(1-(Q*SD_blw)^2))</f>
        <v>6.8268186831347694E-2</v>
      </c>
      <c r="U12" s="154" t="s">
        <v>23</v>
      </c>
      <c r="X12" s="418" t="s">
        <v>52</v>
      </c>
      <c r="Y12" s="67"/>
      <c r="AA12" s="91" t="s">
        <v>35</v>
      </c>
      <c r="AB12" s="192">
        <f>1000*10^(C10/10)</f>
        <v>555.90425727040349</v>
      </c>
      <c r="AC12" s="83" t="s">
        <v>36</v>
      </c>
      <c r="AD12" s="71"/>
      <c r="AE12" s="71"/>
      <c r="AF12" s="123" t="s">
        <v>276</v>
      </c>
      <c r="AG12" s="314">
        <f>ERF(AG10)+ERF(AG11)-1</f>
        <v>0.63403825666492786</v>
      </c>
      <c r="AH12" s="71"/>
      <c r="AI12" s="71"/>
      <c r="AJ12" s="118"/>
      <c r="AK12" s="367"/>
      <c r="AL12" s="9"/>
      <c r="AM12" s="96"/>
      <c r="AN12" s="96"/>
      <c r="AO12" s="14"/>
    </row>
    <row r="13" spans="1:49" ht="15" customHeight="1">
      <c r="A13" s="117"/>
      <c r="B13" s="7" t="s">
        <v>252</v>
      </c>
      <c r="C13" s="26">
        <v>0.4</v>
      </c>
      <c r="D13" s="7" t="s">
        <v>116</v>
      </c>
      <c r="E13" s="7"/>
      <c r="F13" s="24" t="s">
        <v>173</v>
      </c>
      <c r="G13" s="111">
        <v>0</v>
      </c>
      <c r="H13" s="122" t="s">
        <v>23</v>
      </c>
      <c r="I13" s="107"/>
      <c r="J13" s="107"/>
      <c r="K13" s="120" t="s">
        <v>150</v>
      </c>
      <c r="L13" s="29">
        <f>(10^-6)*$T$8*$L$11</f>
        <v>0.21319120586275805</v>
      </c>
      <c r="M13" s="239" t="s">
        <v>116</v>
      </c>
      <c r="N13" s="11"/>
      <c r="O13" s="138" t="s">
        <v>32</v>
      </c>
      <c r="P13" s="139">
        <f>IF(L2="SMF",1000000*L3/(3*P11),P12)</f>
        <v>333333.33333333331</v>
      </c>
      <c r="Q13" s="132" t="s">
        <v>16</v>
      </c>
      <c r="R13" s="156"/>
      <c r="S13" s="143" t="s">
        <v>56</v>
      </c>
      <c r="T13" s="30">
        <f>10*LOG10(1/SQRT(1-(Q*SD_blw/$AG$5)^2))</f>
        <v>7.2958879666842336E-2</v>
      </c>
      <c r="U13" s="144" t="s">
        <v>23</v>
      </c>
      <c r="V13" s="28"/>
      <c r="W13" s="379"/>
      <c r="X13" s="419" t="s">
        <v>296</v>
      </c>
      <c r="Y13" s="337"/>
      <c r="Z13" s="323"/>
      <c r="AA13" s="338" t="s">
        <v>54</v>
      </c>
      <c r="AB13" s="339" t="s">
        <v>53</v>
      </c>
      <c r="AC13" s="339" t="s">
        <v>54</v>
      </c>
      <c r="AD13" s="339" t="s">
        <v>112</v>
      </c>
      <c r="AE13" s="323"/>
      <c r="AF13" s="323"/>
      <c r="AG13" s="817" t="s">
        <v>61</v>
      </c>
      <c r="AH13" s="818"/>
      <c r="AJ13" s="118"/>
      <c r="AK13" s="368"/>
      <c r="AL13" s="9"/>
      <c r="AM13" s="96"/>
      <c r="AN13" s="96"/>
      <c r="AO13" s="14"/>
    </row>
    <row r="14" spans="1:49" ht="15" customHeight="1">
      <c r="A14" s="11"/>
      <c r="B14" s="107" t="s">
        <v>253</v>
      </c>
      <c r="C14" s="82">
        <v>0.25</v>
      </c>
      <c r="D14" s="107"/>
      <c r="E14" s="157"/>
      <c r="F14" s="145" t="s">
        <v>115</v>
      </c>
      <c r="G14" s="107">
        <f>2*(0.5-$C$13)</f>
        <v>0.19999999999999996</v>
      </c>
      <c r="H14" s="132" t="s">
        <v>116</v>
      </c>
      <c r="I14" s="93"/>
      <c r="J14" s="31" t="s">
        <v>58</v>
      </c>
      <c r="K14" s="244" t="s">
        <v>254</v>
      </c>
      <c r="L14" s="253" t="s">
        <v>107</v>
      </c>
      <c r="M14" s="254" t="s">
        <v>107</v>
      </c>
      <c r="N14" s="346" t="s">
        <v>294</v>
      </c>
      <c r="O14" s="356"/>
      <c r="P14" s="356"/>
      <c r="Q14" s="356"/>
      <c r="R14" s="357"/>
      <c r="S14" s="31" t="s">
        <v>74</v>
      </c>
      <c r="T14" s="202" t="s">
        <v>75</v>
      </c>
      <c r="U14" s="267" t="s">
        <v>293</v>
      </c>
      <c r="V14" s="31" t="s">
        <v>77</v>
      </c>
      <c r="W14" s="350"/>
      <c r="X14" s="420" t="s">
        <v>223</v>
      </c>
      <c r="Y14" s="358"/>
      <c r="Z14" s="352"/>
      <c r="AA14" s="290" t="s">
        <v>295</v>
      </c>
      <c r="AB14" s="27" t="s">
        <v>59</v>
      </c>
      <c r="AC14" s="27" t="s">
        <v>60</v>
      </c>
      <c r="AD14" s="27" t="s">
        <v>113</v>
      </c>
      <c r="AE14" s="100" t="s">
        <v>114</v>
      </c>
      <c r="AF14" s="19"/>
      <c r="AG14" s="100"/>
      <c r="AH14" s="9"/>
      <c r="AI14" s="100" t="s">
        <v>111</v>
      </c>
      <c r="AL14" s="9"/>
      <c r="AM14" s="96" t="s">
        <v>283</v>
      </c>
      <c r="AN14" s="340" t="s">
        <v>99</v>
      </c>
      <c r="AO14" s="14"/>
      <c r="AP14" s="327" t="s">
        <v>68</v>
      </c>
      <c r="AQ14" s="329" t="s">
        <v>361</v>
      </c>
    </row>
    <row r="15" spans="1:49" s="352" customFormat="1" ht="15" customHeight="1">
      <c r="A15" s="161" t="s">
        <v>62</v>
      </c>
      <c r="B15" s="61" t="s">
        <v>69</v>
      </c>
      <c r="C15" s="200" t="s">
        <v>76</v>
      </c>
      <c r="D15" s="67" t="s">
        <v>63</v>
      </c>
      <c r="E15" s="67" t="s">
        <v>64</v>
      </c>
      <c r="F15" s="163" t="s">
        <v>65</v>
      </c>
      <c r="G15" s="347" t="s">
        <v>66</v>
      </c>
      <c r="H15" s="67" t="s">
        <v>67</v>
      </c>
      <c r="I15" s="67" t="s">
        <v>68</v>
      </c>
      <c r="J15" s="348" t="s">
        <v>79</v>
      </c>
      <c r="K15" s="244" t="s">
        <v>59</v>
      </c>
      <c r="L15" s="255" t="s">
        <v>79</v>
      </c>
      <c r="M15" s="256" t="s">
        <v>59</v>
      </c>
      <c r="N15" s="255" t="s">
        <v>79</v>
      </c>
      <c r="O15" s="67" t="s">
        <v>70</v>
      </c>
      <c r="P15" s="61" t="s">
        <v>71</v>
      </c>
      <c r="Q15" s="61" t="s">
        <v>72</v>
      </c>
      <c r="R15" s="264" t="s">
        <v>73</v>
      </c>
      <c r="S15" s="348" t="s">
        <v>79</v>
      </c>
      <c r="T15" s="274" t="s">
        <v>79</v>
      </c>
      <c r="U15" s="268" t="s">
        <v>59</v>
      </c>
      <c r="V15" s="255" t="s">
        <v>79</v>
      </c>
      <c r="W15" s="349" t="s">
        <v>33</v>
      </c>
      <c r="X15" s="421" t="s">
        <v>79</v>
      </c>
      <c r="Y15" s="32" t="s">
        <v>85</v>
      </c>
      <c r="Z15" s="33" t="s">
        <v>104</v>
      </c>
      <c r="AA15" s="290" t="s">
        <v>81</v>
      </c>
      <c r="AB15" s="27" t="s">
        <v>80</v>
      </c>
      <c r="AC15" s="27" t="s">
        <v>81</v>
      </c>
      <c r="AD15" s="27" t="s">
        <v>79</v>
      </c>
      <c r="AE15" s="101" t="s">
        <v>86</v>
      </c>
      <c r="AF15" s="17" t="s">
        <v>87</v>
      </c>
      <c r="AG15" s="101" t="s">
        <v>88</v>
      </c>
      <c r="AH15" s="23" t="s">
        <v>89</v>
      </c>
      <c r="AI15" s="101" t="s">
        <v>109</v>
      </c>
      <c r="AJ15" s="17" t="s">
        <v>110</v>
      </c>
      <c r="AK15" s="296" t="s">
        <v>78</v>
      </c>
      <c r="AL15" s="350" t="s">
        <v>82</v>
      </c>
      <c r="AM15" s="183" t="s">
        <v>83</v>
      </c>
      <c r="AN15" s="351"/>
      <c r="AO15" s="318" t="s">
        <v>84</v>
      </c>
      <c r="AP15" s="329" t="s">
        <v>284</v>
      </c>
      <c r="AQ15" s="328" t="s">
        <v>359</v>
      </c>
      <c r="AR15" s="328" t="s">
        <v>360</v>
      </c>
      <c r="AS15" s="13"/>
      <c r="AT15" s="13"/>
      <c r="AU15" s="13"/>
      <c r="AV15" s="13"/>
      <c r="AW15" s="13"/>
    </row>
    <row r="16" spans="1:49" s="354" customFormat="1" ht="15" customHeight="1">
      <c r="A16" s="162" t="s">
        <v>90</v>
      </c>
      <c r="B16" s="157" t="s">
        <v>93</v>
      </c>
      <c r="C16" s="201" t="s">
        <v>93</v>
      </c>
      <c r="D16" s="147" t="s">
        <v>126</v>
      </c>
      <c r="E16" s="147" t="s">
        <v>126</v>
      </c>
      <c r="F16" s="164" t="s">
        <v>91</v>
      </c>
      <c r="G16" s="164" t="s">
        <v>91</v>
      </c>
      <c r="H16" s="147" t="s">
        <v>92</v>
      </c>
      <c r="I16" s="147" t="s">
        <v>92</v>
      </c>
      <c r="J16" s="12" t="s">
        <v>96</v>
      </c>
      <c r="K16" s="245" t="s">
        <v>93</v>
      </c>
      <c r="L16" s="257" t="s">
        <v>93</v>
      </c>
      <c r="M16" s="258" t="s">
        <v>93</v>
      </c>
      <c r="N16" s="257" t="s">
        <v>93</v>
      </c>
      <c r="O16" s="147"/>
      <c r="P16" s="157"/>
      <c r="Q16" s="157" t="s">
        <v>93</v>
      </c>
      <c r="R16" s="257" t="s">
        <v>93</v>
      </c>
      <c r="S16" s="157" t="s">
        <v>93</v>
      </c>
      <c r="T16" s="203" t="s">
        <v>93</v>
      </c>
      <c r="U16" s="269" t="s">
        <v>94</v>
      </c>
      <c r="V16" s="157" t="s">
        <v>94</v>
      </c>
      <c r="W16" s="171" t="s">
        <v>93</v>
      </c>
      <c r="X16" s="142" t="s">
        <v>95</v>
      </c>
      <c r="Y16" s="37" t="s">
        <v>97</v>
      </c>
      <c r="Z16" s="38" t="s">
        <v>97</v>
      </c>
      <c r="AA16" s="291" t="s">
        <v>97</v>
      </c>
      <c r="AB16" s="34" t="s">
        <v>97</v>
      </c>
      <c r="AC16" s="34" t="s">
        <v>97</v>
      </c>
      <c r="AD16" s="34" t="s">
        <v>97</v>
      </c>
      <c r="AE16" s="102" t="s">
        <v>97</v>
      </c>
      <c r="AF16" s="38" t="s">
        <v>97</v>
      </c>
      <c r="AG16" s="102" t="s">
        <v>97</v>
      </c>
      <c r="AH16" s="38" t="s">
        <v>97</v>
      </c>
      <c r="AI16" s="102" t="s">
        <v>97</v>
      </c>
      <c r="AJ16" s="38" t="s">
        <v>97</v>
      </c>
      <c r="AK16" s="297"/>
      <c r="AL16" s="353" t="s">
        <v>93</v>
      </c>
      <c r="AM16" s="35" t="s">
        <v>98</v>
      </c>
      <c r="AN16" s="354" t="s">
        <v>93</v>
      </c>
      <c r="AO16" s="36" t="s">
        <v>100</v>
      </c>
      <c r="AP16" s="330" t="s">
        <v>92</v>
      </c>
      <c r="AQ16" s="331" t="s">
        <v>97</v>
      </c>
      <c r="AR16" s="331" t="s">
        <v>97</v>
      </c>
      <c r="AS16" s="28"/>
      <c r="AT16" s="28"/>
      <c r="AU16" s="28"/>
      <c r="AV16" s="28"/>
      <c r="AW16" s="28"/>
    </row>
    <row r="17" spans="1:44" s="3" customFormat="1" ht="15" customHeight="1">
      <c r="A17" s="39">
        <v>2E-3</v>
      </c>
      <c r="B17" s="41">
        <f t="shared" ref="B17:B38" si="0">A17*$P$4*((1/(0.00094*Uc)^4)+1.05)</f>
        <v>8.3964269817256743E-4</v>
      </c>
      <c r="C17" s="41">
        <f t="shared" ref="C17:C38" si="1">$L$7+B17</f>
        <v>2.0008396426981725</v>
      </c>
      <c r="D17" s="172">
        <f t="shared" ref="D17:D38" si="2">A17*$P$9</f>
        <v>-1.2842073685539128E-2</v>
      </c>
      <c r="E17" s="41">
        <f t="shared" ref="E17:E38" si="3">A17*$AB$4</f>
        <v>2.6039999999999998E-5</v>
      </c>
      <c r="F17" s="126">
        <f t="shared" ref="F17:F38" si="4">(0.187/$C$7)*10^6/(SQRT(D17^2+E17^2))</f>
        <v>72807406.399038255</v>
      </c>
      <c r="G17" s="42">
        <f t="shared" ref="G17:G38" si="5">$P$13/A17</f>
        <v>166666666.66666666</v>
      </c>
      <c r="H17" s="43">
        <f t="shared" ref="H17:H38" si="6">SQRT((1000*C_1/F17)^2+(1000*C_1/G17)^2+$G$3^2)</f>
        <v>71.49780036195915</v>
      </c>
      <c r="I17" s="43">
        <f t="shared" ref="I17:I38" si="7">SQRT(H17^2+$T$7^2)</f>
        <v>83.221139753920809</v>
      </c>
      <c r="J17" s="392">
        <f t="shared" ref="J17:J38" si="8">-10*LOG10(2*Z17 - 1)</f>
        <v>1.6911453014892377</v>
      </c>
      <c r="K17" s="246">
        <f t="shared" ref="K17:K38" si="9">-10*LOG10(AB17)-J17</f>
        <v>0.24446332311878383</v>
      </c>
      <c r="L17" s="259">
        <f t="shared" ref="L17:L38" si="10">-10*LOG10(AD17)-J17</f>
        <v>0</v>
      </c>
      <c r="M17" s="260">
        <f t="shared" ref="M17:M38" si="11">-10*LOG10(AC17)-J17-K17</f>
        <v>0</v>
      </c>
      <c r="N17" s="261"/>
      <c r="O17" s="126">
        <f t="shared" ref="O17:O38" si="12">(10^-6)*3.14*$L$11*D17*$C$7</f>
        <v>-8.865394239144333E-5</v>
      </c>
      <c r="P17" s="41">
        <f t="shared" ref="P17:P38" si="13">($G$10/SQRT(2))*(1-EXP(-1*O17^2))</f>
        <v>0</v>
      </c>
      <c r="Q17" s="41">
        <f t="shared" ref="Q17:Q38" si="14">10*LOG10(1/SQRT(1-(Q*P17)^2))</f>
        <v>0</v>
      </c>
      <c r="R17" s="259"/>
      <c r="S17" s="41">
        <f>-10*LOG10(SQRT(1-Q*Q*(((SD_blw/AC17)^2)+AK17+Vmn+(P17*P17))))-$T$13-Q17-R17-Pmn</f>
        <v>9.7437097851369892E-2</v>
      </c>
      <c r="T17" s="204">
        <f>J17+L17+B17+Q17+S17+Pmn</f>
        <v>1.7894220420387801</v>
      </c>
      <c r="U17" s="270">
        <f>J17+K17+B17+Q17+S17+Pmn+M17</f>
        <v>2.0338853651575639</v>
      </c>
      <c r="V17" s="173">
        <f t="shared" ref="V17:V38" si="15">T17-B17</f>
        <v>1.7885823993406076</v>
      </c>
      <c r="W17" s="174">
        <f t="shared" ref="W17:W38" si="16">$L$8-T17</f>
        <v>5.6005779579612209</v>
      </c>
      <c r="X17" s="414">
        <f t="shared" ref="X17:X38" si="17">$C$8-C17-(Q17+N17+R17+S17/2+Pmn) -$W$3</f>
        <v>-5.3956388452021846</v>
      </c>
      <c r="Y17" s="44">
        <f t="shared" ref="Y17:Y38" si="18">B_1*Tb_eff/(SQRT(8)*I17)</f>
        <v>0.99052787403120468</v>
      </c>
      <c r="Z17" s="46">
        <f t="shared" ref="Z17:Z38" si="19">IF(ABS(Y17)&lt;10,SIGN(Y17)*ERF(ABS(Y17)),SIGN(Y17))</f>
        <v>0.83873141333085588</v>
      </c>
      <c r="AA17" s="369">
        <f>$AD17</f>
        <v>0.67746282666171176</v>
      </c>
      <c r="AB17" s="40">
        <f t="shared" ref="AB17:AB38" si="20">ERF(AE17)+ERF(AF17)-1</f>
        <v>0.64038203150560369</v>
      </c>
      <c r="AC17" s="44">
        <f t="shared" ref="AC17:AC38" si="21">ERF(AG17)+ERF(AH17)-1</f>
        <v>0.64038203150560369</v>
      </c>
      <c r="AD17" s="44">
        <f t="shared" ref="AD17:AD38" si="22">ERF(AI17)+ERF(AJ17)-1</f>
        <v>0.67746282666171176</v>
      </c>
      <c r="AE17" s="47">
        <f t="shared" ref="AE17:AE38" si="23">MAX(MIN(B_1*Tb_eff*($L$13+1)/(SQRT(8)*$I17),10),-10)</f>
        <v>1.2016997059365913</v>
      </c>
      <c r="AF17" s="47">
        <f t="shared" ref="AF17:AF38" si="24">MAX(MIN(B_1*Tb_eff*(1-$L$13)/(SQRT(8)*$I17),10),-10)</f>
        <v>0.77935604212581799</v>
      </c>
      <c r="AG17" s="47">
        <f t="shared" ref="AG17:AG38" si="25">MAX(MIN(B_1*Tb_eff*($L$13+$G$9+1)/(SQRT(8)*$I17),10),-10)</f>
        <v>1.2016997059365913</v>
      </c>
      <c r="AH17" s="47">
        <f t="shared" ref="AH17:AH38" si="26">MAX(MIN(B_1*Tb_eff*(1-$L$13-$G$9)/(SQRT(8)*$I17),10),-10)</f>
        <v>0.77935604212581799</v>
      </c>
      <c r="AI17" s="47">
        <f t="shared" ref="AI17:AI38" si="27">MAX(MIN(B_1*Tb_eff*($G$9+1)/(SQRT(8)*$I17),10),-10)</f>
        <v>0.99052787403120468</v>
      </c>
      <c r="AJ17" s="47">
        <f t="shared" ref="AJ17:AJ38" si="28">MAX(MIN(B_1*Tb_eff*(1-$G$9)/(SQRT(8)*$I17),10),-10)</f>
        <v>0.99052787403120468</v>
      </c>
      <c r="AK17" s="298"/>
      <c r="AL17" s="45">
        <f t="shared" ref="AL17:AL38" si="29">$L$6-$L$7</f>
        <v>7.3900000000000006</v>
      </c>
      <c r="AM17" s="184"/>
      <c r="AN17" s="184"/>
      <c r="AO17" s="2"/>
      <c r="AP17" s="292"/>
      <c r="AQ17" s="292"/>
    </row>
    <row r="18" spans="1:44" s="59" customFormat="1" ht="15" customHeight="1">
      <c r="A18" s="48">
        <f>$L$4</f>
        <v>7.5</v>
      </c>
      <c r="B18" s="49">
        <f t="shared" si="0"/>
        <v>3.1486601181471277</v>
      </c>
      <c r="C18" s="49">
        <f t="shared" si="1"/>
        <v>5.1486601181471272</v>
      </c>
      <c r="D18" s="175">
        <f t="shared" si="2"/>
        <v>-48.157776320771724</v>
      </c>
      <c r="E18" s="49">
        <f t="shared" si="3"/>
        <v>9.7649999999999987E-2</v>
      </c>
      <c r="F18" s="50">
        <f t="shared" si="4"/>
        <v>19415.30837307687</v>
      </c>
      <c r="G18" s="50">
        <f t="shared" si="5"/>
        <v>44444.444444444445</v>
      </c>
      <c r="H18" s="51">
        <f t="shared" si="6"/>
        <v>76.418520290190159</v>
      </c>
      <c r="I18" s="51">
        <f t="shared" si="7"/>
        <v>87.484929494657862</v>
      </c>
      <c r="J18" s="393">
        <f t="shared" si="8"/>
        <v>1.9747393054017199</v>
      </c>
      <c r="K18" s="247">
        <f t="shared" si="9"/>
        <v>0.24653715207645854</v>
      </c>
      <c r="L18" s="262">
        <f t="shared" si="10"/>
        <v>0</v>
      </c>
      <c r="M18" s="263">
        <f t="shared" si="11"/>
        <v>0</v>
      </c>
      <c r="N18" s="362">
        <f t="shared" ref="N18:N23" si="30">-10*LOG10(1-2*$L$10*10^(-$C18/10)*$AB$5*SQRT(2*ER*($AD18*(ER-1)+ER+1))/($AD18*(ER-1)))</f>
        <v>0.52709013205986888</v>
      </c>
      <c r="O18" s="49">
        <f t="shared" si="12"/>
        <v>-0.33245228396791249</v>
      </c>
      <c r="P18" s="49">
        <f t="shared" si="13"/>
        <v>0</v>
      </c>
      <c r="Q18" s="49">
        <f t="shared" si="14"/>
        <v>0</v>
      </c>
      <c r="R18" s="262">
        <f t="shared" ref="R18:R23" si="31">10*LOG10(1/SQRT(1-AK18*(Q/AA18)^2))</f>
        <v>0.23818350051633286</v>
      </c>
      <c r="S18" s="49">
        <f t="shared" ref="S18:S23" si="32">-10*LOG10(AA18*SQRT(1-Q*Q*((SD_blw^2+AK18)/AA18^2+Vmn+(P18*P18))))-$T$13-J18-L18-Q18-N18-R18-Pmn</f>
        <v>0.17840689609911431</v>
      </c>
      <c r="T18" s="275">
        <f>J18+L18+B18+Q18+N18+R18+S18+Pmn</f>
        <v>6.0670799522241641</v>
      </c>
      <c r="U18" s="271">
        <f>J18+K18+B18+Q18+N18+R18+S18+Pmn+M18</f>
        <v>6.3136171043006222</v>
      </c>
      <c r="V18" s="176">
        <f t="shared" si="15"/>
        <v>2.9184198340770364</v>
      </c>
      <c r="W18" s="177">
        <f t="shared" si="16"/>
        <v>1.3229200477758365</v>
      </c>
      <c r="X18" s="415">
        <f t="shared" si="17"/>
        <v>-9.3492178523512131</v>
      </c>
      <c r="Y18" s="56">
        <f t="shared" si="18"/>
        <v>0.94225210114547309</v>
      </c>
      <c r="Z18" s="57">
        <f t="shared" si="19"/>
        <v>0.81731899767390237</v>
      </c>
      <c r="AA18" s="293">
        <f t="shared" ref="AA18:AA23" si="33">$AD18*(1-2*$L$10*10^(-$C18/10)*$AB$5*SQRT(2*ER*($AD18*(ER-1)+ER+1))/($AD18*(ER-1)))</f>
        <v>0.56210449242392335</v>
      </c>
      <c r="AB18" s="53">
        <f t="shared" si="20"/>
        <v>0.59961481444798781</v>
      </c>
      <c r="AC18" s="52">
        <f t="shared" si="21"/>
        <v>0.59961481444798781</v>
      </c>
      <c r="AD18" s="52">
        <f t="shared" si="22"/>
        <v>0.63463799534780474</v>
      </c>
      <c r="AE18" s="58">
        <f t="shared" si="23"/>
        <v>1.143131962815394</v>
      </c>
      <c r="AF18" s="58">
        <f t="shared" si="24"/>
        <v>0.74137223947555231</v>
      </c>
      <c r="AG18" s="58">
        <f t="shared" si="25"/>
        <v>1.143131962815394</v>
      </c>
      <c r="AH18" s="58">
        <f t="shared" si="26"/>
        <v>0.74137223947555231</v>
      </c>
      <c r="AI18" s="58">
        <f t="shared" si="27"/>
        <v>0.94225210114547309</v>
      </c>
      <c r="AJ18" s="58">
        <f t="shared" si="28"/>
        <v>0.94225210114547309</v>
      </c>
      <c r="AK18" s="299">
        <f t="shared" ref="AK18:AK23" si="34">kRIN*10^6*$AK$7*$AK$7/(SQRT((1/F18)^2+(1/G18)^2+0.477*(1/$T$5)^2))*10^($G$4/10)</f>
        <v>6.6285068791099942E-4</v>
      </c>
      <c r="AL18" s="54">
        <f t="shared" si="29"/>
        <v>7.3900000000000006</v>
      </c>
      <c r="AM18" s="185">
        <f t="shared" ref="AM18:AM38" si="35">$L$3</f>
        <v>10</v>
      </c>
      <c r="AN18" s="185">
        <v>0</v>
      </c>
      <c r="AO18" s="55">
        <f t="shared" ref="AO18:AO38" si="36">IF(A18=$L$3,W18,0)</f>
        <v>0</v>
      </c>
      <c r="AP18" s="332">
        <f t="shared" ref="AP18:AP26" si="37">IF($A18=$L$3,I18,0)</f>
        <v>0</v>
      </c>
      <c r="AQ18" s="333">
        <f>IF($A18=$L$3,B_1*Tb_eff/(SQRT(8)*H18),0)</f>
        <v>0</v>
      </c>
      <c r="AR18" s="333">
        <f t="shared" ref="AR18:AR27" si="38">IF($A18=$L$3,B_1*Tb_eff*(1-$G$9)/(SQRT(8)*SQRT($H18^2+$AG$8^2)),0)</f>
        <v>0</v>
      </c>
    </row>
    <row r="19" spans="1:44" s="71" customFormat="1" ht="15" customHeight="1">
      <c r="A19" s="60">
        <f t="shared" ref="A19:A38" si="39">A18+$L$5</f>
        <v>7.75</v>
      </c>
      <c r="B19" s="61">
        <f t="shared" si="0"/>
        <v>3.2536154554186987</v>
      </c>
      <c r="C19" s="61">
        <f t="shared" si="1"/>
        <v>5.2536154554186982</v>
      </c>
      <c r="D19" s="178">
        <f t="shared" si="2"/>
        <v>-49.763035531464119</v>
      </c>
      <c r="E19" s="61">
        <f t="shared" si="3"/>
        <v>0.10090499999999999</v>
      </c>
      <c r="F19" s="62">
        <f t="shared" si="4"/>
        <v>18789.008102977616</v>
      </c>
      <c r="G19" s="62">
        <f t="shared" si="5"/>
        <v>43010.752688172041</v>
      </c>
      <c r="H19" s="63">
        <f t="shared" si="6"/>
        <v>76.740619145539128</v>
      </c>
      <c r="I19" s="63">
        <f t="shared" si="7"/>
        <v>87.7664245152082</v>
      </c>
      <c r="J19" s="394">
        <f t="shared" si="8"/>
        <v>1.9940443661808505</v>
      </c>
      <c r="K19" s="248">
        <f t="shared" si="9"/>
        <v>0.24665684493721485</v>
      </c>
      <c r="L19" s="264">
        <f t="shared" si="10"/>
        <v>0</v>
      </c>
      <c r="M19" s="265">
        <f t="shared" si="11"/>
        <v>0</v>
      </c>
      <c r="N19" s="355">
        <f t="shared" si="30"/>
        <v>0.5158990568453391</v>
      </c>
      <c r="O19" s="61">
        <f t="shared" si="12"/>
        <v>-0.34353402676684291</v>
      </c>
      <c r="P19" s="61">
        <f t="shared" si="13"/>
        <v>0</v>
      </c>
      <c r="Q19" s="61">
        <f t="shared" si="14"/>
        <v>0</v>
      </c>
      <c r="R19" s="264">
        <f t="shared" si="31"/>
        <v>0.23673513539383817</v>
      </c>
      <c r="S19" s="61">
        <f t="shared" si="32"/>
        <v>0.17922634167874429</v>
      </c>
      <c r="T19" s="326">
        <f>J19+L19+B19+Q19+N19+R19+S19+Pmn</f>
        <v>6.1795203555174698</v>
      </c>
      <c r="U19" s="272">
        <f t="shared" ref="U19:U38" si="40">J19+K19+B19+Q19+N19+R19+S19+Pmn+M19</f>
        <v>6.4261772004546849</v>
      </c>
      <c r="V19" s="163">
        <f t="shared" si="15"/>
        <v>2.9259049000987711</v>
      </c>
      <c r="W19" s="179">
        <f t="shared" si="16"/>
        <v>1.2104796444825308</v>
      </c>
      <c r="X19" s="416">
        <f t="shared" si="17"/>
        <v>-9.4419434720755753</v>
      </c>
      <c r="Y19" s="69">
        <f t="shared" si="18"/>
        <v>0.93922999700894683</v>
      </c>
      <c r="Z19" s="70">
        <f t="shared" si="19"/>
        <v>0.81591159607432107</v>
      </c>
      <c r="AA19" s="294">
        <f t="shared" si="33"/>
        <v>0.56105528503701219</v>
      </c>
      <c r="AB19" s="66">
        <f t="shared" si="20"/>
        <v>0.59693889715162141</v>
      </c>
      <c r="AC19" s="65">
        <f t="shared" si="21"/>
        <v>0.59693889715162141</v>
      </c>
      <c r="AD19" s="65">
        <f t="shared" si="22"/>
        <v>0.63182319214864213</v>
      </c>
      <c r="AE19" s="22">
        <f t="shared" si="23"/>
        <v>1.1394655726537588</v>
      </c>
      <c r="AF19" s="22">
        <f t="shared" si="24"/>
        <v>0.73899442136413473</v>
      </c>
      <c r="AG19" s="22">
        <f t="shared" si="25"/>
        <v>1.1394655726537588</v>
      </c>
      <c r="AH19" s="22">
        <f t="shared" si="26"/>
        <v>0.73899442136413473</v>
      </c>
      <c r="AI19" s="22">
        <f t="shared" si="27"/>
        <v>0.93922999700894683</v>
      </c>
      <c r="AJ19" s="22">
        <f t="shared" si="28"/>
        <v>0.93922999700894683</v>
      </c>
      <c r="AK19" s="288">
        <f t="shared" si="34"/>
        <v>6.5657774344578192E-4</v>
      </c>
      <c r="AL19" s="67">
        <f t="shared" si="29"/>
        <v>7.3900000000000006</v>
      </c>
      <c r="AM19" s="186">
        <f t="shared" si="35"/>
        <v>10</v>
      </c>
      <c r="AN19" s="187">
        <f t="shared" ref="AN19:AN37" si="41">AN20</f>
        <v>10</v>
      </c>
      <c r="AO19" s="68">
        <f t="shared" si="36"/>
        <v>0</v>
      </c>
      <c r="AP19" s="334">
        <f t="shared" si="37"/>
        <v>0</v>
      </c>
      <c r="AQ19" s="335">
        <f>IF($A19=$L$3,B_1*Tb_eff/(SQRT(8)*H19),0)</f>
        <v>0</v>
      </c>
      <c r="AR19" s="335">
        <f t="shared" si="38"/>
        <v>0</v>
      </c>
    </row>
    <row r="20" spans="1:44" s="71" customFormat="1" ht="15" customHeight="1">
      <c r="A20" s="60">
        <f t="shared" si="39"/>
        <v>8</v>
      </c>
      <c r="B20" s="61">
        <f t="shared" si="0"/>
        <v>3.3585707926902697</v>
      </c>
      <c r="C20" s="61">
        <f t="shared" si="1"/>
        <v>5.3585707926902693</v>
      </c>
      <c r="D20" s="178">
        <f t="shared" si="2"/>
        <v>-51.368294742156507</v>
      </c>
      <c r="E20" s="61">
        <f t="shared" si="3"/>
        <v>0.10415999999999999</v>
      </c>
      <c r="F20" s="62">
        <f t="shared" si="4"/>
        <v>18201.851599759564</v>
      </c>
      <c r="G20" s="62">
        <f t="shared" si="5"/>
        <v>41666.666666666664</v>
      </c>
      <c r="H20" s="63">
        <f t="shared" si="6"/>
        <v>77.071865590083135</v>
      </c>
      <c r="I20" s="63">
        <f t="shared" si="7"/>
        <v>88.056204272492309</v>
      </c>
      <c r="J20" s="394">
        <f t="shared" si="8"/>
        <v>2.0139923005062998</v>
      </c>
      <c r="K20" s="248">
        <f t="shared" si="9"/>
        <v>0.2467785451508</v>
      </c>
      <c r="L20" s="264">
        <f t="shared" si="10"/>
        <v>0</v>
      </c>
      <c r="M20" s="265">
        <f t="shared" si="11"/>
        <v>0</v>
      </c>
      <c r="N20" s="355">
        <f t="shared" si="30"/>
        <v>0.505031373342401</v>
      </c>
      <c r="O20" s="61">
        <f t="shared" si="12"/>
        <v>-0.35461576956577329</v>
      </c>
      <c r="P20" s="61">
        <f t="shared" si="13"/>
        <v>0</v>
      </c>
      <c r="Q20" s="61">
        <f t="shared" si="14"/>
        <v>0</v>
      </c>
      <c r="R20" s="264">
        <f t="shared" si="31"/>
        <v>0.23537546110293023</v>
      </c>
      <c r="S20" s="61">
        <f t="shared" si="32"/>
        <v>0.18017901753327376</v>
      </c>
      <c r="T20" s="326">
        <f t="shared" ref="T20:T38" si="42">J20+L20+B20+Q20+N20+R20+S20+Pmn</f>
        <v>6.293148945175175</v>
      </c>
      <c r="U20" s="272">
        <f t="shared" si="40"/>
        <v>6.539927490325975</v>
      </c>
      <c r="V20" s="163">
        <f t="shared" si="15"/>
        <v>2.9345781524849053</v>
      </c>
      <c r="W20" s="179">
        <f t="shared" si="16"/>
        <v>1.0968510548248256</v>
      </c>
      <c r="X20" s="416">
        <f t="shared" si="17"/>
        <v>-9.5351477894805647</v>
      </c>
      <c r="Y20" s="69">
        <f t="shared" si="18"/>
        <v>0.93613913200044641</v>
      </c>
      <c r="Z20" s="70">
        <f t="shared" si="19"/>
        <v>0.81446388408453951</v>
      </c>
      <c r="AA20" s="294">
        <f t="shared" si="33"/>
        <v>0.55988345329415501</v>
      </c>
      <c r="AB20" s="66">
        <f t="shared" si="20"/>
        <v>0.59418668481947501</v>
      </c>
      <c r="AC20" s="65">
        <f t="shared" si="21"/>
        <v>0.59418668481947501</v>
      </c>
      <c r="AD20" s="65">
        <f t="shared" si="22"/>
        <v>0.62892776816907903</v>
      </c>
      <c r="AE20" s="22">
        <f t="shared" si="23"/>
        <v>1.1357157624069372</v>
      </c>
      <c r="AF20" s="22">
        <f t="shared" si="24"/>
        <v>0.73656250159395553</v>
      </c>
      <c r="AG20" s="22">
        <f t="shared" si="25"/>
        <v>1.1357157624069372</v>
      </c>
      <c r="AH20" s="22">
        <f t="shared" si="26"/>
        <v>0.73656250159395553</v>
      </c>
      <c r="AI20" s="22">
        <f t="shared" si="27"/>
        <v>0.93613913200044641</v>
      </c>
      <c r="AJ20" s="22">
        <f t="shared" si="28"/>
        <v>0.93613913200044641</v>
      </c>
      <c r="AK20" s="288">
        <f t="shared" si="34"/>
        <v>6.5028251385631749E-4</v>
      </c>
      <c r="AL20" s="67">
        <f t="shared" si="29"/>
        <v>7.3900000000000006</v>
      </c>
      <c r="AM20" s="186">
        <f t="shared" si="35"/>
        <v>10</v>
      </c>
      <c r="AN20" s="187">
        <f t="shared" si="41"/>
        <v>10</v>
      </c>
      <c r="AO20" s="68">
        <f t="shared" si="36"/>
        <v>0</v>
      </c>
      <c r="AP20" s="334">
        <f t="shared" si="37"/>
        <v>0</v>
      </c>
      <c r="AQ20" s="335">
        <f t="shared" ref="AQ20:AQ37" si="43">IF($A20=$L$3,B_1*Tb_eff/(SQRT(8)*H20),0)</f>
        <v>0</v>
      </c>
      <c r="AR20" s="335">
        <f t="shared" si="38"/>
        <v>0</v>
      </c>
    </row>
    <row r="21" spans="1:44" s="71" customFormat="1" ht="15" customHeight="1">
      <c r="A21" s="60">
        <f t="shared" si="39"/>
        <v>8.25</v>
      </c>
      <c r="B21" s="61">
        <f t="shared" si="0"/>
        <v>3.4635261299618407</v>
      </c>
      <c r="C21" s="61">
        <f t="shared" si="1"/>
        <v>5.4635261299618403</v>
      </c>
      <c r="D21" s="178">
        <f t="shared" si="2"/>
        <v>-52.973553952848896</v>
      </c>
      <c r="E21" s="61">
        <f t="shared" si="3"/>
        <v>0.10741499999999998</v>
      </c>
      <c r="F21" s="62">
        <f t="shared" si="4"/>
        <v>17650.280339160792</v>
      </c>
      <c r="G21" s="62">
        <f t="shared" si="5"/>
        <v>40404.040404040403</v>
      </c>
      <c r="H21" s="63">
        <f t="shared" si="6"/>
        <v>77.412142196348412</v>
      </c>
      <c r="I21" s="63">
        <f t="shared" si="7"/>
        <v>88.354187250920475</v>
      </c>
      <c r="J21" s="394">
        <f t="shared" si="8"/>
        <v>2.0345838871975457</v>
      </c>
      <c r="K21" s="248">
        <f t="shared" si="9"/>
        <v>0.24690171431203556</v>
      </c>
      <c r="L21" s="264">
        <f t="shared" si="10"/>
        <v>0</v>
      </c>
      <c r="M21" s="265">
        <f t="shared" si="11"/>
        <v>0</v>
      </c>
      <c r="N21" s="355">
        <f t="shared" si="30"/>
        <v>0.49447619187589065</v>
      </c>
      <c r="O21" s="61">
        <f t="shared" si="12"/>
        <v>-0.36569751236470371</v>
      </c>
      <c r="P21" s="61">
        <f t="shared" si="13"/>
        <v>0</v>
      </c>
      <c r="Q21" s="61">
        <f t="shared" si="14"/>
        <v>0</v>
      </c>
      <c r="R21" s="264">
        <f t="shared" si="31"/>
        <v>0.23410442010653967</v>
      </c>
      <c r="S21" s="61">
        <f t="shared" si="32"/>
        <v>0.18126523790030433</v>
      </c>
      <c r="T21" s="326">
        <f t="shared" si="42"/>
        <v>6.4079558670421219</v>
      </c>
      <c r="U21" s="272">
        <f t="shared" si="40"/>
        <v>6.6548575813541575</v>
      </c>
      <c r="V21" s="163">
        <f t="shared" si="15"/>
        <v>2.9444297370802812</v>
      </c>
      <c r="W21" s="179">
        <f t="shared" si="16"/>
        <v>0.98204413295787862</v>
      </c>
      <c r="X21" s="416">
        <f t="shared" si="17"/>
        <v>-9.6288200144727512</v>
      </c>
      <c r="Y21" s="69">
        <f t="shared" si="18"/>
        <v>0.93298191290923982</v>
      </c>
      <c r="Z21" s="70">
        <f t="shared" si="19"/>
        <v>0.81297641789443897</v>
      </c>
      <c r="AA21" s="294">
        <f t="shared" si="33"/>
        <v>0.55859107461246449</v>
      </c>
      <c r="AB21" s="66">
        <f t="shared" si="20"/>
        <v>0.59135931188043367</v>
      </c>
      <c r="AC21" s="65">
        <f t="shared" si="21"/>
        <v>0.59135931188043367</v>
      </c>
      <c r="AD21" s="65">
        <f t="shared" si="22"/>
        <v>0.62595283578887795</v>
      </c>
      <c r="AE21" s="22">
        <f t="shared" si="23"/>
        <v>1.1318854519705033</v>
      </c>
      <c r="AF21" s="22">
        <f t="shared" si="24"/>
        <v>0.73407837384797625</v>
      </c>
      <c r="AG21" s="22">
        <f t="shared" si="25"/>
        <v>1.1318854519705033</v>
      </c>
      <c r="AH21" s="22">
        <f t="shared" si="26"/>
        <v>0.73407837384797625</v>
      </c>
      <c r="AI21" s="22">
        <f t="shared" si="27"/>
        <v>0.93298191290923982</v>
      </c>
      <c r="AJ21" s="22">
        <f t="shared" si="28"/>
        <v>0.93298191290923982</v>
      </c>
      <c r="AK21" s="288">
        <f t="shared" si="34"/>
        <v>6.439735638906829E-4</v>
      </c>
      <c r="AL21" s="67">
        <f t="shared" si="29"/>
        <v>7.3900000000000006</v>
      </c>
      <c r="AM21" s="186">
        <f t="shared" si="35"/>
        <v>10</v>
      </c>
      <c r="AN21" s="187">
        <f t="shared" si="41"/>
        <v>10</v>
      </c>
      <c r="AO21" s="68">
        <f t="shared" si="36"/>
        <v>0</v>
      </c>
      <c r="AP21" s="334">
        <f t="shared" si="37"/>
        <v>0</v>
      </c>
      <c r="AQ21" s="335">
        <f t="shared" si="43"/>
        <v>0</v>
      </c>
      <c r="AR21" s="335">
        <f t="shared" si="38"/>
        <v>0</v>
      </c>
    </row>
    <row r="22" spans="1:44" s="71" customFormat="1" ht="15" customHeight="1">
      <c r="A22" s="60">
        <f t="shared" si="39"/>
        <v>8.5</v>
      </c>
      <c r="B22" s="61">
        <f t="shared" si="0"/>
        <v>3.5684814672334118</v>
      </c>
      <c r="C22" s="61">
        <f t="shared" si="1"/>
        <v>5.5684814672334113</v>
      </c>
      <c r="D22" s="178">
        <f t="shared" si="2"/>
        <v>-54.578813163541291</v>
      </c>
      <c r="E22" s="61">
        <f t="shared" si="3"/>
        <v>0.11066999999999999</v>
      </c>
      <c r="F22" s="62">
        <f t="shared" si="4"/>
        <v>17131.15444683253</v>
      </c>
      <c r="G22" s="62">
        <f t="shared" si="5"/>
        <v>39215.686274509804</v>
      </c>
      <c r="H22" s="63">
        <f t="shared" si="6"/>
        <v>77.761330418892427</v>
      </c>
      <c r="I22" s="63">
        <f t="shared" si="7"/>
        <v>88.6602907386346</v>
      </c>
      <c r="J22" s="394">
        <f t="shared" si="8"/>
        <v>2.0558199147557992</v>
      </c>
      <c r="K22" s="248">
        <f t="shared" si="9"/>
        <v>0.24702730468045386</v>
      </c>
      <c r="L22" s="264">
        <f t="shared" si="10"/>
        <v>0</v>
      </c>
      <c r="M22" s="265">
        <f t="shared" si="11"/>
        <v>0</v>
      </c>
      <c r="N22" s="355">
        <f t="shared" si="30"/>
        <v>0.48422306100117934</v>
      </c>
      <c r="O22" s="61">
        <f t="shared" si="12"/>
        <v>-0.3767792551636342</v>
      </c>
      <c r="P22" s="61">
        <f t="shared" si="13"/>
        <v>0</v>
      </c>
      <c r="Q22" s="61">
        <f t="shared" si="14"/>
        <v>0</v>
      </c>
      <c r="R22" s="264">
        <f t="shared" si="31"/>
        <v>0.23292198190859828</v>
      </c>
      <c r="S22" s="61">
        <f t="shared" si="32"/>
        <v>0.18248558023922293</v>
      </c>
      <c r="T22" s="326">
        <f t="shared" si="42"/>
        <v>6.523932005138211</v>
      </c>
      <c r="U22" s="272">
        <f t="shared" si="40"/>
        <v>6.7709593098186653</v>
      </c>
      <c r="V22" s="163">
        <f t="shared" si="15"/>
        <v>2.9554505379047993</v>
      </c>
      <c r="W22" s="179">
        <f t="shared" si="16"/>
        <v>0.86606799486178954</v>
      </c>
      <c r="X22" s="416">
        <f t="shared" si="17"/>
        <v>-9.7229499538411268</v>
      </c>
      <c r="Y22" s="69">
        <f t="shared" si="18"/>
        <v>0.92976075250996237</v>
      </c>
      <c r="Z22" s="70">
        <f t="shared" si="19"/>
        <v>0.81144976883016595</v>
      </c>
      <c r="AA22" s="294">
        <f t="shared" si="33"/>
        <v>0.5571802353088332</v>
      </c>
      <c r="AB22" s="66">
        <f t="shared" si="20"/>
        <v>0.58845773803114731</v>
      </c>
      <c r="AC22" s="65">
        <f t="shared" si="21"/>
        <v>0.58845773803114731</v>
      </c>
      <c r="AD22" s="65">
        <f t="shared" si="22"/>
        <v>0.6228995376603319</v>
      </c>
      <c r="AE22" s="22">
        <f t="shared" si="23"/>
        <v>1.1279775685014266</v>
      </c>
      <c r="AF22" s="22">
        <f t="shared" si="24"/>
        <v>0.73154393651849814</v>
      </c>
      <c r="AG22" s="22">
        <f t="shared" si="25"/>
        <v>1.1279775685014266</v>
      </c>
      <c r="AH22" s="22">
        <f t="shared" si="26"/>
        <v>0.73154393651849814</v>
      </c>
      <c r="AI22" s="22">
        <f t="shared" si="27"/>
        <v>0.92976075250996237</v>
      </c>
      <c r="AJ22" s="22">
        <f t="shared" si="28"/>
        <v>0.92976075250996237</v>
      </c>
      <c r="AK22" s="288">
        <f t="shared" si="34"/>
        <v>6.3765893291348554E-4</v>
      </c>
      <c r="AL22" s="67">
        <f t="shared" si="29"/>
        <v>7.3900000000000006</v>
      </c>
      <c r="AM22" s="186">
        <f t="shared" si="35"/>
        <v>10</v>
      </c>
      <c r="AN22" s="187">
        <f t="shared" si="41"/>
        <v>10</v>
      </c>
      <c r="AO22" s="68">
        <f t="shared" si="36"/>
        <v>0</v>
      </c>
      <c r="AP22" s="334">
        <f t="shared" si="37"/>
        <v>0</v>
      </c>
      <c r="AQ22" s="335">
        <f t="shared" si="43"/>
        <v>0</v>
      </c>
      <c r="AR22" s="335">
        <f t="shared" si="38"/>
        <v>0</v>
      </c>
    </row>
    <row r="23" spans="1:44" s="59" customFormat="1" ht="15" customHeight="1">
      <c r="A23" s="48">
        <f t="shared" si="39"/>
        <v>8.75</v>
      </c>
      <c r="B23" s="49">
        <f t="shared" si="0"/>
        <v>3.6734368045049828</v>
      </c>
      <c r="C23" s="49">
        <f t="shared" si="1"/>
        <v>5.6734368045049823</v>
      </c>
      <c r="D23" s="175">
        <f t="shared" si="2"/>
        <v>-56.184072374233679</v>
      </c>
      <c r="E23" s="49">
        <f t="shared" si="3"/>
        <v>0.11392499999999998</v>
      </c>
      <c r="F23" s="50">
        <f t="shared" si="4"/>
        <v>16641.692891208746</v>
      </c>
      <c r="G23" s="50">
        <f t="shared" si="5"/>
        <v>38095.238095238092</v>
      </c>
      <c r="H23" s="51">
        <f t="shared" si="6"/>
        <v>78.119310754776464</v>
      </c>
      <c r="I23" s="51">
        <f t="shared" si="7"/>
        <v>88.974430923408477</v>
      </c>
      <c r="J23" s="393">
        <f t="shared" si="8"/>
        <v>2.077701182469943</v>
      </c>
      <c r="K23" s="247">
        <f t="shared" si="9"/>
        <v>0.24715484007598709</v>
      </c>
      <c r="L23" s="262">
        <f t="shared" si="10"/>
        <v>0</v>
      </c>
      <c r="M23" s="263">
        <f t="shared" si="11"/>
        <v>0</v>
      </c>
      <c r="N23" s="362">
        <f t="shared" si="30"/>
        <v>0.47426194677318517</v>
      </c>
      <c r="O23" s="49">
        <f t="shared" si="12"/>
        <v>-0.38786099796256457</v>
      </c>
      <c r="P23" s="49">
        <f t="shared" si="13"/>
        <v>0</v>
      </c>
      <c r="Q23" s="49">
        <f t="shared" si="14"/>
        <v>0</v>
      </c>
      <c r="R23" s="262">
        <f t="shared" si="31"/>
        <v>0.23182814338505439</v>
      </c>
      <c r="S23" s="49">
        <f t="shared" si="32"/>
        <v>0.18384088281900643</v>
      </c>
      <c r="T23" s="275">
        <f t="shared" si="42"/>
        <v>6.6410689599521717</v>
      </c>
      <c r="U23" s="271">
        <f t="shared" si="40"/>
        <v>6.8882238000281584</v>
      </c>
      <c r="V23" s="176">
        <f t="shared" si="15"/>
        <v>2.9676321554471889</v>
      </c>
      <c r="W23" s="177">
        <f t="shared" si="16"/>
        <v>0.74893104004782884</v>
      </c>
      <c r="X23" s="415">
        <f t="shared" si="17"/>
        <v>-9.8175279896510546</v>
      </c>
      <c r="Y23" s="56">
        <f t="shared" si="18"/>
        <v>0.92647806543281319</v>
      </c>
      <c r="Z23" s="57">
        <f t="shared" si="19"/>
        <v>0.80988452292167246</v>
      </c>
      <c r="AA23" s="293">
        <f t="shared" si="33"/>
        <v>0.55565303020326096</v>
      </c>
      <c r="AB23" s="53">
        <f t="shared" si="20"/>
        <v>0.58548314595597106</v>
      </c>
      <c r="AC23" s="52">
        <f t="shared" si="21"/>
        <v>0.58548314595597106</v>
      </c>
      <c r="AD23" s="52">
        <f t="shared" si="22"/>
        <v>0.61976904584334491</v>
      </c>
      <c r="AE23" s="58">
        <f t="shared" si="23"/>
        <v>1.1239950414078299</v>
      </c>
      <c r="AF23" s="58">
        <f t="shared" si="24"/>
        <v>0.72896108945779647</v>
      </c>
      <c r="AG23" s="58">
        <f t="shared" si="25"/>
        <v>1.1239950414078299</v>
      </c>
      <c r="AH23" s="58">
        <f t="shared" si="26"/>
        <v>0.72896108945779647</v>
      </c>
      <c r="AI23" s="58">
        <f t="shared" si="27"/>
        <v>0.92647806543281319</v>
      </c>
      <c r="AJ23" s="58">
        <f t="shared" si="28"/>
        <v>0.92647806543281319</v>
      </c>
      <c r="AK23" s="299">
        <f t="shared" si="34"/>
        <v>6.3134614208947232E-4</v>
      </c>
      <c r="AL23" s="54">
        <f t="shared" si="29"/>
        <v>7.3900000000000006</v>
      </c>
      <c r="AM23" s="185">
        <f t="shared" si="35"/>
        <v>10</v>
      </c>
      <c r="AN23" s="188">
        <f t="shared" si="41"/>
        <v>10</v>
      </c>
      <c r="AO23" s="55">
        <f t="shared" si="36"/>
        <v>0</v>
      </c>
      <c r="AP23" s="332">
        <f t="shared" si="37"/>
        <v>0</v>
      </c>
      <c r="AQ23" s="333">
        <f t="shared" si="43"/>
        <v>0</v>
      </c>
      <c r="AR23" s="333">
        <f t="shared" si="38"/>
        <v>0</v>
      </c>
    </row>
    <row r="24" spans="1:44" s="71" customFormat="1" ht="15" customHeight="1">
      <c r="A24" s="60">
        <f t="shared" si="39"/>
        <v>9</v>
      </c>
      <c r="B24" s="61">
        <f t="shared" si="0"/>
        <v>3.7783921417765534</v>
      </c>
      <c r="C24" s="61">
        <f t="shared" si="1"/>
        <v>5.7783921417765534</v>
      </c>
      <c r="D24" s="178">
        <f t="shared" si="2"/>
        <v>-57.789331584926074</v>
      </c>
      <c r="E24" s="61">
        <f t="shared" si="3"/>
        <v>0.11717999999999999</v>
      </c>
      <c r="F24" s="62">
        <f t="shared" si="4"/>
        <v>16179.423644230723</v>
      </c>
      <c r="G24" s="62">
        <f t="shared" si="5"/>
        <v>37037.037037037036</v>
      </c>
      <c r="H24" s="63">
        <f t="shared" si="6"/>
        <v>78.48596289963686</v>
      </c>
      <c r="I24" s="63">
        <f t="shared" si="7"/>
        <v>89.296522987327037</v>
      </c>
      <c r="J24" s="394">
        <f t="shared" si="8"/>
        <v>2.1002285018297733</v>
      </c>
      <c r="K24" s="248">
        <f t="shared" si="9"/>
        <v>0.24728433715131581</v>
      </c>
      <c r="L24" s="264">
        <f t="shared" si="10"/>
        <v>0</v>
      </c>
      <c r="M24" s="265">
        <f t="shared" si="11"/>
        <v>0</v>
      </c>
      <c r="N24" s="355">
        <f>-10*LOG10(1-2*$L$10*10^(-$C24/10)*$AB$5*SQRT(2*ER*($AD24*(ER-1)+ER+1))/($AD24*(ER-1)))</f>
        <v>0.46458321320804696</v>
      </c>
      <c r="O24" s="61">
        <f t="shared" si="12"/>
        <v>-0.398942740761495</v>
      </c>
      <c r="P24" s="61">
        <f t="shared" si="13"/>
        <v>0</v>
      </c>
      <c r="Q24" s="61">
        <f t="shared" si="14"/>
        <v>0</v>
      </c>
      <c r="R24" s="264">
        <f t="shared" ref="R24:R37" si="44">10*LOG10(1/SQRT(1-AK24*(Q/AA24)^2))</f>
        <v>0.23082292992132691</v>
      </c>
      <c r="S24" s="61">
        <f t="shared" ref="S24:S37" si="45">-10*LOG10(AA24*SQRT(1-Q*Q*((SD_blw^2+AK24)/AA24^2+Vmn+(P24*P24))))-$T$13-J24-L24-Q24-N24-R24-Pmn</f>
        <v>0.18533224358019051</v>
      </c>
      <c r="T24" s="326">
        <f t="shared" si="42"/>
        <v>6.759359030315891</v>
      </c>
      <c r="U24" s="272">
        <f t="shared" si="40"/>
        <v>7.0066433674672064</v>
      </c>
      <c r="V24" s="163">
        <f t="shared" si="15"/>
        <v>2.9809668885393377</v>
      </c>
      <c r="W24" s="179">
        <f t="shared" si="16"/>
        <v>0.63064096968410954</v>
      </c>
      <c r="X24" s="416">
        <f t="shared" si="17"/>
        <v>-9.9125450602743506</v>
      </c>
      <c r="Y24" s="69">
        <f t="shared" si="18"/>
        <v>0.92313626418134809</v>
      </c>
      <c r="Z24" s="70">
        <f t="shared" si="19"/>
        <v>0.80828128044146696</v>
      </c>
      <c r="AA24" s="294">
        <f>$AD24*(1-2*$L$10*10^(-$C24/10)*$AB$5*SQRT(2*ER*($AD24*(ER-1)+ER+1))/($AD24*(ER-1)))</f>
        <v>0.55401156215416514</v>
      </c>
      <c r="AB24" s="66">
        <f t="shared" si="20"/>
        <v>0.58243667793155574</v>
      </c>
      <c r="AC24" s="65">
        <f t="shared" si="21"/>
        <v>0.58243667793155574</v>
      </c>
      <c r="AD24" s="65">
        <f t="shared" si="22"/>
        <v>0.61656256088293393</v>
      </c>
      <c r="AE24" s="22">
        <f t="shared" si="23"/>
        <v>1.1199407975178113</v>
      </c>
      <c r="AF24" s="22">
        <f t="shared" si="24"/>
        <v>0.72633173084488489</v>
      </c>
      <c r="AG24" s="22">
        <f t="shared" si="25"/>
        <v>1.1199407975178113</v>
      </c>
      <c r="AH24" s="22">
        <f t="shared" si="26"/>
        <v>0.72633173084488489</v>
      </c>
      <c r="AI24" s="22">
        <f t="shared" si="27"/>
        <v>0.92313626418134809</v>
      </c>
      <c r="AJ24" s="22">
        <f t="shared" si="28"/>
        <v>0.92313626418134809</v>
      </c>
      <c r="AK24" s="288">
        <f t="shared" ref="AK24:AK38" si="46">kRIN*10^6*$AK$7*$AK$7/(SQRT((1/F24)^2+(1/G24)^2+0.477*(1/$T$5)^2))*10^($G$4/10)</f>
        <v>6.2504220447749843E-4</v>
      </c>
      <c r="AL24" s="67">
        <f t="shared" si="29"/>
        <v>7.3900000000000006</v>
      </c>
      <c r="AM24" s="186">
        <f t="shared" si="35"/>
        <v>10</v>
      </c>
      <c r="AN24" s="187">
        <f t="shared" si="41"/>
        <v>10</v>
      </c>
      <c r="AO24" s="68">
        <f t="shared" si="36"/>
        <v>0</v>
      </c>
      <c r="AP24" s="334">
        <f t="shared" si="37"/>
        <v>0</v>
      </c>
      <c r="AQ24" s="335">
        <f t="shared" si="43"/>
        <v>0</v>
      </c>
      <c r="AR24" s="335">
        <f t="shared" si="38"/>
        <v>0</v>
      </c>
    </row>
    <row r="25" spans="1:44" s="71" customFormat="1" ht="15" customHeight="1">
      <c r="A25" s="60">
        <f t="shared" si="39"/>
        <v>9.25</v>
      </c>
      <c r="B25" s="61">
        <f t="shared" si="0"/>
        <v>3.8833474790481244</v>
      </c>
      <c r="C25" s="61">
        <f t="shared" si="1"/>
        <v>5.8833474790481244</v>
      </c>
      <c r="D25" s="178">
        <f t="shared" si="2"/>
        <v>-59.394590795618463</v>
      </c>
      <c r="E25" s="61">
        <f t="shared" si="3"/>
        <v>0.12043499999999999</v>
      </c>
      <c r="F25" s="62">
        <f t="shared" si="4"/>
        <v>15742.14192411638</v>
      </c>
      <c r="G25" s="62">
        <f t="shared" si="5"/>
        <v>36036.036036036036</v>
      </c>
      <c r="H25" s="63">
        <f t="shared" si="6"/>
        <v>78.861165899076624</v>
      </c>
      <c r="I25" s="63">
        <f t="shared" si="7"/>
        <v>89.626481200060169</v>
      </c>
      <c r="J25" s="394">
        <f t="shared" si="8"/>
        <v>2.1234026982533267</v>
      </c>
      <c r="K25" s="248">
        <f t="shared" si="9"/>
        <v>0.24741583223130847</v>
      </c>
      <c r="L25" s="264">
        <f t="shared" si="10"/>
        <v>0</v>
      </c>
      <c r="M25" s="265">
        <f t="shared" si="11"/>
        <v>0</v>
      </c>
      <c r="N25" s="355">
        <f>-10*LOG10(1-2*$L$10*10^(-$C25/10)*$AB$5*SQRT(2*ER*($AD25*(ER-1)+ER+1))/($AD25*(ER-1)))</f>
        <v>0.45517760385749445</v>
      </c>
      <c r="O25" s="61">
        <f t="shared" si="12"/>
        <v>-0.41002448356042537</v>
      </c>
      <c r="P25" s="61">
        <f t="shared" si="13"/>
        <v>0</v>
      </c>
      <c r="Q25" s="61">
        <f t="shared" si="14"/>
        <v>0</v>
      </c>
      <c r="R25" s="264">
        <f t="shared" si="44"/>
        <v>0.22990639723692929</v>
      </c>
      <c r="S25" s="61">
        <f t="shared" si="45"/>
        <v>0.18696102022991673</v>
      </c>
      <c r="T25" s="326">
        <f t="shared" si="42"/>
        <v>6.8787951986257916</v>
      </c>
      <c r="U25" s="272">
        <f t="shared" si="40"/>
        <v>7.1262110308571005</v>
      </c>
      <c r="V25" s="163">
        <f t="shared" si="15"/>
        <v>2.9954477195776672</v>
      </c>
      <c r="W25" s="179">
        <f t="shared" si="16"/>
        <v>0.51120480137420898</v>
      </c>
      <c r="X25" s="416">
        <f t="shared" si="17"/>
        <v>-10.007992643835834</v>
      </c>
      <c r="Y25" s="69">
        <f t="shared" si="18"/>
        <v>0.91973775530584612</v>
      </c>
      <c r="Z25" s="70">
        <f t="shared" si="19"/>
        <v>0.80664065541541219</v>
      </c>
      <c r="AA25" s="294">
        <f>$AD25*(1-2*$L$10*10^(-$C25/10)*$AB$5*SQRT(2*ER*($AD25*(ER-1)+ER+1))/($AD25*(ER-1)))</f>
        <v>0.55225794152755614</v>
      </c>
      <c r="AB25" s="66">
        <f t="shared" si="20"/>
        <v>0.57931949969986052</v>
      </c>
      <c r="AC25" s="65">
        <f t="shared" si="21"/>
        <v>0.57931949969986052</v>
      </c>
      <c r="AD25" s="65">
        <f t="shared" si="22"/>
        <v>0.61328131083082438</v>
      </c>
      <c r="AE25" s="22">
        <f t="shared" si="23"/>
        <v>1.1158177564370058</v>
      </c>
      <c r="AF25" s="22">
        <f t="shared" si="24"/>
        <v>0.72365775417468647</v>
      </c>
      <c r="AG25" s="22">
        <f t="shared" si="25"/>
        <v>1.1158177564370058</v>
      </c>
      <c r="AH25" s="22">
        <f t="shared" si="26"/>
        <v>0.72365775417468647</v>
      </c>
      <c r="AI25" s="22">
        <f t="shared" si="27"/>
        <v>0.91973775530584612</v>
      </c>
      <c r="AJ25" s="22">
        <f t="shared" si="28"/>
        <v>0.91973775530584612</v>
      </c>
      <c r="AK25" s="288">
        <f t="shared" si="46"/>
        <v>6.1875363758536579E-4</v>
      </c>
      <c r="AL25" s="67">
        <f t="shared" si="29"/>
        <v>7.3900000000000006</v>
      </c>
      <c r="AM25" s="186">
        <f t="shared" si="35"/>
        <v>10</v>
      </c>
      <c r="AN25" s="187">
        <f t="shared" si="41"/>
        <v>10</v>
      </c>
      <c r="AO25" s="68">
        <f t="shared" si="36"/>
        <v>0</v>
      </c>
      <c r="AP25" s="334">
        <f t="shared" si="37"/>
        <v>0</v>
      </c>
      <c r="AQ25" s="335">
        <f t="shared" si="43"/>
        <v>0</v>
      </c>
      <c r="AR25" s="335">
        <f t="shared" si="38"/>
        <v>0</v>
      </c>
    </row>
    <row r="26" spans="1:44" s="71" customFormat="1" ht="15" customHeight="1">
      <c r="A26" s="60">
        <f t="shared" si="39"/>
        <v>9.5</v>
      </c>
      <c r="B26" s="61">
        <f t="shared" si="0"/>
        <v>3.9883028163196954</v>
      </c>
      <c r="C26" s="61">
        <f t="shared" si="1"/>
        <v>5.9883028163196954</v>
      </c>
      <c r="D26" s="178">
        <f t="shared" si="2"/>
        <v>-60.999850006310851</v>
      </c>
      <c r="E26" s="61">
        <f t="shared" si="3"/>
        <v>0.12368999999999998</v>
      </c>
      <c r="F26" s="62">
        <f t="shared" si="4"/>
        <v>15327.875031376476</v>
      </c>
      <c r="G26" s="62">
        <f t="shared" si="5"/>
        <v>35087.719298245611</v>
      </c>
      <c r="H26" s="63">
        <f t="shared" si="6"/>
        <v>79.244798295136505</v>
      </c>
      <c r="I26" s="63">
        <f t="shared" si="7"/>
        <v>89.964219010559546</v>
      </c>
      <c r="J26" s="394">
        <f t="shared" si="8"/>
        <v>2.1472246131337682</v>
      </c>
      <c r="K26" s="248">
        <f t="shared" si="9"/>
        <v>0.24754938197834386</v>
      </c>
      <c r="L26" s="264">
        <f t="shared" si="10"/>
        <v>0</v>
      </c>
      <c r="M26" s="265">
        <f t="shared" si="11"/>
        <v>0</v>
      </c>
      <c r="N26" s="355">
        <f t="shared" ref="N26:N38" si="47">-10*LOG10(1-2*$L$10*10^(-$C26/10)*$AB$5*SQRT(2*ER*($AD26*(ER-1)+ER+1))/($AD26*(ER-1)))</f>
        <v>0.44603622442202506</v>
      </c>
      <c r="O26" s="61">
        <f t="shared" si="12"/>
        <v>-0.4211062263593558</v>
      </c>
      <c r="P26" s="61">
        <f t="shared" si="13"/>
        <v>0</v>
      </c>
      <c r="Q26" s="61">
        <f t="shared" si="14"/>
        <v>0</v>
      </c>
      <c r="R26" s="264">
        <f t="shared" si="44"/>
        <v>0.22907863379227256</v>
      </c>
      <c r="S26" s="61">
        <f t="shared" si="45"/>
        <v>0.18872883154103182</v>
      </c>
      <c r="T26" s="326">
        <f t="shared" si="42"/>
        <v>6.9993711192087931</v>
      </c>
      <c r="U26" s="272">
        <f t="shared" si="40"/>
        <v>7.2469205011871374</v>
      </c>
      <c r="V26" s="163">
        <f t="shared" si="15"/>
        <v>3.0110683028890977</v>
      </c>
      <c r="W26" s="179">
        <f t="shared" si="16"/>
        <v>0.3906288807912075</v>
      </c>
      <c r="X26" s="416">
        <f t="shared" si="17"/>
        <v>-10.103862743882836</v>
      </c>
      <c r="Y26" s="69">
        <f t="shared" si="18"/>
        <v>0.91628493573905634</v>
      </c>
      <c r="Z26" s="70">
        <f t="shared" si="19"/>
        <v>0.80496327510659071</v>
      </c>
      <c r="AA26" s="294">
        <f t="shared" ref="AA26:AA38" si="48">$AD26*(1-2*$L$10*10^(-$C26/10)*$AB$5*SQRT(2*ER*($AD26*(ER-1)+ER+1))/($AD26*(ER-1)))</f>
        <v>0.55039428560232206</v>
      </c>
      <c r="AB26" s="66">
        <f t="shared" si="20"/>
        <v>0.57613279947055895</v>
      </c>
      <c r="AC26" s="65">
        <f t="shared" si="21"/>
        <v>0.57613279947055895</v>
      </c>
      <c r="AD26" s="65">
        <f t="shared" si="22"/>
        <v>0.60992655021318143</v>
      </c>
      <c r="AE26" s="22">
        <f t="shared" si="23"/>
        <v>1.1116288261031455</v>
      </c>
      <c r="AF26" s="22">
        <f t="shared" si="24"/>
        <v>0.72094104537496717</v>
      </c>
      <c r="AG26" s="22">
        <f t="shared" si="25"/>
        <v>1.1116288261031455</v>
      </c>
      <c r="AH26" s="22">
        <f t="shared" si="26"/>
        <v>0.72094104537496717</v>
      </c>
      <c r="AI26" s="22">
        <f t="shared" si="27"/>
        <v>0.91628493573905634</v>
      </c>
      <c r="AJ26" s="22">
        <f t="shared" si="28"/>
        <v>0.91628493573905634</v>
      </c>
      <c r="AK26" s="288">
        <f t="shared" si="46"/>
        <v>6.1248647796537949E-4</v>
      </c>
      <c r="AL26" s="67">
        <f t="shared" si="29"/>
        <v>7.3900000000000006</v>
      </c>
      <c r="AM26" s="186">
        <f t="shared" si="35"/>
        <v>10</v>
      </c>
      <c r="AN26" s="187">
        <f t="shared" si="41"/>
        <v>10</v>
      </c>
      <c r="AO26" s="68">
        <f t="shared" si="36"/>
        <v>0</v>
      </c>
      <c r="AP26" s="334">
        <f t="shared" si="37"/>
        <v>0</v>
      </c>
      <c r="AQ26" s="335">
        <f t="shared" si="43"/>
        <v>0</v>
      </c>
      <c r="AR26" s="335">
        <f t="shared" si="38"/>
        <v>0</v>
      </c>
    </row>
    <row r="27" spans="1:44" s="71" customFormat="1" ht="15" customHeight="1">
      <c r="A27" s="60">
        <f t="shared" si="39"/>
        <v>9.75</v>
      </c>
      <c r="B27" s="61">
        <f t="shared" si="0"/>
        <v>4.0932581535912664</v>
      </c>
      <c r="C27" s="61">
        <f t="shared" si="1"/>
        <v>6.0932581535912664</v>
      </c>
      <c r="D27" s="178">
        <f t="shared" si="2"/>
        <v>-62.605109217003246</v>
      </c>
      <c r="E27" s="61">
        <f t="shared" si="3"/>
        <v>0.12694499999999997</v>
      </c>
      <c r="F27" s="62">
        <f t="shared" si="4"/>
        <v>14934.852594674514</v>
      </c>
      <c r="G27" s="62">
        <f t="shared" si="5"/>
        <v>34188.034188034188</v>
      </c>
      <c r="H27" s="63">
        <f t="shared" si="6"/>
        <v>79.636738267640808</v>
      </c>
      <c r="I27" s="63">
        <f t="shared" si="7"/>
        <v>90.309649137020671</v>
      </c>
      <c r="J27" s="394">
        <f t="shared" si="8"/>
        <v>2.1716951062102394</v>
      </c>
      <c r="K27" s="248">
        <f t="shared" si="9"/>
        <v>0.24768452454961309</v>
      </c>
      <c r="L27" s="264">
        <f t="shared" si="10"/>
        <v>0</v>
      </c>
      <c r="M27" s="265">
        <f t="shared" si="11"/>
        <v>0</v>
      </c>
      <c r="N27" s="355">
        <f t="shared" si="47"/>
        <v>0.43715052633457091</v>
      </c>
      <c r="O27" s="61">
        <f t="shared" si="12"/>
        <v>-0.43218796915828622</v>
      </c>
      <c r="P27" s="61">
        <f t="shared" si="13"/>
        <v>0</v>
      </c>
      <c r="Q27" s="61">
        <f t="shared" si="14"/>
        <v>0</v>
      </c>
      <c r="R27" s="264">
        <f t="shared" si="44"/>
        <v>0.22833976368628112</v>
      </c>
      <c r="S27" s="61">
        <f t="shared" si="45"/>
        <v>0.19063755983745334</v>
      </c>
      <c r="T27" s="326">
        <f t="shared" si="42"/>
        <v>7.1210811096598112</v>
      </c>
      <c r="U27" s="272">
        <f t="shared" si="40"/>
        <v>7.3687656342094243</v>
      </c>
      <c r="V27" s="163">
        <f t="shared" si="15"/>
        <v>3.0278229560685448</v>
      </c>
      <c r="W27" s="179">
        <f t="shared" si="16"/>
        <v>0.26891889034018934</v>
      </c>
      <c r="X27" s="416">
        <f t="shared" si="17"/>
        <v>-10.200147877109174</v>
      </c>
      <c r="Y27" s="69">
        <f t="shared" si="18"/>
        <v>0.91278018929998495</v>
      </c>
      <c r="Z27" s="70">
        <f t="shared" si="19"/>
        <v>0.80324977947342036</v>
      </c>
      <c r="AA27" s="294">
        <f t="shared" si="48"/>
        <v>0.54842271791418895</v>
      </c>
      <c r="AB27" s="66">
        <f t="shared" si="20"/>
        <v>0.57287785804884805</v>
      </c>
      <c r="AC27" s="65">
        <f t="shared" si="21"/>
        <v>0.57287785804884805</v>
      </c>
      <c r="AD27" s="65">
        <f t="shared" si="22"/>
        <v>0.60649955894684071</v>
      </c>
      <c r="AE27" s="22">
        <f t="shared" si="23"/>
        <v>1.1073768985444852</v>
      </c>
      <c r="AF27" s="22">
        <f t="shared" si="24"/>
        <v>0.7181834800554846</v>
      </c>
      <c r="AG27" s="22">
        <f t="shared" si="25"/>
        <v>1.1073768985444852</v>
      </c>
      <c r="AH27" s="22">
        <f t="shared" si="26"/>
        <v>0.7181834800554846</v>
      </c>
      <c r="AI27" s="22">
        <f t="shared" si="27"/>
        <v>0.91278018929998495</v>
      </c>
      <c r="AJ27" s="22">
        <f t="shared" si="28"/>
        <v>0.91278018929998495</v>
      </c>
      <c r="AK27" s="288">
        <f t="shared" si="46"/>
        <v>6.0624629746237576E-4</v>
      </c>
      <c r="AL27" s="67">
        <f t="shared" si="29"/>
        <v>7.3900000000000006</v>
      </c>
      <c r="AM27" s="186">
        <f t="shared" si="35"/>
        <v>10</v>
      </c>
      <c r="AN27" s="187">
        <f t="shared" si="41"/>
        <v>10</v>
      </c>
      <c r="AO27" s="68">
        <f t="shared" si="36"/>
        <v>0</v>
      </c>
      <c r="AP27" s="334">
        <f>IF($A27=$L$3,I27,0)</f>
        <v>0</v>
      </c>
      <c r="AQ27" s="335">
        <f t="shared" si="43"/>
        <v>0</v>
      </c>
      <c r="AR27" s="335">
        <f t="shared" si="38"/>
        <v>0</v>
      </c>
    </row>
    <row r="28" spans="1:44" s="59" customFormat="1" ht="15" customHeight="1">
      <c r="A28" s="48">
        <f t="shared" si="39"/>
        <v>10</v>
      </c>
      <c r="B28" s="49">
        <f t="shared" si="0"/>
        <v>4.1982134908628375</v>
      </c>
      <c r="C28" s="49">
        <f t="shared" si="1"/>
        <v>6.1982134908628375</v>
      </c>
      <c r="D28" s="175">
        <f t="shared" si="2"/>
        <v>-64.210368427695641</v>
      </c>
      <c r="E28" s="49">
        <f t="shared" si="3"/>
        <v>0.13019999999999998</v>
      </c>
      <c r="F28" s="50">
        <f t="shared" si="4"/>
        <v>14561.481279807653</v>
      </c>
      <c r="G28" s="50">
        <f t="shared" si="5"/>
        <v>33333.333333333328</v>
      </c>
      <c r="H28" s="51">
        <f t="shared" si="6"/>
        <v>80.03686377024809</v>
      </c>
      <c r="I28" s="51">
        <f t="shared" si="7"/>
        <v>90.662683654965264</v>
      </c>
      <c r="J28" s="393">
        <f t="shared" si="8"/>
        <v>2.1968144761266282</v>
      </c>
      <c r="K28" s="247">
        <f t="shared" si="9"/>
        <v>0.24782298466921038</v>
      </c>
      <c r="L28" s="262">
        <f t="shared" si="10"/>
        <v>0</v>
      </c>
      <c r="M28" s="263">
        <f t="shared" si="11"/>
        <v>0</v>
      </c>
      <c r="N28" s="362">
        <f t="shared" si="47"/>
        <v>0.42851223710399156</v>
      </c>
      <c r="O28" s="49">
        <f t="shared" si="12"/>
        <v>-0.44326971195721665</v>
      </c>
      <c r="P28" s="49">
        <f t="shared" si="13"/>
        <v>0</v>
      </c>
      <c r="Q28" s="49">
        <f t="shared" si="14"/>
        <v>0</v>
      </c>
      <c r="R28" s="262">
        <f t="shared" si="44"/>
        <v>0.227689879625046</v>
      </c>
      <c r="S28" s="49">
        <f t="shared" si="45"/>
        <v>0.19268926270317038</v>
      </c>
      <c r="T28" s="275">
        <f t="shared" si="42"/>
        <v>7.2439193464216727</v>
      </c>
      <c r="U28" s="271">
        <f t="shared" si="40"/>
        <v>7.4917423310908839</v>
      </c>
      <c r="V28" s="176">
        <f t="shared" si="15"/>
        <v>3.0457058555588352</v>
      </c>
      <c r="W28" s="177">
        <f t="shared" si="16"/>
        <v>0.14608065357832789</v>
      </c>
      <c r="X28" s="415">
        <f t="shared" si="17"/>
        <v>-10.296840892521786</v>
      </c>
      <c r="Y28" s="56">
        <f t="shared" si="18"/>
        <v>0.90922588337026811</v>
      </c>
      <c r="Z28" s="57">
        <f t="shared" si="19"/>
        <v>0.80150086101729601</v>
      </c>
      <c r="AA28" s="293">
        <f t="shared" si="48"/>
        <v>0.54634544758654513</v>
      </c>
      <c r="AB28" s="53">
        <f t="shared" si="20"/>
        <v>0.56955576736989366</v>
      </c>
      <c r="AC28" s="52">
        <f t="shared" si="21"/>
        <v>0.56955576736989366</v>
      </c>
      <c r="AD28" s="52">
        <f t="shared" si="22"/>
        <v>0.60300172203459201</v>
      </c>
      <c r="AE28" s="58">
        <f t="shared" si="23"/>
        <v>1.1030648458476069</v>
      </c>
      <c r="AF28" s="58">
        <f t="shared" si="24"/>
        <v>0.71538692089292921</v>
      </c>
      <c r="AG28" s="58">
        <f t="shared" si="25"/>
        <v>1.1030648458476069</v>
      </c>
      <c r="AH28" s="58">
        <f t="shared" si="26"/>
        <v>0.71538692089292921</v>
      </c>
      <c r="AI28" s="58">
        <f t="shared" si="27"/>
        <v>0.90922588337026811</v>
      </c>
      <c r="AJ28" s="58">
        <f t="shared" si="28"/>
        <v>0.90922588337026811</v>
      </c>
      <c r="AK28" s="299">
        <f t="shared" si="46"/>
        <v>6.0003822075932857E-4</v>
      </c>
      <c r="AL28" s="54">
        <f t="shared" si="29"/>
        <v>7.3900000000000006</v>
      </c>
      <c r="AM28" s="185">
        <f t="shared" si="35"/>
        <v>10</v>
      </c>
      <c r="AN28" s="188">
        <f t="shared" si="41"/>
        <v>10</v>
      </c>
      <c r="AO28" s="55">
        <f t="shared" si="36"/>
        <v>0.14608065357832789</v>
      </c>
      <c r="AP28" s="332">
        <f t="shared" ref="AP28:AP38" si="49">IF($A28=$L$3,I28,0)</f>
        <v>90.662683654965264</v>
      </c>
      <c r="AQ28" s="333">
        <f>IF($A28=$L$3,B_1*Tb_eff*(1+$G$9)/(SQRT(8)*SQRT($H28^2+$AG$8^2)),0)</f>
        <v>0.90317740325007578</v>
      </c>
      <c r="AR28" s="333">
        <f>IF($A28=$L$3,B_1*Tb_eff*(1-$G$9)/(SQRT(8)*SQRT($H28^2+$AG$8^2)),0)</f>
        <v>0.90317740325007578</v>
      </c>
    </row>
    <row r="29" spans="1:44" s="71" customFormat="1" ht="15" customHeight="1">
      <c r="A29" s="60">
        <f t="shared" si="39"/>
        <v>10.25</v>
      </c>
      <c r="B29" s="61">
        <f t="shared" si="0"/>
        <v>4.3031688281344085</v>
      </c>
      <c r="C29" s="61">
        <f t="shared" si="1"/>
        <v>6.3031688281344085</v>
      </c>
      <c r="D29" s="178">
        <f t="shared" si="2"/>
        <v>-65.815627638388023</v>
      </c>
      <c r="E29" s="61">
        <f t="shared" si="3"/>
        <v>0.13345499999999999</v>
      </c>
      <c r="F29" s="62">
        <f t="shared" si="4"/>
        <v>14206.323199812345</v>
      </c>
      <c r="G29" s="62">
        <f t="shared" si="5"/>
        <v>32520.325203252032</v>
      </c>
      <c r="H29" s="63">
        <f t="shared" si="6"/>
        <v>80.445052661070775</v>
      </c>
      <c r="I29" s="63">
        <f t="shared" si="7"/>
        <v>91.023234083312502</v>
      </c>
      <c r="J29" s="394">
        <f t="shared" si="8"/>
        <v>2.2225847506458414</v>
      </c>
      <c r="K29" s="248">
        <f t="shared" si="9"/>
        <v>0.24796309171510789</v>
      </c>
      <c r="L29" s="264">
        <f t="shared" si="10"/>
        <v>0</v>
      </c>
      <c r="M29" s="265">
        <f t="shared" si="11"/>
        <v>0</v>
      </c>
      <c r="N29" s="355">
        <f t="shared" si="47"/>
        <v>0.4201135595583611</v>
      </c>
      <c r="O29" s="61">
        <f t="shared" si="12"/>
        <v>-0.45435145475614702</v>
      </c>
      <c r="P29" s="61">
        <f t="shared" si="13"/>
        <v>0</v>
      </c>
      <c r="Q29" s="61">
        <f t="shared" si="14"/>
        <v>0</v>
      </c>
      <c r="R29" s="264">
        <f t="shared" si="44"/>
        <v>0.22712932326730978</v>
      </c>
      <c r="S29" s="61">
        <f t="shared" si="45"/>
        <v>0.19488653844728243</v>
      </c>
      <c r="T29" s="326">
        <f t="shared" si="42"/>
        <v>7.3678830000532036</v>
      </c>
      <c r="U29" s="272">
        <f t="shared" si="40"/>
        <v>7.6158460917683106</v>
      </c>
      <c r="V29" s="163">
        <f t="shared" si="15"/>
        <v>3.0647141719187951</v>
      </c>
      <c r="W29" s="179">
        <f t="shared" si="16"/>
        <v>2.2116999946796945E-2</v>
      </c>
      <c r="X29" s="416">
        <f t="shared" si="17"/>
        <v>-10.393935633762048</v>
      </c>
      <c r="Y29" s="69">
        <f t="shared" si="18"/>
        <v>0.90562436574660843</v>
      </c>
      <c r="Z29" s="70">
        <f t="shared" si="19"/>
        <v>0.79971710515360828</v>
      </c>
      <c r="AA29" s="294">
        <f t="shared" si="48"/>
        <v>0.54416445358015242</v>
      </c>
      <c r="AB29" s="66">
        <f t="shared" si="20"/>
        <v>0.56616786508124983</v>
      </c>
      <c r="AC29" s="65">
        <f t="shared" si="21"/>
        <v>0.56616786508124983</v>
      </c>
      <c r="AD29" s="65">
        <f t="shared" si="22"/>
        <v>0.59943421030721655</v>
      </c>
      <c r="AE29" s="22">
        <f t="shared" si="23"/>
        <v>1.0986955163388232</v>
      </c>
      <c r="AF29" s="22">
        <f t="shared" si="24"/>
        <v>0.71255321515439352</v>
      </c>
      <c r="AG29" s="22">
        <f t="shared" si="25"/>
        <v>1.0986955163388232</v>
      </c>
      <c r="AH29" s="22">
        <f t="shared" si="26"/>
        <v>0.71255321515439352</v>
      </c>
      <c r="AI29" s="22">
        <f t="shared" si="27"/>
        <v>0.90562436574660843</v>
      </c>
      <c r="AJ29" s="22">
        <f t="shared" si="28"/>
        <v>0.90562436574660843</v>
      </c>
      <c r="AK29" s="288">
        <f t="shared" si="46"/>
        <v>5.938669438995093E-4</v>
      </c>
      <c r="AL29" s="67">
        <f t="shared" si="29"/>
        <v>7.3900000000000006</v>
      </c>
      <c r="AM29" s="186">
        <f t="shared" si="35"/>
        <v>10</v>
      </c>
      <c r="AN29" s="187">
        <f t="shared" si="41"/>
        <v>10</v>
      </c>
      <c r="AO29" s="68">
        <f t="shared" si="36"/>
        <v>0</v>
      </c>
      <c r="AP29" s="334">
        <f t="shared" si="49"/>
        <v>0</v>
      </c>
      <c r="AQ29" s="335">
        <f t="shared" si="43"/>
        <v>0</v>
      </c>
      <c r="AR29" s="335">
        <f t="shared" ref="AR29:AR37" si="50">IF($A29=$L$3,B_1*Tb_eff*(1-$G$9)/(SQRT(8)*SQRT($H29^2+$AG$8^2)),0)</f>
        <v>0</v>
      </c>
    </row>
    <row r="30" spans="1:44" s="71" customFormat="1" ht="15" customHeight="1">
      <c r="A30" s="60">
        <f t="shared" si="39"/>
        <v>10.5</v>
      </c>
      <c r="B30" s="61">
        <f t="shared" si="0"/>
        <v>4.4081241654059795</v>
      </c>
      <c r="C30" s="61">
        <f t="shared" si="1"/>
        <v>6.4081241654059795</v>
      </c>
      <c r="D30" s="178">
        <f t="shared" si="2"/>
        <v>-67.420886849080418</v>
      </c>
      <c r="E30" s="61">
        <f t="shared" si="3"/>
        <v>0.13671</v>
      </c>
      <c r="F30" s="62">
        <f t="shared" si="4"/>
        <v>13868.077409340622</v>
      </c>
      <c r="G30" s="62">
        <f t="shared" si="5"/>
        <v>31746.031746031746</v>
      </c>
      <c r="H30" s="63">
        <f t="shared" si="6"/>
        <v>80.861182827759322</v>
      </c>
      <c r="I30" s="63">
        <f t="shared" si="7"/>
        <v>91.391211468321018</v>
      </c>
      <c r="J30" s="394">
        <f t="shared" si="8"/>
        <v>2.2490063177328379</v>
      </c>
      <c r="K30" s="248">
        <f t="shared" si="9"/>
        <v>0.24810584448174255</v>
      </c>
      <c r="L30" s="264">
        <f t="shared" si="10"/>
        <v>0</v>
      </c>
      <c r="M30" s="265">
        <f t="shared" si="11"/>
        <v>0</v>
      </c>
      <c r="N30" s="355">
        <f t="shared" si="47"/>
        <v>0.41194684095319956</v>
      </c>
      <c r="O30" s="61">
        <f t="shared" si="12"/>
        <v>-0.46543319755507745</v>
      </c>
      <c r="P30" s="61">
        <f t="shared" si="13"/>
        <v>0</v>
      </c>
      <c r="Q30" s="61">
        <f t="shared" si="14"/>
        <v>0</v>
      </c>
      <c r="R30" s="264">
        <f t="shared" si="44"/>
        <v>0.2266582807287309</v>
      </c>
      <c r="S30" s="61">
        <f t="shared" si="45"/>
        <v>0.19723200130474744</v>
      </c>
      <c r="T30" s="326">
        <f t="shared" si="42"/>
        <v>7.4929676061254948</v>
      </c>
      <c r="U30" s="272">
        <f t="shared" si="40"/>
        <v>7.7410734506072378</v>
      </c>
      <c r="V30" s="163">
        <f t="shared" si="15"/>
        <v>3.0848434407195153</v>
      </c>
      <c r="W30" s="179">
        <f t="shared" si="16"/>
        <v>-0.10296760612549427</v>
      </c>
      <c r="X30" s="416">
        <f t="shared" si="17"/>
        <v>-10.49142594131861</v>
      </c>
      <c r="Y30" s="69">
        <f t="shared" si="18"/>
        <v>0.90197796167171607</v>
      </c>
      <c r="Z30" s="70">
        <f t="shared" si="19"/>
        <v>0.79789922444125283</v>
      </c>
      <c r="AA30" s="294">
        <f t="shared" si="48"/>
        <v>0.54188194894808539</v>
      </c>
      <c r="AB30" s="66">
        <f t="shared" si="20"/>
        <v>0.56271537796718452</v>
      </c>
      <c r="AC30" s="65">
        <f t="shared" si="21"/>
        <v>0.56271537796718452</v>
      </c>
      <c r="AD30" s="65">
        <f t="shared" si="22"/>
        <v>0.59579844888250566</v>
      </c>
      <c r="AE30" s="22">
        <f t="shared" si="23"/>
        <v>1.0942717309821417</v>
      </c>
      <c r="AF30" s="22">
        <f t="shared" si="24"/>
        <v>0.70968419236129032</v>
      </c>
      <c r="AG30" s="22">
        <f t="shared" si="25"/>
        <v>1.0942717309821417</v>
      </c>
      <c r="AH30" s="22">
        <f t="shared" si="26"/>
        <v>0.70968419236129032</v>
      </c>
      <c r="AI30" s="22">
        <f t="shared" si="27"/>
        <v>0.90197796167171607</v>
      </c>
      <c r="AJ30" s="22">
        <f t="shared" si="28"/>
        <v>0.90197796167171607</v>
      </c>
      <c r="AK30" s="288">
        <f t="shared" si="46"/>
        <v>5.8773675349778191E-4</v>
      </c>
      <c r="AL30" s="67">
        <f t="shared" si="29"/>
        <v>7.3900000000000006</v>
      </c>
      <c r="AM30" s="186">
        <f t="shared" si="35"/>
        <v>10</v>
      </c>
      <c r="AN30" s="187">
        <f t="shared" si="41"/>
        <v>10</v>
      </c>
      <c r="AO30" s="68">
        <f t="shared" si="36"/>
        <v>0</v>
      </c>
      <c r="AP30" s="334">
        <f t="shared" si="49"/>
        <v>0</v>
      </c>
      <c r="AQ30" s="335">
        <f t="shared" si="43"/>
        <v>0</v>
      </c>
      <c r="AR30" s="335">
        <f t="shared" si="50"/>
        <v>0</v>
      </c>
    </row>
    <row r="31" spans="1:44" s="71" customFormat="1" ht="15" customHeight="1">
      <c r="A31" s="60">
        <f t="shared" si="39"/>
        <v>10.75</v>
      </c>
      <c r="B31" s="61">
        <f t="shared" si="0"/>
        <v>4.5130795026775505</v>
      </c>
      <c r="C31" s="61">
        <f t="shared" si="1"/>
        <v>6.5130795026775505</v>
      </c>
      <c r="D31" s="178">
        <f t="shared" si="2"/>
        <v>-69.026146059772813</v>
      </c>
      <c r="E31" s="61">
        <f t="shared" si="3"/>
        <v>0.13996499999999998</v>
      </c>
      <c r="F31" s="62">
        <f t="shared" si="4"/>
        <v>13545.563981216421</v>
      </c>
      <c r="G31" s="62">
        <f t="shared" si="5"/>
        <v>31007.751937984493</v>
      </c>
      <c r="H31" s="63">
        <f t="shared" si="6"/>
        <v>81.285132306977644</v>
      </c>
      <c r="I31" s="63">
        <f t="shared" si="7"/>
        <v>91.766526465296238</v>
      </c>
      <c r="J31" s="394">
        <f t="shared" si="8"/>
        <v>2.2760801404790918</v>
      </c>
      <c r="K31" s="248">
        <f t="shared" si="9"/>
        <v>0.24824887726803668</v>
      </c>
      <c r="L31" s="264">
        <f t="shared" si="10"/>
        <v>0</v>
      </c>
      <c r="M31" s="265">
        <f t="shared" si="11"/>
        <v>0</v>
      </c>
      <c r="N31" s="355">
        <f t="shared" si="47"/>
        <v>0.40400476876675023</v>
      </c>
      <c r="O31" s="61">
        <f t="shared" si="12"/>
        <v>-0.47651494035400788</v>
      </c>
      <c r="P31" s="61">
        <f t="shared" si="13"/>
        <v>0</v>
      </c>
      <c r="Q31" s="61">
        <f t="shared" si="14"/>
        <v>0</v>
      </c>
      <c r="R31" s="264">
        <f t="shared" si="44"/>
        <v>0.22627705491384206</v>
      </c>
      <c r="S31" s="61">
        <f t="shared" si="45"/>
        <v>0.19972863628444057</v>
      </c>
      <c r="T31" s="326">
        <f t="shared" si="42"/>
        <v>7.6191701031216752</v>
      </c>
      <c r="U31" s="272">
        <f t="shared" si="40"/>
        <v>7.8674189803897114</v>
      </c>
      <c r="V31" s="163">
        <f t="shared" si="15"/>
        <v>3.1060906004441247</v>
      </c>
      <c r="W31" s="179">
        <f t="shared" si="16"/>
        <v>-0.22917010312167463</v>
      </c>
      <c r="X31" s="416">
        <f t="shared" si="17"/>
        <v>-10.589306298078693</v>
      </c>
      <c r="Y31" s="69">
        <f t="shared" si="18"/>
        <v>0.89828897104522043</v>
      </c>
      <c r="Z31" s="70">
        <f t="shared" si="19"/>
        <v>0.79604790375189072</v>
      </c>
      <c r="AA31" s="294">
        <f t="shared" si="48"/>
        <v>0.53950007460485438</v>
      </c>
      <c r="AB31" s="66">
        <f t="shared" si="20"/>
        <v>0.55919991693355975</v>
      </c>
      <c r="AC31" s="65">
        <f t="shared" si="21"/>
        <v>0.55919991693355975</v>
      </c>
      <c r="AD31" s="65">
        <f t="shared" si="22"/>
        <v>0.59209580750378143</v>
      </c>
      <c r="AE31" s="22">
        <f t="shared" si="23"/>
        <v>1.0897962799955672</v>
      </c>
      <c r="AF31" s="22">
        <f t="shared" si="24"/>
        <v>0.7067816620948737</v>
      </c>
      <c r="AG31" s="22">
        <f t="shared" si="25"/>
        <v>1.0897962799955672</v>
      </c>
      <c r="AH31" s="22">
        <f t="shared" si="26"/>
        <v>0.7067816620948737</v>
      </c>
      <c r="AI31" s="22">
        <f t="shared" si="27"/>
        <v>0.89828897104522043</v>
      </c>
      <c r="AJ31" s="22">
        <f t="shared" si="28"/>
        <v>0.89828897104522043</v>
      </c>
      <c r="AK31" s="288">
        <f t="shared" si="46"/>
        <v>5.8165154638634641E-4</v>
      </c>
      <c r="AL31" s="67">
        <f t="shared" si="29"/>
        <v>7.3900000000000006</v>
      </c>
      <c r="AM31" s="186">
        <f t="shared" si="35"/>
        <v>10</v>
      </c>
      <c r="AN31" s="187">
        <f t="shared" si="41"/>
        <v>10</v>
      </c>
      <c r="AO31" s="68">
        <f t="shared" si="36"/>
        <v>0</v>
      </c>
      <c r="AP31" s="334">
        <f t="shared" si="49"/>
        <v>0</v>
      </c>
      <c r="AQ31" s="335">
        <f t="shared" si="43"/>
        <v>0</v>
      </c>
      <c r="AR31" s="335">
        <f t="shared" si="50"/>
        <v>0</v>
      </c>
    </row>
    <row r="32" spans="1:44" s="71" customFormat="1" ht="15" customHeight="1">
      <c r="A32" s="60">
        <f t="shared" si="39"/>
        <v>11</v>
      </c>
      <c r="B32" s="61">
        <f t="shared" si="0"/>
        <v>4.6180348399491216</v>
      </c>
      <c r="C32" s="61">
        <f t="shared" si="1"/>
        <v>6.6180348399491216</v>
      </c>
      <c r="D32" s="178">
        <f t="shared" si="2"/>
        <v>-70.631405270465194</v>
      </c>
      <c r="E32" s="61">
        <f t="shared" si="3"/>
        <v>0.14321999999999999</v>
      </c>
      <c r="F32" s="62">
        <f t="shared" si="4"/>
        <v>13237.710254370595</v>
      </c>
      <c r="G32" s="62">
        <f t="shared" si="5"/>
        <v>30303.0303030303</v>
      </c>
      <c r="H32" s="63">
        <f t="shared" si="6"/>
        <v>81.716779398224418</v>
      </c>
      <c r="I32" s="63">
        <f t="shared" si="7"/>
        <v>92.149089417970529</v>
      </c>
      <c r="J32" s="394">
        <f t="shared" si="8"/>
        <v>2.3038072170877681</v>
      </c>
      <c r="K32" s="248">
        <f t="shared" si="9"/>
        <v>0.24839696448299886</v>
      </c>
      <c r="L32" s="264">
        <f t="shared" si="10"/>
        <v>0</v>
      </c>
      <c r="M32" s="265">
        <f t="shared" si="11"/>
        <v>0</v>
      </c>
      <c r="N32" s="355">
        <f t="shared" si="47"/>
        <v>0.39628030662802238</v>
      </c>
      <c r="O32" s="61">
        <f t="shared" si="12"/>
        <v>-0.48759668315293825</v>
      </c>
      <c r="P32" s="61">
        <f t="shared" si="13"/>
        <v>0</v>
      </c>
      <c r="Q32" s="61">
        <f t="shared" si="14"/>
        <v>0</v>
      </c>
      <c r="R32" s="264">
        <f t="shared" si="44"/>
        <v>0.22598600386687404</v>
      </c>
      <c r="S32" s="61">
        <f t="shared" si="45"/>
        <v>0.20237972228405068</v>
      </c>
      <c r="T32" s="326">
        <f t="shared" si="42"/>
        <v>7.7464880898158368</v>
      </c>
      <c r="U32" s="272">
        <f t="shared" si="40"/>
        <v>7.9948850542988357</v>
      </c>
      <c r="V32" s="163">
        <f t="shared" si="15"/>
        <v>3.1284532498667152</v>
      </c>
      <c r="W32" s="179">
        <f t="shared" si="16"/>
        <v>-0.35648808981583624</v>
      </c>
      <c r="X32" s="416">
        <f t="shared" si="17"/>
        <v>-10.68757166516437</v>
      </c>
      <c r="Y32" s="69">
        <f t="shared" si="18"/>
        <v>0.89455966581509416</v>
      </c>
      <c r="Z32" s="70">
        <f t="shared" si="19"/>
        <v>0.79416383760972276</v>
      </c>
      <c r="AA32" s="294">
        <f t="shared" si="48"/>
        <v>0.53702097363437884</v>
      </c>
      <c r="AB32" s="66">
        <f t="shared" si="20"/>
        <v>0.55562218989909562</v>
      </c>
      <c r="AC32" s="65">
        <f t="shared" si="21"/>
        <v>0.55562218989909562</v>
      </c>
      <c r="AD32" s="65">
        <f t="shared" si="22"/>
        <v>0.58832767521944551</v>
      </c>
      <c r="AE32" s="22">
        <f t="shared" si="23"/>
        <v>1.0852719196864</v>
      </c>
      <c r="AF32" s="22">
        <f t="shared" si="24"/>
        <v>0.70384741194378841</v>
      </c>
      <c r="AG32" s="22">
        <f t="shared" si="25"/>
        <v>1.0852719196864</v>
      </c>
      <c r="AH32" s="22">
        <f t="shared" si="26"/>
        <v>0.70384741194378841</v>
      </c>
      <c r="AI32" s="22">
        <f t="shared" si="27"/>
        <v>0.89455966581509416</v>
      </c>
      <c r="AJ32" s="22">
        <f t="shared" si="28"/>
        <v>0.89455966581509416</v>
      </c>
      <c r="AK32" s="288">
        <f t="shared" si="46"/>
        <v>5.7561484947162077E-4</v>
      </c>
      <c r="AL32" s="67">
        <f t="shared" si="29"/>
        <v>7.3900000000000006</v>
      </c>
      <c r="AM32" s="186">
        <f t="shared" si="35"/>
        <v>10</v>
      </c>
      <c r="AN32" s="187">
        <f t="shared" si="41"/>
        <v>10</v>
      </c>
      <c r="AO32" s="68">
        <f t="shared" si="36"/>
        <v>0</v>
      </c>
      <c r="AP32" s="334">
        <f t="shared" si="49"/>
        <v>0</v>
      </c>
      <c r="AQ32" s="335">
        <f t="shared" si="43"/>
        <v>0</v>
      </c>
      <c r="AR32" s="335">
        <f t="shared" si="50"/>
        <v>0</v>
      </c>
    </row>
    <row r="33" spans="1:49" s="59" customFormat="1" ht="15" customHeight="1">
      <c r="A33" s="48">
        <f t="shared" si="39"/>
        <v>11.25</v>
      </c>
      <c r="B33" s="49">
        <f t="shared" si="0"/>
        <v>4.7229901772206917</v>
      </c>
      <c r="C33" s="49">
        <f t="shared" si="1"/>
        <v>6.7229901772206917</v>
      </c>
      <c r="D33" s="175">
        <f t="shared" si="2"/>
        <v>-72.23666448115759</v>
      </c>
      <c r="E33" s="49">
        <f t="shared" si="3"/>
        <v>0.14647499999999999</v>
      </c>
      <c r="F33" s="50">
        <f t="shared" si="4"/>
        <v>12943.538915384577</v>
      </c>
      <c r="G33" s="50">
        <f t="shared" si="5"/>
        <v>29629.629629629628</v>
      </c>
      <c r="H33" s="51">
        <f t="shared" si="6"/>
        <v>82.156002771982287</v>
      </c>
      <c r="I33" s="51">
        <f t="shared" si="7"/>
        <v>92.538810435476279</v>
      </c>
      <c r="J33" s="393">
        <f t="shared" si="8"/>
        <v>2.3321885852216244</v>
      </c>
      <c r="K33" s="247">
        <f t="shared" si="9"/>
        <v>0.24854809965908276</v>
      </c>
      <c r="L33" s="262">
        <f t="shared" si="10"/>
        <v>0</v>
      </c>
      <c r="M33" s="263">
        <f t="shared" si="11"/>
        <v>0</v>
      </c>
      <c r="N33" s="362">
        <f t="shared" si="47"/>
        <v>0.38876668254722468</v>
      </c>
      <c r="O33" s="49">
        <f t="shared" si="12"/>
        <v>-0.49867842595186868</v>
      </c>
      <c r="P33" s="49">
        <f t="shared" si="13"/>
        <v>0</v>
      </c>
      <c r="Q33" s="49">
        <f t="shared" si="14"/>
        <v>0</v>
      </c>
      <c r="R33" s="262">
        <f t="shared" si="44"/>
        <v>0.2257855453555932</v>
      </c>
      <c r="S33" s="49">
        <f t="shared" si="45"/>
        <v>0.20518884191357528</v>
      </c>
      <c r="T33" s="275">
        <f t="shared" si="42"/>
        <v>7.8749198322587084</v>
      </c>
      <c r="U33" s="271">
        <f t="shared" si="40"/>
        <v>8.1234679319177925</v>
      </c>
      <c r="V33" s="176">
        <f t="shared" si="15"/>
        <v>3.1519296550380167</v>
      </c>
      <c r="W33" s="177">
        <f t="shared" si="16"/>
        <v>-0.48491983225870783</v>
      </c>
      <c r="X33" s="415">
        <f t="shared" si="17"/>
        <v>-10.786217479658625</v>
      </c>
      <c r="Y33" s="56">
        <f t="shared" si="18"/>
        <v>0.89079228754925688</v>
      </c>
      <c r="Z33" s="57">
        <f t="shared" si="19"/>
        <v>0.79224772952786182</v>
      </c>
      <c r="AA33" s="293">
        <f t="shared" si="48"/>
        <v>0.5344467903356187</v>
      </c>
      <c r="AB33" s="53">
        <f t="shared" si="20"/>
        <v>0.55198379945180598</v>
      </c>
      <c r="AC33" s="52">
        <f t="shared" si="21"/>
        <v>0.55198379945180598</v>
      </c>
      <c r="AD33" s="52">
        <f t="shared" si="22"/>
        <v>0.58449545905572364</v>
      </c>
      <c r="AE33" s="58">
        <f t="shared" si="23"/>
        <v>1.0807013695051275</v>
      </c>
      <c r="AF33" s="58">
        <f t="shared" si="24"/>
        <v>0.70088320559338602</v>
      </c>
      <c r="AG33" s="58">
        <f t="shared" si="25"/>
        <v>1.0807013695051275</v>
      </c>
      <c r="AH33" s="58">
        <f t="shared" si="26"/>
        <v>0.70088320559338602</v>
      </c>
      <c r="AI33" s="58">
        <f t="shared" si="27"/>
        <v>0.89079228754925688</v>
      </c>
      <c r="AJ33" s="58">
        <f t="shared" si="28"/>
        <v>0.89079228754925688</v>
      </c>
      <c r="AK33" s="299">
        <f t="shared" si="46"/>
        <v>5.6962983960861917E-4</v>
      </c>
      <c r="AL33" s="54">
        <f t="shared" si="29"/>
        <v>7.3900000000000006</v>
      </c>
      <c r="AM33" s="185">
        <f t="shared" si="35"/>
        <v>10</v>
      </c>
      <c r="AN33" s="188">
        <f t="shared" si="41"/>
        <v>10</v>
      </c>
      <c r="AO33" s="55">
        <f t="shared" si="36"/>
        <v>0</v>
      </c>
      <c r="AP33" s="332">
        <f t="shared" si="49"/>
        <v>0</v>
      </c>
      <c r="AQ33" s="333">
        <f t="shared" si="43"/>
        <v>0</v>
      </c>
      <c r="AR33" s="333">
        <f t="shared" si="50"/>
        <v>0</v>
      </c>
    </row>
    <row r="34" spans="1:49" s="71" customFormat="1" ht="15" customHeight="1">
      <c r="A34" s="60">
        <f t="shared" si="39"/>
        <v>11.5</v>
      </c>
      <c r="B34" s="61">
        <f t="shared" si="0"/>
        <v>4.8279455144922627</v>
      </c>
      <c r="C34" s="61">
        <f t="shared" si="1"/>
        <v>6.8279455144922627</v>
      </c>
      <c r="D34" s="178">
        <f t="shared" si="2"/>
        <v>-73.841923691849985</v>
      </c>
      <c r="E34" s="61">
        <f t="shared" si="3"/>
        <v>0.14972999999999997</v>
      </c>
      <c r="F34" s="62">
        <f t="shared" si="4"/>
        <v>12662.157634615347</v>
      </c>
      <c r="G34" s="62">
        <f t="shared" si="5"/>
        <v>28985.507246376808</v>
      </c>
      <c r="H34" s="63">
        <f t="shared" si="6"/>
        <v>82.60268157220149</v>
      </c>
      <c r="I34" s="63">
        <f t="shared" si="7"/>
        <v>92.935599466843527</v>
      </c>
      <c r="J34" s="394">
        <f t="shared" si="8"/>
        <v>2.3612253266792456</v>
      </c>
      <c r="K34" s="248">
        <f t="shared" si="9"/>
        <v>0.24870260781586806</v>
      </c>
      <c r="L34" s="264">
        <f t="shared" si="10"/>
        <v>0</v>
      </c>
      <c r="M34" s="265">
        <f t="shared" si="11"/>
        <v>0</v>
      </c>
      <c r="N34" s="355">
        <f t="shared" si="47"/>
        <v>0.3814573777604281</v>
      </c>
      <c r="O34" s="61">
        <f t="shared" si="12"/>
        <v>-0.5097601687507991</v>
      </c>
      <c r="P34" s="61">
        <f t="shared" si="13"/>
        <v>0</v>
      </c>
      <c r="Q34" s="61">
        <f t="shared" si="14"/>
        <v>0</v>
      </c>
      <c r="R34" s="264">
        <f t="shared" si="44"/>
        <v>0.22567616161850437</v>
      </c>
      <c r="S34" s="61">
        <f t="shared" si="45"/>
        <v>0.20815989267702259</v>
      </c>
      <c r="T34" s="326">
        <f t="shared" si="42"/>
        <v>8.0044642732274642</v>
      </c>
      <c r="U34" s="272">
        <f t="shared" si="40"/>
        <v>8.2531668810433327</v>
      </c>
      <c r="V34" s="163">
        <f t="shared" si="15"/>
        <v>3.1765187587352015</v>
      </c>
      <c r="W34" s="179">
        <f t="shared" si="16"/>
        <v>-0.61446427322746366</v>
      </c>
      <c r="X34" s="416">
        <f t="shared" si="17"/>
        <v>-10.885239653788034</v>
      </c>
      <c r="Y34" s="69">
        <f t="shared" si="18"/>
        <v>0.88698904518622479</v>
      </c>
      <c r="Z34" s="70">
        <f t="shared" si="19"/>
        <v>0.79030029133084034</v>
      </c>
      <c r="AA34" s="294">
        <f t="shared" si="48"/>
        <v>0.53177966923200526</v>
      </c>
      <c r="AB34" s="66">
        <f t="shared" si="20"/>
        <v>0.5482860629374684</v>
      </c>
      <c r="AC34" s="65">
        <f t="shared" si="21"/>
        <v>0.5482860629374684</v>
      </c>
      <c r="AD34" s="65">
        <f t="shared" si="22"/>
        <v>0.58060058266168069</v>
      </c>
      <c r="AE34" s="22">
        <f t="shared" si="23"/>
        <v>1.0760873093165324</v>
      </c>
      <c r="AF34" s="22">
        <f t="shared" si="24"/>
        <v>0.69789078105591706</v>
      </c>
      <c r="AG34" s="22">
        <f t="shared" si="25"/>
        <v>1.0760873093165324</v>
      </c>
      <c r="AH34" s="22">
        <f t="shared" si="26"/>
        <v>0.69789078105591706</v>
      </c>
      <c r="AI34" s="22">
        <f t="shared" si="27"/>
        <v>0.88698904518622479</v>
      </c>
      <c r="AJ34" s="22">
        <f t="shared" si="28"/>
        <v>0.88698904518622479</v>
      </c>
      <c r="AK34" s="288">
        <f t="shared" si="46"/>
        <v>5.6369936332690326E-4</v>
      </c>
      <c r="AL34" s="67">
        <f t="shared" si="29"/>
        <v>7.3900000000000006</v>
      </c>
      <c r="AM34" s="186">
        <f t="shared" si="35"/>
        <v>10</v>
      </c>
      <c r="AN34" s="187">
        <f t="shared" si="41"/>
        <v>10</v>
      </c>
      <c r="AO34" s="68">
        <f t="shared" si="36"/>
        <v>0</v>
      </c>
      <c r="AP34" s="334">
        <f t="shared" si="49"/>
        <v>0</v>
      </c>
      <c r="AQ34" s="335">
        <f t="shared" si="43"/>
        <v>0</v>
      </c>
      <c r="AR34" s="335">
        <f t="shared" si="50"/>
        <v>0</v>
      </c>
    </row>
    <row r="35" spans="1:49" s="71" customFormat="1" ht="15" customHeight="1">
      <c r="A35" s="60">
        <f t="shared" si="39"/>
        <v>11.75</v>
      </c>
      <c r="B35" s="61">
        <f t="shared" si="0"/>
        <v>4.9329008517638337</v>
      </c>
      <c r="C35" s="61">
        <f t="shared" si="1"/>
        <v>6.9329008517638337</v>
      </c>
      <c r="D35" s="178">
        <f t="shared" si="2"/>
        <v>-75.447182902542366</v>
      </c>
      <c r="E35" s="61">
        <f t="shared" si="3"/>
        <v>0.15298499999999998</v>
      </c>
      <c r="F35" s="62">
        <f t="shared" si="4"/>
        <v>12392.750025368214</v>
      </c>
      <c r="G35" s="62">
        <f t="shared" si="5"/>
        <v>28368.794326241132</v>
      </c>
      <c r="H35" s="63">
        <f t="shared" si="6"/>
        <v>83.056695513147787</v>
      </c>
      <c r="I35" s="63">
        <f t="shared" si="7"/>
        <v>93.339366372966111</v>
      </c>
      <c r="J35" s="394">
        <f t="shared" si="8"/>
        <v>2.3909179310108888</v>
      </c>
      <c r="K35" s="248">
        <f t="shared" si="9"/>
        <v>0.24886120306131376</v>
      </c>
      <c r="L35" s="264">
        <f t="shared" si="10"/>
        <v>0</v>
      </c>
      <c r="M35" s="265">
        <f t="shared" si="11"/>
        <v>0</v>
      </c>
      <c r="N35" s="355">
        <f t="shared" si="47"/>
        <v>0.37434606415458482</v>
      </c>
      <c r="O35" s="61">
        <f t="shared" si="12"/>
        <v>-0.52084191154972947</v>
      </c>
      <c r="P35" s="61">
        <f t="shared" si="13"/>
        <v>0</v>
      </c>
      <c r="Q35" s="61">
        <f t="shared" si="14"/>
        <v>0</v>
      </c>
      <c r="R35" s="264">
        <f t="shared" si="44"/>
        <v>0.22565832832994426</v>
      </c>
      <c r="S35" s="61">
        <f t="shared" si="45"/>
        <v>0.21129699198446827</v>
      </c>
      <c r="T35" s="326">
        <f t="shared" si="42"/>
        <v>8.1351201672437199</v>
      </c>
      <c r="U35" s="272">
        <f t="shared" si="40"/>
        <v>8.3839813703050332</v>
      </c>
      <c r="V35" s="163">
        <f t="shared" si="15"/>
        <v>3.2022193154798861</v>
      </c>
      <c r="W35" s="179">
        <f t="shared" si="16"/>
        <v>-0.74512016724371932</v>
      </c>
      <c r="X35" s="416">
        <f t="shared" si="17"/>
        <v>-10.984634393818926</v>
      </c>
      <c r="Y35" s="69">
        <f t="shared" si="18"/>
        <v>0.88315211296291807</v>
      </c>
      <c r="Z35" s="70">
        <f t="shared" si="19"/>
        <v>0.78832228504609225</v>
      </c>
      <c r="AA35" s="294">
        <f t="shared" si="48"/>
        <v>0.52902183851117701</v>
      </c>
      <c r="AB35" s="66">
        <f t="shared" si="20"/>
        <v>0.54453034491466967</v>
      </c>
      <c r="AC35" s="65">
        <f t="shared" si="21"/>
        <v>0.54453034491466967</v>
      </c>
      <c r="AD35" s="65">
        <f t="shared" si="22"/>
        <v>0.57664457009218451</v>
      </c>
      <c r="AE35" s="22">
        <f t="shared" si="23"/>
        <v>1.0714323768857252</v>
      </c>
      <c r="AF35" s="22">
        <f t="shared" si="24"/>
        <v>0.69487184904011079</v>
      </c>
      <c r="AG35" s="22">
        <f t="shared" si="25"/>
        <v>1.0714323768857252</v>
      </c>
      <c r="AH35" s="22">
        <f t="shared" si="26"/>
        <v>0.69487184904011079</v>
      </c>
      <c r="AI35" s="22">
        <f t="shared" si="27"/>
        <v>0.88315211296291807</v>
      </c>
      <c r="AJ35" s="22">
        <f t="shared" si="28"/>
        <v>0.88315211296291807</v>
      </c>
      <c r="AK35" s="288">
        <f t="shared" si="46"/>
        <v>5.5782595626778638E-4</v>
      </c>
      <c r="AL35" s="67">
        <f t="shared" si="29"/>
        <v>7.3900000000000006</v>
      </c>
      <c r="AM35" s="186">
        <f t="shared" si="35"/>
        <v>10</v>
      </c>
      <c r="AN35" s="187">
        <f t="shared" si="41"/>
        <v>10</v>
      </c>
      <c r="AO35" s="68">
        <f t="shared" si="36"/>
        <v>0</v>
      </c>
      <c r="AP35" s="334">
        <f t="shared" si="49"/>
        <v>0</v>
      </c>
      <c r="AQ35" s="335">
        <f t="shared" si="43"/>
        <v>0</v>
      </c>
      <c r="AR35" s="335">
        <f t="shared" si="50"/>
        <v>0</v>
      </c>
    </row>
    <row r="36" spans="1:49" s="71" customFormat="1" ht="15" customHeight="1">
      <c r="A36" s="60">
        <f t="shared" si="39"/>
        <v>12</v>
      </c>
      <c r="B36" s="61">
        <f t="shared" si="0"/>
        <v>5.0378561890354039</v>
      </c>
      <c r="C36" s="61">
        <f t="shared" si="1"/>
        <v>7.0378561890354039</v>
      </c>
      <c r="D36" s="178">
        <f t="shared" si="2"/>
        <v>-77.052442113234761</v>
      </c>
      <c r="E36" s="61">
        <f t="shared" si="3"/>
        <v>0.15623999999999999</v>
      </c>
      <c r="F36" s="62">
        <f t="shared" si="4"/>
        <v>12134.567733173044</v>
      </c>
      <c r="G36" s="62">
        <f t="shared" si="5"/>
        <v>27777.777777777777</v>
      </c>
      <c r="H36" s="63">
        <f t="shared" si="6"/>
        <v>83.517924970665092</v>
      </c>
      <c r="I36" s="63">
        <f t="shared" si="7"/>
        <v>93.750020995990695</v>
      </c>
      <c r="J36" s="394">
        <f t="shared" si="8"/>
        <v>2.4212688158396607</v>
      </c>
      <c r="K36" s="248">
        <f t="shared" si="9"/>
        <v>0.24902303140815185</v>
      </c>
      <c r="L36" s="264">
        <f t="shared" si="10"/>
        <v>0</v>
      </c>
      <c r="M36" s="265">
        <f t="shared" si="11"/>
        <v>0</v>
      </c>
      <c r="N36" s="355">
        <f t="shared" si="47"/>
        <v>0.36742679916680188</v>
      </c>
      <c r="O36" s="61">
        <f t="shared" si="12"/>
        <v>-0.53192365434865996</v>
      </c>
      <c r="P36" s="61">
        <f t="shared" si="13"/>
        <v>0</v>
      </c>
      <c r="Q36" s="61">
        <f t="shared" si="14"/>
        <v>0</v>
      </c>
      <c r="R36" s="264">
        <f t="shared" si="44"/>
        <v>0.22573281747779481</v>
      </c>
      <c r="S36" s="61">
        <f t="shared" si="45"/>
        <v>0.21460491188832045</v>
      </c>
      <c r="T36" s="326">
        <f t="shared" si="42"/>
        <v>8.2668895334079817</v>
      </c>
      <c r="U36" s="272">
        <f t="shared" si="40"/>
        <v>8.5159125648161336</v>
      </c>
      <c r="V36" s="163">
        <f t="shared" si="15"/>
        <v>3.2290333443725778</v>
      </c>
      <c r="W36" s="179">
        <f t="shared" si="16"/>
        <v>-0.87688953340798115</v>
      </c>
      <c r="X36" s="416">
        <f t="shared" si="17"/>
        <v>-11.084398915202488</v>
      </c>
      <c r="Y36" s="69">
        <f t="shared" si="18"/>
        <v>0.87928362851705666</v>
      </c>
      <c r="Z36" s="70">
        <f t="shared" si="19"/>
        <v>0.78631435491786039</v>
      </c>
      <c r="AA36" s="294">
        <f t="shared" si="48"/>
        <v>0.52617527716576773</v>
      </c>
      <c r="AB36" s="66">
        <f t="shared" si="20"/>
        <v>0.54071798530720616</v>
      </c>
      <c r="AC36" s="65">
        <f t="shared" si="21"/>
        <v>0.54071798530720616</v>
      </c>
      <c r="AD36" s="65">
        <f t="shared" si="22"/>
        <v>0.57262870983572078</v>
      </c>
      <c r="AE36" s="22">
        <f t="shared" si="23"/>
        <v>1.0667391655759895</v>
      </c>
      <c r="AF36" s="22">
        <f t="shared" si="24"/>
        <v>0.69182809145812396</v>
      </c>
      <c r="AG36" s="22">
        <f t="shared" si="25"/>
        <v>1.0667391655759895</v>
      </c>
      <c r="AH36" s="22">
        <f t="shared" si="26"/>
        <v>0.69182809145812396</v>
      </c>
      <c r="AI36" s="22">
        <f t="shared" si="27"/>
        <v>0.87928362851705666</v>
      </c>
      <c r="AJ36" s="22">
        <f t="shared" si="28"/>
        <v>0.87928362851705666</v>
      </c>
      <c r="AK36" s="288">
        <f t="shared" si="46"/>
        <v>5.5201186221589908E-4</v>
      </c>
      <c r="AL36" s="67">
        <f t="shared" si="29"/>
        <v>7.3900000000000006</v>
      </c>
      <c r="AM36" s="186">
        <f t="shared" si="35"/>
        <v>10</v>
      </c>
      <c r="AN36" s="187">
        <f t="shared" si="41"/>
        <v>10</v>
      </c>
      <c r="AO36" s="68">
        <f t="shared" si="36"/>
        <v>0</v>
      </c>
      <c r="AP36" s="334">
        <f t="shared" si="49"/>
        <v>0</v>
      </c>
      <c r="AQ36" s="335">
        <f t="shared" si="43"/>
        <v>0</v>
      </c>
      <c r="AR36" s="335">
        <f t="shared" si="50"/>
        <v>0</v>
      </c>
    </row>
    <row r="37" spans="1:49" s="71" customFormat="1" ht="15" customHeight="1">
      <c r="A37" s="60">
        <f t="shared" si="39"/>
        <v>12.25</v>
      </c>
      <c r="B37" s="61">
        <f t="shared" si="0"/>
        <v>5.1428115263069749</v>
      </c>
      <c r="C37" s="61">
        <f t="shared" si="1"/>
        <v>7.1428115263069749</v>
      </c>
      <c r="D37" s="178">
        <f t="shared" si="2"/>
        <v>-78.657701323927157</v>
      </c>
      <c r="E37" s="61">
        <f t="shared" si="3"/>
        <v>0.15949499999999997</v>
      </c>
      <c r="F37" s="62">
        <f t="shared" si="4"/>
        <v>11886.923493720533</v>
      </c>
      <c r="G37" s="62">
        <f t="shared" si="5"/>
        <v>27210.884353741494</v>
      </c>
      <c r="H37" s="63">
        <f t="shared" si="6"/>
        <v>83.986251067923092</v>
      </c>
      <c r="I37" s="63">
        <f t="shared" si="7"/>
        <v>94.167473226094714</v>
      </c>
      <c r="J37" s="394">
        <f t="shared" si="8"/>
        <v>2.4522786313759037</v>
      </c>
      <c r="K37" s="248">
        <f t="shared" si="9"/>
        <v>0.24918899440061759</v>
      </c>
      <c r="L37" s="264">
        <f t="shared" si="10"/>
        <v>0</v>
      </c>
      <c r="M37" s="265">
        <f t="shared" si="11"/>
        <v>0</v>
      </c>
      <c r="N37" s="355">
        <f t="shared" si="47"/>
        <v>0.36069371320314636</v>
      </c>
      <c r="O37" s="61">
        <f t="shared" si="12"/>
        <v>-0.54300539714759044</v>
      </c>
      <c r="P37" s="61">
        <f t="shared" si="13"/>
        <v>0</v>
      </c>
      <c r="Q37" s="61">
        <f t="shared" si="14"/>
        <v>0</v>
      </c>
      <c r="R37" s="264">
        <f t="shared" si="44"/>
        <v>0.22590026409120006</v>
      </c>
      <c r="S37" s="61">
        <f t="shared" si="45"/>
        <v>0.21808847746360099</v>
      </c>
      <c r="T37" s="326">
        <f t="shared" si="42"/>
        <v>8.3997726124408274</v>
      </c>
      <c r="U37" s="272">
        <f t="shared" si="40"/>
        <v>8.6489616068414428</v>
      </c>
      <c r="V37" s="163">
        <f t="shared" si="15"/>
        <v>3.2569610861338525</v>
      </c>
      <c r="W37" s="179">
        <f t="shared" si="16"/>
        <v>-1.0097726124408268</v>
      </c>
      <c r="X37" s="416">
        <f t="shared" si="17"/>
        <v>-11.184530395911448</v>
      </c>
      <c r="Y37" s="69">
        <f t="shared" si="18"/>
        <v>0.87538569116094767</v>
      </c>
      <c r="Z37" s="70">
        <f t="shared" si="19"/>
        <v>0.78427727331760488</v>
      </c>
      <c r="AA37" s="294">
        <f t="shared" si="48"/>
        <v>0.52324220305375191</v>
      </c>
      <c r="AB37" s="66">
        <f t="shared" si="20"/>
        <v>0.53685034609124882</v>
      </c>
      <c r="AC37" s="65">
        <f t="shared" si="21"/>
        <v>0.53685034609124882</v>
      </c>
      <c r="AD37" s="65">
        <f t="shared" si="22"/>
        <v>0.56855454663520977</v>
      </c>
      <c r="AE37" s="22">
        <f t="shared" si="23"/>
        <v>1.062010222254554</v>
      </c>
      <c r="AF37" s="22">
        <f t="shared" si="24"/>
        <v>0.68876116006734134</v>
      </c>
      <c r="AG37" s="22">
        <f t="shared" si="25"/>
        <v>1.062010222254554</v>
      </c>
      <c r="AH37" s="22">
        <f t="shared" si="26"/>
        <v>0.68876116006734134</v>
      </c>
      <c r="AI37" s="22">
        <f t="shared" si="27"/>
        <v>0.87538569116094767</v>
      </c>
      <c r="AJ37" s="22">
        <f t="shared" si="28"/>
        <v>0.87538569116094767</v>
      </c>
      <c r="AK37" s="288">
        <f t="shared" si="46"/>
        <v>5.4625905162944866E-4</v>
      </c>
      <c r="AL37" s="67">
        <f t="shared" si="29"/>
        <v>7.3900000000000006</v>
      </c>
      <c r="AM37" s="186">
        <f t="shared" si="35"/>
        <v>10</v>
      </c>
      <c r="AN37" s="187">
        <f t="shared" si="41"/>
        <v>10</v>
      </c>
      <c r="AO37" s="68">
        <f t="shared" si="36"/>
        <v>0</v>
      </c>
      <c r="AP37" s="334">
        <f t="shared" si="49"/>
        <v>0</v>
      </c>
      <c r="AQ37" s="335">
        <f t="shared" si="43"/>
        <v>0</v>
      </c>
      <c r="AR37" s="335">
        <f t="shared" si="50"/>
        <v>0</v>
      </c>
    </row>
    <row r="38" spans="1:49" s="82" customFormat="1" ht="15" customHeight="1">
      <c r="A38" s="72">
        <f t="shared" si="39"/>
        <v>12.5</v>
      </c>
      <c r="B38" s="73">
        <f t="shared" si="0"/>
        <v>5.2477668635785459</v>
      </c>
      <c r="C38" s="73">
        <f t="shared" si="1"/>
        <v>7.2477668635785459</v>
      </c>
      <c r="D38" s="180">
        <f t="shared" si="2"/>
        <v>-80.262960534619538</v>
      </c>
      <c r="E38" s="73">
        <f t="shared" si="3"/>
        <v>0.16274999999999998</v>
      </c>
      <c r="F38" s="74">
        <f t="shared" si="4"/>
        <v>11649.185023846123</v>
      </c>
      <c r="G38" s="74">
        <f t="shared" si="5"/>
        <v>26666.666666666664</v>
      </c>
      <c r="H38" s="75">
        <f t="shared" si="6"/>
        <v>84.461555755736924</v>
      </c>
      <c r="I38" s="75">
        <f t="shared" si="7"/>
        <v>94.591633065628542</v>
      </c>
      <c r="J38" s="395">
        <f t="shared" si="8"/>
        <v>2.4839486888183542</v>
      </c>
      <c r="K38" s="249">
        <f t="shared" si="9"/>
        <v>0.2493594226794853</v>
      </c>
      <c r="L38" s="251">
        <f t="shared" si="10"/>
        <v>0</v>
      </c>
      <c r="M38" s="266">
        <f t="shared" si="11"/>
        <v>0</v>
      </c>
      <c r="N38" s="363">
        <f t="shared" si="47"/>
        <v>0.35414119986614478</v>
      </c>
      <c r="O38" s="73">
        <f t="shared" si="12"/>
        <v>-0.55408713994652081</v>
      </c>
      <c r="P38" s="73">
        <f t="shared" si="13"/>
        <v>0</v>
      </c>
      <c r="Q38" s="73">
        <f t="shared" si="14"/>
        <v>0</v>
      </c>
      <c r="R38" s="251">
        <f>10*LOG10(1/SQRT(1-AK38*(Q/AA38)^2))</f>
        <v>0.22616145867540821</v>
      </c>
      <c r="S38" s="73">
        <f>-10*LOG10(AA38*SQRT(1-Q*Q*((SD_blw^2+AK38)/AA38^2+Vmn+(P38*P38))))-$T$13-J38-L38-Q38-N38-R38-Pmn</f>
        <v>0.22175298729938481</v>
      </c>
      <c r="T38" s="276">
        <f t="shared" si="42"/>
        <v>8.5337711982378366</v>
      </c>
      <c r="U38" s="273">
        <f t="shared" si="40"/>
        <v>8.7831306209173228</v>
      </c>
      <c r="V38" s="181">
        <f t="shared" si="15"/>
        <v>3.2860043346592906</v>
      </c>
      <c r="W38" s="182">
        <f t="shared" si="16"/>
        <v>-1.143771198237836</v>
      </c>
      <c r="X38" s="417">
        <f t="shared" si="17"/>
        <v>-11.28502666934812</v>
      </c>
      <c r="Y38" s="77">
        <f t="shared" si="18"/>
        <v>0.87146036032290808</v>
      </c>
      <c r="Z38" s="80">
        <f t="shared" si="19"/>
        <v>0.78221177835380817</v>
      </c>
      <c r="AA38" s="295">
        <f t="shared" si="48"/>
        <v>0.52022475115411815</v>
      </c>
      <c r="AB38" s="76">
        <f t="shared" si="20"/>
        <v>0.53292879787871916</v>
      </c>
      <c r="AC38" s="77">
        <f t="shared" si="21"/>
        <v>0.53292879787871916</v>
      </c>
      <c r="AD38" s="77">
        <f t="shared" si="22"/>
        <v>0.56442355670761635</v>
      </c>
      <c r="AE38" s="81">
        <f t="shared" si="23"/>
        <v>1.0572480454017426</v>
      </c>
      <c r="AF38" s="81">
        <f t="shared" si="24"/>
        <v>0.6856726752440736</v>
      </c>
      <c r="AG38" s="81">
        <f t="shared" si="25"/>
        <v>1.0572480454017426</v>
      </c>
      <c r="AH38" s="81">
        <f t="shared" si="26"/>
        <v>0.6856726752440736</v>
      </c>
      <c r="AI38" s="81">
        <f t="shared" si="27"/>
        <v>0.87146036032290808</v>
      </c>
      <c r="AJ38" s="81">
        <f t="shared" si="28"/>
        <v>0.87146036032290808</v>
      </c>
      <c r="AK38" s="361">
        <f t="shared" si="46"/>
        <v>5.4056923959255984E-4</v>
      </c>
      <c r="AL38" s="78">
        <f t="shared" si="29"/>
        <v>7.3900000000000006</v>
      </c>
      <c r="AM38" s="189">
        <f t="shared" si="35"/>
        <v>10</v>
      </c>
      <c r="AN38" s="190">
        <f>ROUNDUP(L6,0)</f>
        <v>10</v>
      </c>
      <c r="AO38" s="79">
        <f t="shared" si="36"/>
        <v>0</v>
      </c>
      <c r="AP38" s="336">
        <f t="shared" si="49"/>
        <v>0</v>
      </c>
      <c r="AQ38" s="413">
        <f>IF($A38=$L$3,B_1*Tb_eff/(SQRT(8)*H38),0)</f>
        <v>0</v>
      </c>
      <c r="AR38" s="413">
        <f>IF($A38=$L$3,B_1*Tb_eff*(1-$G$9)/(SQRT(8)*SQRT($H38^2+$AG$8^2)),0)</f>
        <v>0</v>
      </c>
    </row>
    <row r="39" spans="1:49" s="71" customFormat="1" ht="15" customHeight="1">
      <c r="A39" s="83"/>
      <c r="B39" s="83"/>
      <c r="C39" s="83"/>
      <c r="D39" s="66"/>
      <c r="E39" s="83"/>
      <c r="F39" s="83"/>
      <c r="G39" s="83"/>
      <c r="H39" s="66"/>
      <c r="I39" s="66"/>
      <c r="J39" s="104"/>
      <c r="K39" s="66"/>
      <c r="L39" s="66"/>
      <c r="M39" s="66"/>
      <c r="N39" s="83"/>
      <c r="O39" s="66"/>
      <c r="P39" s="66"/>
      <c r="Q39" s="66"/>
      <c r="R39" s="84"/>
      <c r="S39" s="85"/>
      <c r="T39" s="86"/>
      <c r="U39" s="86"/>
      <c r="V39" s="85"/>
      <c r="W39" s="85"/>
      <c r="X39" s="85"/>
      <c r="Y39" s="303"/>
      <c r="Z39" s="287" t="s">
        <v>286</v>
      </c>
      <c r="AA39" s="287"/>
      <c r="AB39" s="287"/>
      <c r="AC39" s="287"/>
      <c r="AD39" s="287"/>
      <c r="AE39" s="359"/>
      <c r="AF39" s="287"/>
      <c r="AG39" s="287"/>
      <c r="AH39" s="287"/>
      <c r="AI39" s="287"/>
      <c r="AJ39" s="287"/>
      <c r="AK39" s="287"/>
      <c r="AL39" s="289" t="s">
        <v>169</v>
      </c>
      <c r="AM39" s="302"/>
      <c r="AO39" s="87">
        <f>SUM(AO18:AO38)</f>
        <v>0.14608065357832789</v>
      </c>
      <c r="AP39" s="360">
        <f>SUM(AP18:AP38)</f>
        <v>90.662683654965264</v>
      </c>
      <c r="AQ39" s="412">
        <f>SUM(AQ18:AQ38)</f>
        <v>0.90317740325007578</v>
      </c>
      <c r="AR39" s="412">
        <f>SUM(AR18:AR38)</f>
        <v>0.90317740325007578</v>
      </c>
      <c r="AS39" s="7"/>
      <c r="AT39" s="287" t="s">
        <v>285</v>
      </c>
      <c r="AU39" s="7"/>
      <c r="AV39" s="7"/>
      <c r="AW39" s="302" t="s">
        <v>285</v>
      </c>
    </row>
    <row r="40" spans="1:49" s="71" customFormat="1" ht="15" customHeight="1">
      <c r="A40" s="88" t="s">
        <v>101</v>
      </c>
      <c r="B40" s="83"/>
      <c r="C40" s="206" t="s">
        <v>102</v>
      </c>
      <c r="D40" s="66"/>
      <c r="E40" s="83"/>
      <c r="F40" s="83"/>
      <c r="G40" s="83"/>
      <c r="K40" s="103"/>
      <c r="N40" s="83"/>
      <c r="Y40" s="301"/>
      <c r="Z40" s="287" t="s">
        <v>154</v>
      </c>
      <c r="AA40" s="287" t="s">
        <v>167</v>
      </c>
      <c r="AB40" s="287" t="s">
        <v>155</v>
      </c>
      <c r="AC40" s="287" t="s">
        <v>156</v>
      </c>
      <c r="AD40" s="287" t="s">
        <v>157</v>
      </c>
      <c r="AE40" s="287" t="s">
        <v>158</v>
      </c>
      <c r="AF40" s="287" t="s">
        <v>159</v>
      </c>
      <c r="AG40" s="287" t="s">
        <v>161</v>
      </c>
      <c r="AH40" s="287" t="s">
        <v>162</v>
      </c>
      <c r="AI40" s="287" t="s">
        <v>163</v>
      </c>
      <c r="AJ40" s="287" t="s">
        <v>164</v>
      </c>
      <c r="AK40" s="287" t="s">
        <v>165</v>
      </c>
      <c r="AL40" s="287" t="s">
        <v>170</v>
      </c>
      <c r="AM40" s="302" t="s">
        <v>171</v>
      </c>
      <c r="AN40" s="300" t="s">
        <v>154</v>
      </c>
      <c r="AO40" s="300" t="s">
        <v>168</v>
      </c>
      <c r="AP40" s="117"/>
      <c r="AQ40" s="7"/>
      <c r="AR40" s="287" t="s">
        <v>157</v>
      </c>
      <c r="AS40" s="287" t="s">
        <v>158</v>
      </c>
      <c r="AT40" s="287" t="s">
        <v>159</v>
      </c>
      <c r="AU40" s="287" t="s">
        <v>161</v>
      </c>
      <c r="AV40" s="287" t="s">
        <v>162</v>
      </c>
      <c r="AW40" s="302" t="s">
        <v>163</v>
      </c>
    </row>
    <row r="41" spans="1:49" s="71" customFormat="1" ht="15" customHeight="1">
      <c r="A41" s="83" t="s">
        <v>103</v>
      </c>
      <c r="B41" s="83"/>
      <c r="C41" s="83"/>
      <c r="D41" s="66"/>
      <c r="E41" s="83"/>
      <c r="F41" s="83"/>
      <c r="G41" s="83"/>
      <c r="L41" s="103"/>
      <c r="M41" s="66"/>
      <c r="N41" s="83"/>
      <c r="O41" s="66"/>
      <c r="P41" s="66"/>
      <c r="Q41" s="66"/>
      <c r="R41" s="84"/>
      <c r="S41" s="66"/>
      <c r="T41" s="86"/>
      <c r="U41" s="86"/>
      <c r="V41" s="66"/>
      <c r="Y41" s="303" t="s">
        <v>160</v>
      </c>
      <c r="Z41" s="287">
        <v>-0.25</v>
      </c>
      <c r="AA41" s="287">
        <f>0.5+(-0.5+Z41)*$Y$44</f>
        <v>-0.29946702198534303</v>
      </c>
      <c r="AB41" s="287">
        <f>MAX(MIN(B_1*Tb_eff*($AA41)/(SQRT(2)*$AG$9),10),-10)</f>
        <v>-0.5885856346592826</v>
      </c>
      <c r="AC41" s="287">
        <f>MAX(MIN(B_1*Tb_eff*(1-$AA41)/(SQRT(2)*$AG$9),10),-10)</f>
        <v>2.5540295448341066</v>
      </c>
      <c r="AD41" s="304" t="e">
        <f t="shared" ref="AD41:AD69" si="51">(ERF(AB41)+1)/2</f>
        <v>#NUM!</v>
      </c>
      <c r="AE41" s="304">
        <f t="shared" ref="AE41:AE69" si="52">(ERF(AC41)+1)/2</f>
        <v>0.99984804444058373</v>
      </c>
      <c r="AF41" s="305" t="e">
        <f>AD41+AE41-1</f>
        <v>#NUM!</v>
      </c>
      <c r="AG41" s="305" t="e">
        <f>1-AD41</f>
        <v>#NUM!</v>
      </c>
      <c r="AH41" s="305">
        <f>1-AE41</f>
        <v>1.5195555941627248E-4</v>
      </c>
      <c r="AI41" s="305" t="e">
        <f>1-AF41</f>
        <v>#NUM!</v>
      </c>
      <c r="AJ41" s="287">
        <f>Z41-1</f>
        <v>-1.25</v>
      </c>
      <c r="AK41" s="287">
        <f>Z41+1</f>
        <v>0.75</v>
      </c>
      <c r="AL41" s="287">
        <f t="shared" ref="AL41:AL46" si="53">$Z41-$G$9/(2*$Y$44)</f>
        <v>-0.25</v>
      </c>
      <c r="AM41" s="302">
        <f>$Z41+$G$9/(2*$Y$44)</f>
        <v>-0.25</v>
      </c>
      <c r="AN41" s="287">
        <f>$C$12</f>
        <v>0.3</v>
      </c>
      <c r="AO41" s="289">
        <v>0.5</v>
      </c>
      <c r="AP41" s="303">
        <f>MAX(MIN(B_1*Tb_eff*($AA41)/(SQRT(2)*$AP$39),10),-10)</f>
        <v>-0.54456633520977404</v>
      </c>
      <c r="AQ41" s="287">
        <f t="shared" ref="AQ41:AQ69" si="54">MAX(MIN(B_1*Tb_eff*(1-$AA41)/(SQRT(2)*$AP$39),10),-10)</f>
        <v>2.3630181019503103</v>
      </c>
      <c r="AR41" s="304" t="e">
        <f t="shared" ref="AR41:AR69" si="55">(ERF(AP41)+1)/2</f>
        <v>#NUM!</v>
      </c>
      <c r="AS41" s="304">
        <f t="shared" ref="AS41:AS69" si="56">(ERF(AQ41)+1)/2</f>
        <v>0.99958383328873346</v>
      </c>
      <c r="AT41" s="305" t="e">
        <f t="shared" ref="AT41:AT69" si="57">AR41+AS41-1</f>
        <v>#NUM!</v>
      </c>
      <c r="AU41" s="305" t="e">
        <f t="shared" ref="AU41:AW69" si="58">1-AR41</f>
        <v>#NUM!</v>
      </c>
      <c r="AV41" s="305">
        <f t="shared" si="58"/>
        <v>4.1616671126654126E-4</v>
      </c>
      <c r="AW41" s="320" t="e">
        <f t="shared" si="58"/>
        <v>#NUM!</v>
      </c>
    </row>
    <row r="42" spans="1:49" s="71" customFormat="1" ht="15" customHeight="1">
      <c r="A42" s="66"/>
      <c r="B42" s="89"/>
      <c r="C42" s="90"/>
      <c r="D42" s="90"/>
      <c r="E42" s="90"/>
      <c r="F42" s="83"/>
      <c r="G42" s="83"/>
      <c r="H42" s="90"/>
      <c r="I42" s="90"/>
      <c r="J42" s="90"/>
      <c r="K42" s="90"/>
      <c r="L42" s="90"/>
      <c r="M42" s="90"/>
      <c r="N42" s="83"/>
      <c r="O42" s="66"/>
      <c r="P42" s="66"/>
      <c r="Q42" s="66"/>
      <c r="R42" s="84"/>
      <c r="S42" s="66"/>
      <c r="T42" s="86"/>
      <c r="U42" s="86"/>
      <c r="V42" s="66"/>
      <c r="Y42" s="303">
        <v>0.05</v>
      </c>
      <c r="Z42" s="287">
        <f>Z41+$Y$42</f>
        <v>-0.2</v>
      </c>
      <c r="AA42" s="287">
        <f t="shared" ref="AA42:AA69" si="59">0.5+(-0.5+Z42)*$Y$44</f>
        <v>-0.2461692205196534</v>
      </c>
      <c r="AB42" s="287">
        <f t="shared" ref="AB42:AB69" si="60">MAX(MIN(B_1*Tb_eff*($AA42)/(SQRT(2)*$AG$9),10),-10)</f>
        <v>-0.48383179534283605</v>
      </c>
      <c r="AC42" s="287">
        <f>MAX(MIN(B_1*Tb_eff*(1-$AA42)/(SQRT(2)*$AG$9),10),-10)</f>
        <v>2.4492757055176599</v>
      </c>
      <c r="AD42" s="304" t="e">
        <f t="shared" si="51"/>
        <v>#NUM!</v>
      </c>
      <c r="AE42" s="304">
        <f t="shared" si="52"/>
        <v>0.99973369775879584</v>
      </c>
      <c r="AF42" s="305" t="e">
        <f t="shared" ref="AF42:AF69" si="61">AD42+AE42-1</f>
        <v>#NUM!</v>
      </c>
      <c r="AG42" s="305" t="e">
        <f t="shared" ref="AG42:AG64" si="62">1-AD42</f>
        <v>#NUM!</v>
      </c>
      <c r="AH42" s="305">
        <f t="shared" ref="AH42:AH65" si="63">1-AE42</f>
        <v>2.6630224120416379E-4</v>
      </c>
      <c r="AI42" s="305" t="e">
        <f t="shared" ref="AI42:AI65" si="64">1-AF42</f>
        <v>#NUM!</v>
      </c>
      <c r="AJ42" s="287">
        <f t="shared" ref="AJ42:AJ69" si="65">Z42-1</f>
        <v>-1.2</v>
      </c>
      <c r="AK42" s="287">
        <f t="shared" ref="AK42:AK69" si="66">Z42+1</f>
        <v>0.8</v>
      </c>
      <c r="AL42" s="287">
        <f t="shared" si="53"/>
        <v>-0.2</v>
      </c>
      <c r="AM42" s="302">
        <f t="shared" ref="AM42:AM69" si="67">$Z42+$G$9/(2*$Y$44)</f>
        <v>-0.2</v>
      </c>
      <c r="AN42" s="287">
        <f>$C$13</f>
        <v>0.4</v>
      </c>
      <c r="AO42" s="289">
        <f>$C$14</f>
        <v>0.25</v>
      </c>
      <c r="AP42" s="303">
        <f t="shared" ref="AP42:AP69" si="68">MAX(MIN(B_1*Tb_eff*($AA42)/(SQRT(2)*$AP$39),10),-10)</f>
        <v>-0.44764685397110437</v>
      </c>
      <c r="AQ42" s="287">
        <f t="shared" si="54"/>
        <v>2.2660986207116403</v>
      </c>
      <c r="AR42" s="304" t="e">
        <f t="shared" si="55"/>
        <v>#NUM!</v>
      </c>
      <c r="AS42" s="304">
        <f t="shared" si="56"/>
        <v>0.99932409468152983</v>
      </c>
      <c r="AT42" s="305" t="e">
        <f t="shared" si="57"/>
        <v>#NUM!</v>
      </c>
      <c r="AU42" s="305" t="e">
        <f t="shared" si="58"/>
        <v>#NUM!</v>
      </c>
      <c r="AV42" s="305">
        <f t="shared" si="58"/>
        <v>6.7590531847017132E-4</v>
      </c>
      <c r="AW42" s="320" t="e">
        <f t="shared" si="58"/>
        <v>#NUM!</v>
      </c>
    </row>
    <row r="43" spans="1:49" s="71" customFormat="1" ht="15" customHeight="1">
      <c r="A43" s="83"/>
      <c r="B43" s="90" t="s">
        <v>172</v>
      </c>
      <c r="C43" s="83"/>
      <c r="D43" s="66"/>
      <c r="E43" s="83"/>
      <c r="F43" s="83"/>
      <c r="G43" s="83"/>
      <c r="H43" s="66"/>
      <c r="I43" s="66"/>
      <c r="J43" s="66"/>
      <c r="K43" s="66"/>
      <c r="L43" s="66"/>
      <c r="M43" s="66"/>
      <c r="N43" s="83"/>
      <c r="O43" s="66"/>
      <c r="P43" s="66"/>
      <c r="Q43" s="66"/>
      <c r="R43" s="84"/>
      <c r="S43" s="66"/>
      <c r="T43" s="86"/>
      <c r="U43" s="86"/>
      <c r="V43" s="66"/>
      <c r="Y43" s="303" t="s">
        <v>166</v>
      </c>
      <c r="Z43" s="287">
        <f t="shared" ref="Z43:Z61" si="69">Z42+$Y$42</f>
        <v>-0.15000000000000002</v>
      </c>
      <c r="AA43" s="287">
        <f t="shared" si="59"/>
        <v>-0.19287141905396399</v>
      </c>
      <c r="AB43" s="287">
        <f t="shared" si="60"/>
        <v>-0.37907795602639005</v>
      </c>
      <c r="AC43" s="287">
        <f t="shared" ref="AC43:AC69" si="70">MAX(MIN(B_1*Tb_eff*(1-$AA43)/(SQRT(2)*$AG$9),10),-10)</f>
        <v>2.3445218662012137</v>
      </c>
      <c r="AD43" s="304" t="e">
        <f t="shared" si="51"/>
        <v>#NUM!</v>
      </c>
      <c r="AE43" s="304">
        <f t="shared" si="52"/>
        <v>0.99954285625118389</v>
      </c>
      <c r="AF43" s="305" t="e">
        <f t="shared" si="61"/>
        <v>#NUM!</v>
      </c>
      <c r="AG43" s="305" t="e">
        <f t="shared" si="62"/>
        <v>#NUM!</v>
      </c>
      <c r="AH43" s="305">
        <f t="shared" si="63"/>
        <v>4.5714374881611342E-4</v>
      </c>
      <c r="AI43" s="305" t="e">
        <f t="shared" si="64"/>
        <v>#NUM!</v>
      </c>
      <c r="AJ43" s="287">
        <f t="shared" si="65"/>
        <v>-1.1499999999999999</v>
      </c>
      <c r="AK43" s="287">
        <f t="shared" si="66"/>
        <v>0.85</v>
      </c>
      <c r="AL43" s="287">
        <f t="shared" si="53"/>
        <v>-0.15000000000000002</v>
      </c>
      <c r="AM43" s="302">
        <f t="shared" si="67"/>
        <v>-0.15000000000000002</v>
      </c>
      <c r="AN43" s="287">
        <f>1-AN42</f>
        <v>0.6</v>
      </c>
      <c r="AO43" s="289">
        <f>$C$14</f>
        <v>0.25</v>
      </c>
      <c r="AP43" s="303">
        <f t="shared" si="68"/>
        <v>-0.35072737273243515</v>
      </c>
      <c r="AQ43" s="287">
        <f t="shared" si="54"/>
        <v>2.1691791394729711</v>
      </c>
      <c r="AR43" s="304" t="e">
        <f t="shared" si="55"/>
        <v>#NUM!</v>
      </c>
      <c r="AS43" s="304">
        <f t="shared" si="56"/>
        <v>0.99892137174785012</v>
      </c>
      <c r="AT43" s="305" t="e">
        <f t="shared" si="57"/>
        <v>#NUM!</v>
      </c>
      <c r="AU43" s="305" t="e">
        <f t="shared" si="58"/>
        <v>#NUM!</v>
      </c>
      <c r="AV43" s="305">
        <f t="shared" si="58"/>
        <v>1.0786282521498824E-3</v>
      </c>
      <c r="AW43" s="320" t="e">
        <f t="shared" si="58"/>
        <v>#NUM!</v>
      </c>
    </row>
    <row r="44" spans="1:49" s="71" customFormat="1" ht="15" customHeight="1">
      <c r="A44" s="83"/>
      <c r="B44" s="90" t="s">
        <v>289</v>
      </c>
      <c r="C44" s="83"/>
      <c r="D44" s="66"/>
      <c r="E44" s="83"/>
      <c r="F44" s="83"/>
      <c r="G44" s="83"/>
      <c r="H44" s="66"/>
      <c r="I44" s="66"/>
      <c r="J44" s="66"/>
      <c r="K44" s="66"/>
      <c r="L44" s="66"/>
      <c r="M44" s="66"/>
      <c r="N44" s="83"/>
      <c r="O44" s="66"/>
      <c r="P44" s="66"/>
      <c r="Q44" s="66"/>
      <c r="R44" s="84"/>
      <c r="S44" s="66"/>
      <c r="T44" s="86"/>
      <c r="U44" s="86"/>
      <c r="V44" s="66"/>
      <c r="Y44" s="303">
        <f>$L$11/$C$4</f>
        <v>1.0659560293137906</v>
      </c>
      <c r="Z44" s="287">
        <f t="shared" si="69"/>
        <v>-0.10000000000000002</v>
      </c>
      <c r="AA44" s="287">
        <f t="shared" si="59"/>
        <v>-0.13957361758827436</v>
      </c>
      <c r="AB44" s="287">
        <f t="shared" si="60"/>
        <v>-0.27432411670994356</v>
      </c>
      <c r="AC44" s="287">
        <f t="shared" si="70"/>
        <v>2.2397680268847671</v>
      </c>
      <c r="AD44" s="304" t="e">
        <f t="shared" si="51"/>
        <v>#NUM!</v>
      </c>
      <c r="AE44" s="304">
        <f t="shared" si="52"/>
        <v>0.9992312486973528</v>
      </c>
      <c r="AF44" s="305" t="e">
        <f t="shared" si="61"/>
        <v>#NUM!</v>
      </c>
      <c r="AG44" s="305" t="e">
        <f t="shared" si="62"/>
        <v>#NUM!</v>
      </c>
      <c r="AH44" s="305">
        <f t="shared" si="63"/>
        <v>7.6875130264719704E-4</v>
      </c>
      <c r="AI44" s="305" t="e">
        <f t="shared" si="64"/>
        <v>#NUM!</v>
      </c>
      <c r="AJ44" s="287">
        <f t="shared" si="65"/>
        <v>-1.1000000000000001</v>
      </c>
      <c r="AK44" s="287">
        <f t="shared" si="66"/>
        <v>0.9</v>
      </c>
      <c r="AL44" s="287">
        <f t="shared" si="53"/>
        <v>-0.10000000000000002</v>
      </c>
      <c r="AM44" s="302">
        <f t="shared" si="67"/>
        <v>-0.10000000000000002</v>
      </c>
      <c r="AN44" s="287">
        <f>1-AN41</f>
        <v>0.7</v>
      </c>
      <c r="AO44" s="289">
        <v>0.5</v>
      </c>
      <c r="AP44" s="303">
        <f t="shared" si="68"/>
        <v>-0.25380789149376548</v>
      </c>
      <c r="AQ44" s="287">
        <f t="shared" si="54"/>
        <v>2.0722596582343011</v>
      </c>
      <c r="AR44" s="304" t="e">
        <f t="shared" si="55"/>
        <v>#NUM!</v>
      </c>
      <c r="AS44" s="304">
        <f t="shared" si="56"/>
        <v>0.99830855594536105</v>
      </c>
      <c r="AT44" s="305" t="e">
        <f t="shared" si="57"/>
        <v>#NUM!</v>
      </c>
      <c r="AU44" s="305" t="e">
        <f t="shared" si="58"/>
        <v>#NUM!</v>
      </c>
      <c r="AV44" s="305">
        <f t="shared" si="58"/>
        <v>1.6914440546389464E-3</v>
      </c>
      <c r="AW44" s="320" t="e">
        <f t="shared" si="58"/>
        <v>#NUM!</v>
      </c>
    </row>
    <row r="45" spans="1:49" s="71" customFormat="1" ht="15" customHeight="1">
      <c r="A45" s="83"/>
      <c r="B45" s="83"/>
      <c r="C45" s="83"/>
      <c r="D45" s="66"/>
      <c r="E45" s="83"/>
      <c r="G45" s="83"/>
      <c r="H45" s="66"/>
      <c r="I45" s="66"/>
      <c r="J45" s="66"/>
      <c r="K45" s="66"/>
      <c r="L45" s="66"/>
      <c r="M45" s="66"/>
      <c r="N45" s="83"/>
      <c r="O45" s="66"/>
      <c r="P45" s="66"/>
      <c r="Q45" s="66"/>
      <c r="R45" s="84"/>
      <c r="S45" s="66"/>
      <c r="T45" s="86"/>
      <c r="U45" s="86"/>
      <c r="V45" s="66"/>
      <c r="Y45" s="303"/>
      <c r="Z45" s="287">
        <f t="shared" si="69"/>
        <v>-5.0000000000000017E-2</v>
      </c>
      <c r="AA45" s="287">
        <f t="shared" si="59"/>
        <v>-8.6275816122584947E-2</v>
      </c>
      <c r="AB45" s="287">
        <f t="shared" si="60"/>
        <v>-0.16957027739349745</v>
      </c>
      <c r="AC45" s="287">
        <f t="shared" si="70"/>
        <v>2.1350141875683213</v>
      </c>
      <c r="AD45" s="304" t="e">
        <f t="shared" si="51"/>
        <v>#NUM!</v>
      </c>
      <c r="AE45" s="304">
        <f t="shared" si="52"/>
        <v>0.99873347846170257</v>
      </c>
      <c r="AF45" s="305" t="e">
        <f t="shared" si="61"/>
        <v>#NUM!</v>
      </c>
      <c r="AG45" s="305" t="e">
        <f t="shared" si="62"/>
        <v>#NUM!</v>
      </c>
      <c r="AH45" s="305">
        <f t="shared" si="63"/>
        <v>1.2665215382974271E-3</v>
      </c>
      <c r="AI45" s="305" t="e">
        <f t="shared" si="64"/>
        <v>#NUM!</v>
      </c>
      <c r="AJ45" s="287">
        <f t="shared" si="65"/>
        <v>-1.05</v>
      </c>
      <c r="AK45" s="287">
        <f t="shared" si="66"/>
        <v>0.95</v>
      </c>
      <c r="AL45" s="287">
        <f t="shared" si="53"/>
        <v>-5.0000000000000017E-2</v>
      </c>
      <c r="AM45" s="302">
        <f t="shared" si="67"/>
        <v>-5.0000000000000017E-2</v>
      </c>
      <c r="AN45" s="287">
        <f>AN43</f>
        <v>0.6</v>
      </c>
      <c r="AO45" s="289">
        <f>1-$C$14</f>
        <v>0.75</v>
      </c>
      <c r="AP45" s="303">
        <f t="shared" si="68"/>
        <v>-0.15688841025509623</v>
      </c>
      <c r="AQ45" s="287">
        <f t="shared" si="54"/>
        <v>1.9753401769956325</v>
      </c>
      <c r="AR45" s="304" t="e">
        <f t="shared" si="55"/>
        <v>#NUM!</v>
      </c>
      <c r="AS45" s="304">
        <f t="shared" si="56"/>
        <v>0.99739337449679422</v>
      </c>
      <c r="AT45" s="305" t="e">
        <f t="shared" si="57"/>
        <v>#NUM!</v>
      </c>
      <c r="AU45" s="305" t="e">
        <f t="shared" si="58"/>
        <v>#NUM!</v>
      </c>
      <c r="AV45" s="305">
        <f t="shared" si="58"/>
        <v>2.6066255032057839E-3</v>
      </c>
      <c r="AW45" s="320" t="e">
        <f t="shared" si="58"/>
        <v>#NUM!</v>
      </c>
    </row>
    <row r="46" spans="1:49" s="71" customFormat="1" ht="15" customHeight="1">
      <c r="A46" s="83"/>
      <c r="D46" s="66"/>
      <c r="E46" s="83"/>
      <c r="F46" s="83"/>
      <c r="G46" s="83"/>
      <c r="H46" s="66"/>
      <c r="I46" s="66"/>
      <c r="J46" s="66"/>
      <c r="K46" s="66"/>
      <c r="L46" s="66"/>
      <c r="M46" s="66"/>
      <c r="N46" s="83"/>
      <c r="O46" s="66"/>
      <c r="P46" s="66"/>
      <c r="Q46" s="66"/>
      <c r="R46" s="84"/>
      <c r="S46" s="66"/>
      <c r="T46" s="86"/>
      <c r="U46" s="86"/>
      <c r="V46" s="66"/>
      <c r="Y46" s="303"/>
      <c r="Z46" s="287">
        <f t="shared" si="69"/>
        <v>0</v>
      </c>
      <c r="AA46" s="287">
        <f t="shared" si="59"/>
        <v>-3.2978014656895316E-2</v>
      </c>
      <c r="AB46" s="287">
        <f t="shared" si="60"/>
        <v>-6.4816438077050981E-2</v>
      </c>
      <c r="AC46" s="287">
        <f t="shared" si="70"/>
        <v>2.0302603482518746</v>
      </c>
      <c r="AD46" s="304" t="e">
        <f t="shared" si="51"/>
        <v>#NUM!</v>
      </c>
      <c r="AE46" s="304">
        <f t="shared" si="52"/>
        <v>0.99795555681163806</v>
      </c>
      <c r="AF46" s="305" t="e">
        <f t="shared" si="61"/>
        <v>#NUM!</v>
      </c>
      <c r="AG46" s="305" t="e">
        <f t="shared" si="62"/>
        <v>#NUM!</v>
      </c>
      <c r="AH46" s="305">
        <f t="shared" si="63"/>
        <v>2.0444431883619441E-3</v>
      </c>
      <c r="AI46" s="305" t="e">
        <f t="shared" si="64"/>
        <v>#NUM!</v>
      </c>
      <c r="AJ46" s="287">
        <f t="shared" si="65"/>
        <v>-1</v>
      </c>
      <c r="AK46" s="287">
        <f t="shared" si="66"/>
        <v>1</v>
      </c>
      <c r="AL46" s="287">
        <f t="shared" si="53"/>
        <v>0</v>
      </c>
      <c r="AM46" s="302">
        <f t="shared" si="67"/>
        <v>0</v>
      </c>
      <c r="AN46" s="287">
        <f>AN42</f>
        <v>0.4</v>
      </c>
      <c r="AO46" s="289">
        <f>AO45</f>
        <v>0.75</v>
      </c>
      <c r="AP46" s="303">
        <f t="shared" si="68"/>
        <v>-5.9968929016426586E-2</v>
      </c>
      <c r="AQ46" s="287">
        <f t="shared" si="54"/>
        <v>1.8784206957569627</v>
      </c>
      <c r="AR46" s="304" t="e">
        <f t="shared" si="55"/>
        <v>#NUM!</v>
      </c>
      <c r="AS46" s="304">
        <f t="shared" si="56"/>
        <v>0.99605203707290135</v>
      </c>
      <c r="AT46" s="305" t="e">
        <f t="shared" si="57"/>
        <v>#NUM!</v>
      </c>
      <c r="AU46" s="305" t="e">
        <f t="shared" si="58"/>
        <v>#NUM!</v>
      </c>
      <c r="AV46" s="305">
        <f t="shared" si="58"/>
        <v>3.9479629270986472E-3</v>
      </c>
      <c r="AW46" s="320" t="e">
        <f t="shared" si="58"/>
        <v>#NUM!</v>
      </c>
    </row>
    <row r="47" spans="1:49" s="71" customFormat="1" ht="15" customHeight="1">
      <c r="A47" s="91"/>
      <c r="B47" s="83"/>
      <c r="D47" s="92"/>
      <c r="E47" s="83"/>
      <c r="F47" s="83"/>
      <c r="G47" s="91"/>
      <c r="H47" s="66"/>
      <c r="I47" s="66"/>
      <c r="J47" s="66"/>
      <c r="K47" s="66"/>
      <c r="L47" s="66"/>
      <c r="M47" s="66"/>
      <c r="N47" s="83"/>
      <c r="O47" s="66"/>
      <c r="P47" s="66"/>
      <c r="Q47" s="66"/>
      <c r="R47" s="84"/>
      <c r="S47" s="66"/>
      <c r="T47" s="86"/>
      <c r="U47" s="86"/>
      <c r="V47" s="66"/>
      <c r="X47" s="93"/>
      <c r="Y47" s="306"/>
      <c r="Z47" s="287">
        <f t="shared" si="69"/>
        <v>0.05</v>
      </c>
      <c r="AA47" s="287">
        <f t="shared" si="59"/>
        <v>2.0319786808794205E-2</v>
      </c>
      <c r="AB47" s="287">
        <f t="shared" si="60"/>
        <v>3.9937401239395293E-2</v>
      </c>
      <c r="AC47" s="287">
        <f t="shared" si="70"/>
        <v>1.9255065089354286</v>
      </c>
      <c r="AD47" s="304">
        <f t="shared" si="51"/>
        <v>0.52252029187710403</v>
      </c>
      <c r="AE47" s="304">
        <f t="shared" si="52"/>
        <v>0.99676615494574039</v>
      </c>
      <c r="AF47" s="305">
        <f t="shared" si="61"/>
        <v>0.51928644682284442</v>
      </c>
      <c r="AG47" s="305">
        <f t="shared" si="62"/>
        <v>0.47747970812289597</v>
      </c>
      <c r="AH47" s="305">
        <f t="shared" si="63"/>
        <v>3.2338450542596098E-3</v>
      </c>
      <c r="AI47" s="305">
        <f t="shared" si="64"/>
        <v>0.48071355317715558</v>
      </c>
      <c r="AJ47" s="287">
        <f t="shared" si="65"/>
        <v>-0.95</v>
      </c>
      <c r="AK47" s="287">
        <f t="shared" si="66"/>
        <v>1.05</v>
      </c>
      <c r="AL47" s="287">
        <f t="shared" ref="AL47:AL69" si="71">$Z47-$G$9/(2*$Y$44)</f>
        <v>0.05</v>
      </c>
      <c r="AM47" s="302">
        <f t="shared" si="67"/>
        <v>0.05</v>
      </c>
      <c r="AN47" s="308">
        <f>AN41</f>
        <v>0.3</v>
      </c>
      <c r="AO47" s="319">
        <v>0.5</v>
      </c>
      <c r="AP47" s="303">
        <f t="shared" si="68"/>
        <v>3.6950552222242868E-2</v>
      </c>
      <c r="AQ47" s="287">
        <f t="shared" si="54"/>
        <v>1.7815012145182934</v>
      </c>
      <c r="AR47" s="304">
        <f t="shared" si="55"/>
        <v>0.5208376327299955</v>
      </c>
      <c r="AS47" s="304">
        <f t="shared" si="56"/>
        <v>0.99412263511891563</v>
      </c>
      <c r="AT47" s="305">
        <f t="shared" si="57"/>
        <v>0.51496026784891114</v>
      </c>
      <c r="AU47" s="305">
        <f t="shared" si="58"/>
        <v>0.4791623672700045</v>
      </c>
      <c r="AV47" s="305">
        <f t="shared" si="58"/>
        <v>5.8773648810843682E-3</v>
      </c>
      <c r="AW47" s="320">
        <f t="shared" si="58"/>
        <v>0.48503973215108886</v>
      </c>
    </row>
    <row r="48" spans="1:49" s="71" customFormat="1" ht="15" customHeight="1">
      <c r="A48" s="91"/>
      <c r="B48" s="83"/>
      <c r="D48" s="92"/>
      <c r="E48" s="83"/>
      <c r="F48" s="83"/>
      <c r="G48" s="91"/>
      <c r="H48" s="66"/>
      <c r="I48" s="66"/>
      <c r="J48" s="66"/>
      <c r="K48" s="66"/>
      <c r="L48" s="66"/>
      <c r="M48" s="66"/>
      <c r="N48" s="83"/>
      <c r="O48" s="66"/>
      <c r="P48" s="66"/>
      <c r="Q48" s="66"/>
      <c r="R48" s="84"/>
      <c r="S48" s="66"/>
      <c r="T48" s="86"/>
      <c r="U48" s="86"/>
      <c r="V48" s="66"/>
      <c r="X48" s="93"/>
      <c r="Y48" s="306"/>
      <c r="Z48" s="287">
        <f t="shared" si="69"/>
        <v>0.1</v>
      </c>
      <c r="AA48" s="287">
        <f t="shared" si="59"/>
        <v>7.3617588274483725E-2</v>
      </c>
      <c r="AB48" s="287">
        <f t="shared" si="60"/>
        <v>0.14469124055584154</v>
      </c>
      <c r="AC48" s="287">
        <f t="shared" si="70"/>
        <v>1.8207526696189822</v>
      </c>
      <c r="AD48" s="304">
        <f t="shared" si="51"/>
        <v>0.58106717153116405</v>
      </c>
      <c r="AE48" s="304">
        <f t="shared" si="52"/>
        <v>0.99498702612316414</v>
      </c>
      <c r="AF48" s="305">
        <f t="shared" si="61"/>
        <v>0.57605419765432808</v>
      </c>
      <c r="AG48" s="305">
        <f t="shared" si="62"/>
        <v>0.41893282846883595</v>
      </c>
      <c r="AH48" s="305">
        <f t="shared" si="63"/>
        <v>5.0129738768358578E-3</v>
      </c>
      <c r="AI48" s="305">
        <f t="shared" si="64"/>
        <v>0.42394580234567192</v>
      </c>
      <c r="AJ48" s="287">
        <f t="shared" si="65"/>
        <v>-0.9</v>
      </c>
      <c r="AK48" s="287">
        <f t="shared" si="66"/>
        <v>1.1000000000000001</v>
      </c>
      <c r="AL48" s="287">
        <f t="shared" si="71"/>
        <v>0.1</v>
      </c>
      <c r="AM48" s="302">
        <f t="shared" si="67"/>
        <v>0.1</v>
      </c>
      <c r="AP48" s="303">
        <f t="shared" si="68"/>
        <v>0.13387003346091231</v>
      </c>
      <c r="AQ48" s="287">
        <f t="shared" si="54"/>
        <v>1.6845817332796238</v>
      </c>
      <c r="AR48" s="304">
        <f t="shared" si="55"/>
        <v>0.57507930959136899</v>
      </c>
      <c r="AS48" s="304">
        <f t="shared" si="56"/>
        <v>0.9913989247685342</v>
      </c>
      <c r="AT48" s="305">
        <f t="shared" si="57"/>
        <v>0.56647823435990308</v>
      </c>
      <c r="AU48" s="305">
        <f t="shared" si="58"/>
        <v>0.42492069040863101</v>
      </c>
      <c r="AV48" s="305">
        <f t="shared" si="58"/>
        <v>8.6010752314658045E-3</v>
      </c>
      <c r="AW48" s="320">
        <f t="shared" si="58"/>
        <v>0.43352176564009692</v>
      </c>
    </row>
    <row r="49" spans="1:49" s="71" customFormat="1" ht="15" customHeight="1">
      <c r="A49" s="91"/>
      <c r="B49" s="83"/>
      <c r="D49" s="92"/>
      <c r="E49" s="83"/>
      <c r="F49" s="83"/>
      <c r="G49" s="91"/>
      <c r="H49" s="66"/>
      <c r="I49" s="66"/>
      <c r="J49" s="66"/>
      <c r="K49" s="66"/>
      <c r="L49" s="66"/>
      <c r="M49" s="66"/>
      <c r="N49" s="83"/>
      <c r="O49" s="66"/>
      <c r="P49" s="66"/>
      <c r="Q49" s="66"/>
      <c r="R49" s="84"/>
      <c r="S49" s="66"/>
      <c r="T49" s="86"/>
      <c r="U49" s="86"/>
      <c r="V49" s="66"/>
      <c r="X49" s="93"/>
      <c r="Y49" s="306"/>
      <c r="Z49" s="287">
        <f t="shared" si="69"/>
        <v>0.15000000000000002</v>
      </c>
      <c r="AA49" s="287">
        <f t="shared" si="59"/>
        <v>0.1269153897401733</v>
      </c>
      <c r="AB49" s="287">
        <f t="shared" si="60"/>
        <v>0.24944507987228795</v>
      </c>
      <c r="AC49" s="287">
        <f t="shared" si="70"/>
        <v>1.7159988303025357</v>
      </c>
      <c r="AD49" s="304">
        <f t="shared" si="51"/>
        <v>0.6378690423280855</v>
      </c>
      <c r="AE49" s="304">
        <f t="shared" si="52"/>
        <v>0.99238343961491005</v>
      </c>
      <c r="AF49" s="305">
        <f t="shared" si="61"/>
        <v>0.63025248194299555</v>
      </c>
      <c r="AG49" s="305">
        <f t="shared" si="62"/>
        <v>0.3621309576719145</v>
      </c>
      <c r="AH49" s="305">
        <f t="shared" si="63"/>
        <v>7.6165603850899544E-3</v>
      </c>
      <c r="AI49" s="305">
        <f t="shared" si="64"/>
        <v>0.36974751805700445</v>
      </c>
      <c r="AJ49" s="287">
        <f t="shared" si="65"/>
        <v>-0.85</v>
      </c>
      <c r="AK49" s="287">
        <f t="shared" si="66"/>
        <v>1.1499999999999999</v>
      </c>
      <c r="AL49" s="287">
        <f t="shared" si="71"/>
        <v>0.15000000000000002</v>
      </c>
      <c r="AM49" s="302">
        <f t="shared" si="67"/>
        <v>0.15000000000000002</v>
      </c>
      <c r="AP49" s="303">
        <f t="shared" si="68"/>
        <v>0.23078951469958187</v>
      </c>
      <c r="AQ49" s="287">
        <f t="shared" si="54"/>
        <v>1.5876622520409542</v>
      </c>
      <c r="AR49" s="304">
        <f t="shared" si="55"/>
        <v>0.62793370764350054</v>
      </c>
      <c r="AS49" s="304">
        <f t="shared" si="56"/>
        <v>0.98762534916309619</v>
      </c>
      <c r="AT49" s="305">
        <f t="shared" si="57"/>
        <v>0.61555905680659673</v>
      </c>
      <c r="AU49" s="305">
        <f t="shared" si="58"/>
        <v>0.37206629235649946</v>
      </c>
      <c r="AV49" s="305">
        <f t="shared" si="58"/>
        <v>1.2374650836903811E-2</v>
      </c>
      <c r="AW49" s="320">
        <f t="shared" si="58"/>
        <v>0.38444094319340327</v>
      </c>
    </row>
    <row r="50" spans="1:49" s="71" customFormat="1" ht="15" customHeight="1">
      <c r="A50" s="91"/>
      <c r="B50" s="83"/>
      <c r="C50" s="83"/>
      <c r="D50" s="92"/>
      <c r="E50" s="83"/>
      <c r="F50" s="83"/>
      <c r="G50" s="91"/>
      <c r="H50" s="66"/>
      <c r="I50" s="66"/>
      <c r="J50" s="66"/>
      <c r="K50" s="66"/>
      <c r="L50" s="66"/>
      <c r="M50" s="66"/>
      <c r="N50" s="83"/>
      <c r="O50" s="83"/>
      <c r="P50" s="83"/>
      <c r="Q50" s="66"/>
      <c r="R50" s="84"/>
      <c r="S50" s="66"/>
      <c r="T50" s="86"/>
      <c r="U50" s="86"/>
      <c r="V50" s="66"/>
      <c r="X50" s="93"/>
      <c r="Y50" s="306"/>
      <c r="Z50" s="287">
        <f t="shared" si="69"/>
        <v>0.2</v>
      </c>
      <c r="AA50" s="287">
        <f t="shared" si="59"/>
        <v>0.18021319120586282</v>
      </c>
      <c r="AB50" s="287">
        <f t="shared" si="60"/>
        <v>0.35419891918873425</v>
      </c>
      <c r="AC50" s="287">
        <f t="shared" si="70"/>
        <v>1.6112449909860895</v>
      </c>
      <c r="AD50" s="304">
        <f t="shared" si="51"/>
        <v>0.69178379336449303</v>
      </c>
      <c r="AE50" s="304">
        <f t="shared" si="52"/>
        <v>0.98865589590331715</v>
      </c>
      <c r="AF50" s="305">
        <f t="shared" si="61"/>
        <v>0.68043968926781018</v>
      </c>
      <c r="AG50" s="305">
        <f t="shared" si="62"/>
        <v>0.30821620663550697</v>
      </c>
      <c r="AH50" s="305">
        <f t="shared" si="63"/>
        <v>1.134410409668285E-2</v>
      </c>
      <c r="AI50" s="305">
        <f t="shared" si="64"/>
        <v>0.31956031073218982</v>
      </c>
      <c r="AJ50" s="287">
        <f t="shared" si="65"/>
        <v>-0.8</v>
      </c>
      <c r="AK50" s="287">
        <f t="shared" si="66"/>
        <v>1.2</v>
      </c>
      <c r="AL50" s="287">
        <f t="shared" si="71"/>
        <v>0.2</v>
      </c>
      <c r="AM50" s="302">
        <f t="shared" si="67"/>
        <v>0.2</v>
      </c>
      <c r="AP50" s="303">
        <f t="shared" si="68"/>
        <v>0.32770899593825131</v>
      </c>
      <c r="AQ50" s="287">
        <f t="shared" si="54"/>
        <v>1.4907427708022847</v>
      </c>
      <c r="AR50" s="304">
        <f t="shared" si="55"/>
        <v>0.67847925820966026</v>
      </c>
      <c r="AS50" s="304">
        <f t="shared" si="56"/>
        <v>0.98249438892645702</v>
      </c>
      <c r="AT50" s="305">
        <f t="shared" si="57"/>
        <v>0.66097364713611739</v>
      </c>
      <c r="AU50" s="305">
        <f t="shared" si="58"/>
        <v>0.32152074179033974</v>
      </c>
      <c r="AV50" s="305">
        <f t="shared" si="58"/>
        <v>1.7505611073542982E-2</v>
      </c>
      <c r="AW50" s="320">
        <f t="shared" si="58"/>
        <v>0.33902635286388261</v>
      </c>
    </row>
    <row r="51" spans="1:49" s="71" customFormat="1" ht="15" customHeight="1">
      <c r="A51" s="91"/>
      <c r="B51" s="83"/>
      <c r="C51" s="83"/>
      <c r="D51" s="92"/>
      <c r="E51" s="83"/>
      <c r="F51" s="83"/>
      <c r="G51" s="91"/>
      <c r="H51" s="66"/>
      <c r="I51" s="66"/>
      <c r="J51" s="66"/>
      <c r="K51" s="66"/>
      <c r="L51" s="66"/>
      <c r="M51" s="66"/>
      <c r="N51" s="83"/>
      <c r="O51" s="83"/>
      <c r="P51" s="83"/>
      <c r="Q51" s="83"/>
      <c r="R51" s="207"/>
      <c r="S51" s="66"/>
      <c r="T51" s="86"/>
      <c r="U51" s="86"/>
      <c r="V51" s="66"/>
      <c r="X51" s="93"/>
      <c r="Y51" s="306"/>
      <c r="Z51" s="287">
        <f t="shared" si="69"/>
        <v>0.25</v>
      </c>
      <c r="AA51" s="287">
        <f t="shared" si="59"/>
        <v>0.23351099267155234</v>
      </c>
      <c r="AB51" s="287">
        <f t="shared" si="60"/>
        <v>0.45895275850518047</v>
      </c>
      <c r="AC51" s="287">
        <f t="shared" si="70"/>
        <v>1.5064911516696433</v>
      </c>
      <c r="AD51" s="304">
        <f t="shared" si="51"/>
        <v>0.74184930234328028</v>
      </c>
      <c r="AE51" s="304">
        <f t="shared" si="52"/>
        <v>0.98343482889087253</v>
      </c>
      <c r="AF51" s="305">
        <f t="shared" si="61"/>
        <v>0.7252841312341527</v>
      </c>
      <c r="AG51" s="305">
        <f t="shared" si="62"/>
        <v>0.25815069765671972</v>
      </c>
      <c r="AH51" s="305">
        <f t="shared" si="63"/>
        <v>1.6565171109127474E-2</v>
      </c>
      <c r="AI51" s="305">
        <f t="shared" si="64"/>
        <v>0.2747158687658473</v>
      </c>
      <c r="AJ51" s="287">
        <f t="shared" si="65"/>
        <v>-0.75</v>
      </c>
      <c r="AK51" s="287">
        <f t="shared" si="66"/>
        <v>1.25</v>
      </c>
      <c r="AL51" s="287">
        <f t="shared" si="71"/>
        <v>0.25</v>
      </c>
      <c r="AM51" s="302">
        <f t="shared" si="67"/>
        <v>0.25</v>
      </c>
      <c r="AP51" s="303">
        <f t="shared" si="68"/>
        <v>0.42462847717692076</v>
      </c>
      <c r="AQ51" s="287">
        <f t="shared" si="54"/>
        <v>1.3938232895636153</v>
      </c>
      <c r="AR51" s="304">
        <f t="shared" si="55"/>
        <v>0.72591858336382664</v>
      </c>
      <c r="AS51" s="304">
        <f t="shared" si="56"/>
        <v>0.97564742405507721</v>
      </c>
      <c r="AT51" s="305">
        <f t="shared" si="57"/>
        <v>0.70156600741890385</v>
      </c>
      <c r="AU51" s="305">
        <f t="shared" si="58"/>
        <v>0.27408141663617336</v>
      </c>
      <c r="AV51" s="305">
        <f t="shared" si="58"/>
        <v>2.4352575944922794E-2</v>
      </c>
      <c r="AW51" s="320">
        <f t="shared" si="58"/>
        <v>0.29843399258109615</v>
      </c>
    </row>
    <row r="52" spans="1:49" s="71" customFormat="1" ht="15" customHeight="1">
      <c r="A52" s="94"/>
      <c r="B52" s="83"/>
      <c r="C52" s="83"/>
      <c r="D52" s="92"/>
      <c r="E52" s="83"/>
      <c r="F52" s="83"/>
      <c r="G52" s="91"/>
      <c r="H52" s="66"/>
      <c r="I52" s="66"/>
      <c r="J52" s="66"/>
      <c r="K52" s="66"/>
      <c r="L52" s="66"/>
      <c r="M52" s="66"/>
      <c r="N52" s="83"/>
      <c r="O52" s="83"/>
      <c r="P52" s="83"/>
      <c r="Q52" s="66"/>
      <c r="R52" s="84"/>
      <c r="S52" s="66"/>
      <c r="T52" s="86"/>
      <c r="U52" s="86"/>
      <c r="V52" s="66"/>
      <c r="X52" s="93"/>
      <c r="Y52" s="306"/>
      <c r="Z52" s="287">
        <f t="shared" si="69"/>
        <v>0.3</v>
      </c>
      <c r="AA52" s="287">
        <f t="shared" si="59"/>
        <v>0.28680879413724186</v>
      </c>
      <c r="AB52" s="287">
        <f t="shared" si="60"/>
        <v>0.5637065978216268</v>
      </c>
      <c r="AC52" s="287">
        <f t="shared" si="70"/>
        <v>1.4017373123531969</v>
      </c>
      <c r="AD52" s="304">
        <f t="shared" si="51"/>
        <v>0.78733299688393377</v>
      </c>
      <c r="AE52" s="304">
        <f t="shared" si="52"/>
        <v>0.97628028624654972</v>
      </c>
      <c r="AF52" s="305">
        <f t="shared" si="61"/>
        <v>0.76361328313048338</v>
      </c>
      <c r="AG52" s="305">
        <f t="shared" si="62"/>
        <v>0.21266700311606623</v>
      </c>
      <c r="AH52" s="305">
        <f t="shared" si="63"/>
        <v>2.3719713753450278E-2</v>
      </c>
      <c r="AI52" s="305">
        <f t="shared" si="64"/>
        <v>0.23638671686951662</v>
      </c>
      <c r="AJ52" s="287">
        <f t="shared" si="65"/>
        <v>-0.7</v>
      </c>
      <c r="AK52" s="287">
        <f t="shared" si="66"/>
        <v>1.3</v>
      </c>
      <c r="AL52" s="287">
        <f t="shared" si="71"/>
        <v>0.3</v>
      </c>
      <c r="AM52" s="302">
        <f t="shared" si="67"/>
        <v>0.3</v>
      </c>
      <c r="AP52" s="303">
        <f t="shared" si="68"/>
        <v>0.52154795841559021</v>
      </c>
      <c r="AQ52" s="287">
        <f t="shared" si="54"/>
        <v>1.2969038083249458</v>
      </c>
      <c r="AR52" s="304">
        <f t="shared" si="55"/>
        <v>0.76961520169771658</v>
      </c>
      <c r="AS52" s="304">
        <f t="shared" si="56"/>
        <v>0.96668033858528879</v>
      </c>
      <c r="AT52" s="305">
        <f t="shared" si="57"/>
        <v>0.73629554028300537</v>
      </c>
      <c r="AU52" s="305">
        <f t="shared" si="58"/>
        <v>0.23038479830228342</v>
      </c>
      <c r="AV52" s="305">
        <f t="shared" si="58"/>
        <v>3.331966141471121E-2</v>
      </c>
      <c r="AW52" s="320">
        <f t="shared" si="58"/>
        <v>0.26370445971699463</v>
      </c>
    </row>
    <row r="53" spans="1:49" s="71" customFormat="1" ht="15" customHeight="1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66"/>
      <c r="P53" s="66"/>
      <c r="R53" s="205"/>
      <c r="T53" s="86"/>
      <c r="U53" s="86"/>
      <c r="X53" s="93"/>
      <c r="Y53" s="306"/>
      <c r="Z53" s="287">
        <f t="shared" si="69"/>
        <v>0.35</v>
      </c>
      <c r="AA53" s="287">
        <f t="shared" si="59"/>
        <v>0.34010659560293138</v>
      </c>
      <c r="AB53" s="287">
        <f t="shared" si="60"/>
        <v>0.66846043713807302</v>
      </c>
      <c r="AC53" s="287">
        <f t="shared" si="70"/>
        <v>1.2969834730367509</v>
      </c>
      <c r="AD53" s="304">
        <f t="shared" si="51"/>
        <v>0.82775881948169316</v>
      </c>
      <c r="AE53" s="304">
        <f t="shared" si="52"/>
        <v>0.96668869809770186</v>
      </c>
      <c r="AF53" s="305">
        <f t="shared" si="61"/>
        <v>0.79444751757939502</v>
      </c>
      <c r="AG53" s="305">
        <f t="shared" si="62"/>
        <v>0.17224118051830684</v>
      </c>
      <c r="AH53" s="305">
        <f t="shared" si="63"/>
        <v>3.331130190229814E-2</v>
      </c>
      <c r="AI53" s="305">
        <f t="shared" si="64"/>
        <v>0.20555248242060498</v>
      </c>
      <c r="AJ53" s="287">
        <f t="shared" si="65"/>
        <v>-0.65</v>
      </c>
      <c r="AK53" s="287">
        <f t="shared" si="66"/>
        <v>1.35</v>
      </c>
      <c r="AL53" s="287">
        <f t="shared" si="71"/>
        <v>0.35</v>
      </c>
      <c r="AM53" s="302">
        <f t="shared" si="67"/>
        <v>0.35</v>
      </c>
      <c r="AP53" s="303">
        <f t="shared" si="68"/>
        <v>0.61846743965425965</v>
      </c>
      <c r="AQ53" s="287">
        <f t="shared" si="54"/>
        <v>1.1999843270862764</v>
      </c>
      <c r="AR53" s="304">
        <f t="shared" si="55"/>
        <v>0.8091164629293901</v>
      </c>
      <c r="AS53" s="304">
        <f t="shared" si="56"/>
        <v>0.95515488490495493</v>
      </c>
      <c r="AT53" s="305">
        <f t="shared" si="57"/>
        <v>0.76427134783434503</v>
      </c>
      <c r="AU53" s="305">
        <f t="shared" si="58"/>
        <v>0.1908835370706099</v>
      </c>
      <c r="AV53" s="305">
        <f t="shared" si="58"/>
        <v>4.4845115095045074E-2</v>
      </c>
      <c r="AW53" s="320">
        <f t="shared" si="58"/>
        <v>0.23572865216565497</v>
      </c>
    </row>
    <row r="54" spans="1:49" s="71" customFormat="1" ht="15" customHeight="1">
      <c r="A54" s="94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66"/>
      <c r="P54" s="66"/>
      <c r="R54" s="205"/>
      <c r="T54" s="86"/>
      <c r="U54" s="86"/>
      <c r="X54" s="93"/>
      <c r="Y54" s="306"/>
      <c r="Z54" s="287">
        <f t="shared" si="69"/>
        <v>0.39999999999999997</v>
      </c>
      <c r="AA54" s="287">
        <f>0.5+(-0.5+Z54)*$Y$44</f>
        <v>0.3934043970686209</v>
      </c>
      <c r="AB54" s="287">
        <f t="shared" si="60"/>
        <v>0.77321427645451934</v>
      </c>
      <c r="AC54" s="287">
        <f t="shared" si="70"/>
        <v>1.1922296337203044</v>
      </c>
      <c r="AD54" s="304">
        <f t="shared" si="51"/>
        <v>0.86291055569003694</v>
      </c>
      <c r="AE54" s="304">
        <f t="shared" si="52"/>
        <v>0.95410857264242699</v>
      </c>
      <c r="AF54" s="305">
        <f t="shared" si="61"/>
        <v>0.81701912833246393</v>
      </c>
      <c r="AG54" s="305">
        <f t="shared" si="62"/>
        <v>0.13708944430996306</v>
      </c>
      <c r="AH54" s="305">
        <f t="shared" si="63"/>
        <v>4.5891427357573011E-2</v>
      </c>
      <c r="AI54" s="305">
        <f t="shared" si="64"/>
        <v>0.18298087166753607</v>
      </c>
      <c r="AJ54" s="287">
        <f t="shared" si="65"/>
        <v>-0.60000000000000009</v>
      </c>
      <c r="AK54" s="287">
        <f t="shared" si="66"/>
        <v>1.4</v>
      </c>
      <c r="AL54" s="287">
        <f t="shared" si="71"/>
        <v>0.39999999999999997</v>
      </c>
      <c r="AM54" s="302">
        <f t="shared" si="67"/>
        <v>0.39999999999999997</v>
      </c>
      <c r="AP54" s="303">
        <f t="shared" si="68"/>
        <v>0.7153869208929291</v>
      </c>
      <c r="AQ54" s="287">
        <f t="shared" si="54"/>
        <v>1.1030648458476069</v>
      </c>
      <c r="AR54" s="304">
        <f t="shared" si="55"/>
        <v>0.84416147936864294</v>
      </c>
      <c r="AS54" s="304">
        <f t="shared" si="56"/>
        <v>0.94061640431630367</v>
      </c>
      <c r="AT54" s="305">
        <f t="shared" si="57"/>
        <v>0.78477788368494661</v>
      </c>
      <c r="AU54" s="305">
        <f t="shared" si="58"/>
        <v>0.15583852063135706</v>
      </c>
      <c r="AV54" s="305">
        <f t="shared" si="58"/>
        <v>5.9383595683696333E-2</v>
      </c>
      <c r="AW54" s="320">
        <f t="shared" si="58"/>
        <v>0.21522211631505339</v>
      </c>
    </row>
    <row r="55" spans="1:49" s="71" customFormat="1" ht="15" customHeight="1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66"/>
      <c r="P55" s="66"/>
      <c r="R55" s="205"/>
      <c r="T55" s="86"/>
      <c r="U55" s="86"/>
      <c r="X55" s="93"/>
      <c r="Y55" s="306"/>
      <c r="Z55" s="287">
        <f t="shared" si="69"/>
        <v>0.44999999999999996</v>
      </c>
      <c r="AA55" s="287">
        <f t="shared" si="59"/>
        <v>0.44670219853431042</v>
      </c>
      <c r="AB55" s="287">
        <f t="shared" si="60"/>
        <v>0.87796811577096556</v>
      </c>
      <c r="AC55" s="287">
        <f t="shared" si="70"/>
        <v>1.0874757944038582</v>
      </c>
      <c r="AD55" s="304">
        <f t="shared" si="51"/>
        <v>0.89281420941870104</v>
      </c>
      <c r="AE55" s="304">
        <f t="shared" si="52"/>
        <v>0.93796626306758923</v>
      </c>
      <c r="AF55" s="305">
        <f t="shared" si="61"/>
        <v>0.83078047248629039</v>
      </c>
      <c r="AG55" s="305">
        <f t="shared" si="62"/>
        <v>0.10718579058129896</v>
      </c>
      <c r="AH55" s="305">
        <f t="shared" si="63"/>
        <v>6.2033736932410766E-2</v>
      </c>
      <c r="AI55" s="305">
        <f t="shared" si="64"/>
        <v>0.16921952751370961</v>
      </c>
      <c r="AJ55" s="287">
        <f t="shared" si="65"/>
        <v>-0.55000000000000004</v>
      </c>
      <c r="AK55" s="287">
        <f t="shared" si="66"/>
        <v>1.45</v>
      </c>
      <c r="AL55" s="287">
        <f t="shared" si="71"/>
        <v>0.44999999999999996</v>
      </c>
      <c r="AM55" s="302">
        <f t="shared" si="67"/>
        <v>0.44999999999999996</v>
      </c>
      <c r="AP55" s="303">
        <f t="shared" si="68"/>
        <v>0.81230640213159855</v>
      </c>
      <c r="AQ55" s="287">
        <f t="shared" si="54"/>
        <v>1.0061453646089376</v>
      </c>
      <c r="AR55" s="304">
        <f t="shared" si="55"/>
        <v>0.87467546547811437</v>
      </c>
      <c r="AS55" s="304">
        <f t="shared" si="56"/>
        <v>0.92261804171811757</v>
      </c>
      <c r="AT55" s="305">
        <f t="shared" si="57"/>
        <v>0.79729350719623193</v>
      </c>
      <c r="AU55" s="305">
        <f t="shared" si="58"/>
        <v>0.12532453452188563</v>
      </c>
      <c r="AV55" s="305">
        <f t="shared" si="58"/>
        <v>7.7381958281882435E-2</v>
      </c>
      <c r="AW55" s="320">
        <f t="shared" si="58"/>
        <v>0.20270649280376807</v>
      </c>
    </row>
    <row r="56" spans="1:49" s="71" customFormat="1" ht="15" customHeight="1">
      <c r="A56" s="91"/>
      <c r="B56" s="83"/>
      <c r="C56" s="83"/>
      <c r="D56" s="92"/>
      <c r="E56" s="83"/>
      <c r="F56" s="83"/>
      <c r="G56" s="91"/>
      <c r="H56" s="66"/>
      <c r="I56" s="66"/>
      <c r="J56" s="66"/>
      <c r="K56" s="66"/>
      <c r="L56" s="66"/>
      <c r="M56" s="66"/>
      <c r="N56" s="83"/>
      <c r="O56" s="66"/>
      <c r="P56" s="66"/>
      <c r="R56" s="205"/>
      <c r="T56" s="86"/>
      <c r="U56" s="86"/>
      <c r="X56" s="93"/>
      <c r="Y56" s="306"/>
      <c r="Z56" s="287">
        <f t="shared" si="69"/>
        <v>0.49999999999999994</v>
      </c>
      <c r="AA56" s="287">
        <f t="shared" si="59"/>
        <v>0.49999999999999994</v>
      </c>
      <c r="AB56" s="287">
        <f t="shared" si="60"/>
        <v>0.98272195508741178</v>
      </c>
      <c r="AC56" s="287">
        <f t="shared" si="70"/>
        <v>0.98272195508741189</v>
      </c>
      <c r="AD56" s="304">
        <f t="shared" si="51"/>
        <v>0.91770191952509561</v>
      </c>
      <c r="AE56" s="304">
        <f t="shared" si="52"/>
        <v>0.91770191952509572</v>
      </c>
      <c r="AF56" s="305">
        <f t="shared" si="61"/>
        <v>0.83540383905019144</v>
      </c>
      <c r="AG56" s="305">
        <f t="shared" si="62"/>
        <v>8.2298080474904389E-2</v>
      </c>
      <c r="AH56" s="305">
        <f t="shared" si="63"/>
        <v>8.2298080474904278E-2</v>
      </c>
      <c r="AI56" s="305">
        <f t="shared" si="64"/>
        <v>0.16459616094980856</v>
      </c>
      <c r="AJ56" s="287">
        <f t="shared" si="65"/>
        <v>-0.5</v>
      </c>
      <c r="AK56" s="287">
        <f t="shared" si="66"/>
        <v>1.5</v>
      </c>
      <c r="AL56" s="287">
        <f t="shared" si="71"/>
        <v>0.49999999999999994</v>
      </c>
      <c r="AM56" s="302">
        <f t="shared" si="67"/>
        <v>0.49999999999999994</v>
      </c>
      <c r="AP56" s="303">
        <f t="shared" si="68"/>
        <v>0.909225883370268</v>
      </c>
      <c r="AQ56" s="287">
        <f t="shared" si="54"/>
        <v>0.90922588337026811</v>
      </c>
      <c r="AR56" s="304">
        <f t="shared" si="55"/>
        <v>0.900750430508648</v>
      </c>
      <c r="AS56" s="304">
        <f t="shared" si="56"/>
        <v>0.900750430508648</v>
      </c>
      <c r="AT56" s="305">
        <f t="shared" si="57"/>
        <v>0.80150086101729601</v>
      </c>
      <c r="AU56" s="305">
        <f t="shared" si="58"/>
        <v>9.9249569491351997E-2</v>
      </c>
      <c r="AV56" s="305">
        <f t="shared" si="58"/>
        <v>9.9249569491351997E-2</v>
      </c>
      <c r="AW56" s="320">
        <f t="shared" si="58"/>
        <v>0.19849913898270399</v>
      </c>
    </row>
    <row r="57" spans="1:49" s="71" customFormat="1" ht="15" customHeight="1">
      <c r="A57" s="91"/>
      <c r="B57" s="83"/>
      <c r="C57" s="83"/>
      <c r="D57" s="92"/>
      <c r="E57" s="83"/>
      <c r="F57" s="83"/>
      <c r="G57" s="91"/>
      <c r="H57" s="66"/>
      <c r="I57" s="66"/>
      <c r="J57" s="66"/>
      <c r="K57" s="66"/>
      <c r="L57" s="66"/>
      <c r="M57" s="66"/>
      <c r="N57" s="83"/>
      <c r="O57" s="66"/>
      <c r="P57" s="66"/>
      <c r="R57" s="205"/>
      <c r="T57" s="86"/>
      <c r="U57" s="86"/>
      <c r="X57" s="93"/>
      <c r="Y57" s="306"/>
      <c r="Z57" s="287">
        <f t="shared" si="69"/>
        <v>0.54999999999999993</v>
      </c>
      <c r="AA57" s="287">
        <f t="shared" si="59"/>
        <v>0.55329780146568941</v>
      </c>
      <c r="AB57" s="287">
        <f>MAX(MIN(B_1*Tb_eff*($AA57)/(SQRT(2)*$AG$9),10),-10)</f>
        <v>1.087475794403858</v>
      </c>
      <c r="AC57" s="287">
        <f t="shared" si="70"/>
        <v>0.8779681157709659</v>
      </c>
      <c r="AD57" s="304">
        <f t="shared" si="51"/>
        <v>0.93796626306758912</v>
      </c>
      <c r="AE57" s="304">
        <f t="shared" si="52"/>
        <v>0.89281420941870115</v>
      </c>
      <c r="AF57" s="305">
        <f t="shared" si="61"/>
        <v>0.83078047248629039</v>
      </c>
      <c r="AG57" s="305">
        <f t="shared" si="62"/>
        <v>6.2033736932410877E-2</v>
      </c>
      <c r="AH57" s="305">
        <f t="shared" si="63"/>
        <v>0.10718579058129885</v>
      </c>
      <c r="AI57" s="305">
        <f t="shared" si="64"/>
        <v>0.16921952751370961</v>
      </c>
      <c r="AJ57" s="287">
        <f t="shared" si="65"/>
        <v>-0.45000000000000007</v>
      </c>
      <c r="AK57" s="287">
        <f t="shared" si="66"/>
        <v>1.5499999999999998</v>
      </c>
      <c r="AL57" s="287">
        <f t="shared" si="71"/>
        <v>0.54999999999999993</v>
      </c>
      <c r="AM57" s="302">
        <f t="shared" si="67"/>
        <v>0.54999999999999993</v>
      </c>
      <c r="AP57" s="303">
        <f t="shared" si="68"/>
        <v>1.0061453646089373</v>
      </c>
      <c r="AQ57" s="287">
        <f t="shared" si="54"/>
        <v>0.81230640213159888</v>
      </c>
      <c r="AR57" s="304">
        <f t="shared" si="55"/>
        <v>0.92261804171811757</v>
      </c>
      <c r="AS57" s="304">
        <f t="shared" si="56"/>
        <v>0.87467546547811437</v>
      </c>
      <c r="AT57" s="305">
        <f t="shared" si="57"/>
        <v>0.79729350719623193</v>
      </c>
      <c r="AU57" s="305">
        <f t="shared" si="58"/>
        <v>7.7381958281882435E-2</v>
      </c>
      <c r="AV57" s="305">
        <f t="shared" si="58"/>
        <v>0.12532453452188563</v>
      </c>
      <c r="AW57" s="320">
        <f t="shared" si="58"/>
        <v>0.20270649280376807</v>
      </c>
    </row>
    <row r="58" spans="1:49" s="71" customFormat="1" ht="15" customHeight="1">
      <c r="A58" s="91"/>
      <c r="B58" s="83"/>
      <c r="C58" s="83"/>
      <c r="D58" s="92"/>
      <c r="E58" s="83"/>
      <c r="F58" s="83"/>
      <c r="G58" s="91"/>
      <c r="H58" s="66"/>
      <c r="I58" s="66"/>
      <c r="J58" s="66"/>
      <c r="K58" s="66"/>
      <c r="L58" s="66"/>
      <c r="M58" s="66"/>
      <c r="N58" s="83"/>
      <c r="O58" s="66"/>
      <c r="P58" s="66"/>
      <c r="R58" s="205"/>
      <c r="T58" s="86"/>
      <c r="U58" s="86"/>
      <c r="X58" s="93"/>
      <c r="Y58" s="306"/>
      <c r="Z58" s="287">
        <f t="shared" si="69"/>
        <v>0.6</v>
      </c>
      <c r="AA58" s="287">
        <f t="shared" si="59"/>
        <v>0.60659560293137904</v>
      </c>
      <c r="AB58" s="287">
        <f t="shared" si="60"/>
        <v>1.1922296337203044</v>
      </c>
      <c r="AC58" s="287">
        <f t="shared" si="70"/>
        <v>0.77321427645451946</v>
      </c>
      <c r="AD58" s="304">
        <f t="shared" si="51"/>
        <v>0.95410857264242699</v>
      </c>
      <c r="AE58" s="304">
        <f t="shared" si="52"/>
        <v>0.86291055569003694</v>
      </c>
      <c r="AF58" s="305">
        <f t="shared" si="61"/>
        <v>0.81701912833246393</v>
      </c>
      <c r="AG58" s="305">
        <f t="shared" si="62"/>
        <v>4.5891427357573011E-2</v>
      </c>
      <c r="AH58" s="305">
        <f t="shared" si="63"/>
        <v>0.13708944430996306</v>
      </c>
      <c r="AI58" s="305">
        <f t="shared" si="64"/>
        <v>0.18298087166753607</v>
      </c>
      <c r="AJ58" s="287">
        <f t="shared" si="65"/>
        <v>-0.4</v>
      </c>
      <c r="AK58" s="287">
        <f t="shared" si="66"/>
        <v>1.6</v>
      </c>
      <c r="AL58" s="287">
        <f t="shared" si="71"/>
        <v>0.6</v>
      </c>
      <c r="AM58" s="302">
        <f t="shared" si="67"/>
        <v>0.6</v>
      </c>
      <c r="AP58" s="303">
        <f t="shared" si="68"/>
        <v>1.1030648458476069</v>
      </c>
      <c r="AQ58" s="287">
        <f t="shared" si="54"/>
        <v>0.71538692089292921</v>
      </c>
      <c r="AR58" s="304">
        <f t="shared" si="55"/>
        <v>0.94061640431630367</v>
      </c>
      <c r="AS58" s="304">
        <f t="shared" si="56"/>
        <v>0.84416147936864305</v>
      </c>
      <c r="AT58" s="305">
        <f t="shared" si="57"/>
        <v>0.78477788368494661</v>
      </c>
      <c r="AU58" s="305">
        <f t="shared" si="58"/>
        <v>5.9383595683696333E-2</v>
      </c>
      <c r="AV58" s="305">
        <f t="shared" si="58"/>
        <v>0.15583852063135695</v>
      </c>
      <c r="AW58" s="320">
        <f t="shared" si="58"/>
        <v>0.21522211631505339</v>
      </c>
    </row>
    <row r="59" spans="1:49" s="71" customFormat="1" ht="15" customHeight="1">
      <c r="A59" s="91"/>
      <c r="B59" s="83"/>
      <c r="C59" s="83"/>
      <c r="D59" s="92"/>
      <c r="E59" s="83"/>
      <c r="F59" s="83"/>
      <c r="G59" s="91"/>
      <c r="H59" s="66"/>
      <c r="I59" s="66"/>
      <c r="J59" s="66"/>
      <c r="K59" s="66"/>
      <c r="L59" s="66"/>
      <c r="M59" s="66"/>
      <c r="N59" s="83"/>
      <c r="O59" s="66"/>
      <c r="P59" s="66"/>
      <c r="R59" s="205"/>
      <c r="T59" s="86"/>
      <c r="U59" s="86"/>
      <c r="X59" s="93"/>
      <c r="Y59" s="306"/>
      <c r="Z59" s="287">
        <f t="shared" si="69"/>
        <v>0.65</v>
      </c>
      <c r="AA59" s="287">
        <f t="shared" si="59"/>
        <v>0.65989340439706856</v>
      </c>
      <c r="AB59" s="287">
        <f t="shared" si="60"/>
        <v>1.2969834730367509</v>
      </c>
      <c r="AC59" s="287">
        <f t="shared" si="70"/>
        <v>0.66846043713807313</v>
      </c>
      <c r="AD59" s="304">
        <f t="shared" si="51"/>
        <v>0.96668869809770186</v>
      </c>
      <c r="AE59" s="304">
        <f t="shared" si="52"/>
        <v>0.82775881948169316</v>
      </c>
      <c r="AF59" s="305">
        <f t="shared" si="61"/>
        <v>0.79444751757939502</v>
      </c>
      <c r="AG59" s="305">
        <f t="shared" si="62"/>
        <v>3.331130190229814E-2</v>
      </c>
      <c r="AH59" s="305">
        <f t="shared" si="63"/>
        <v>0.17224118051830684</v>
      </c>
      <c r="AI59" s="305">
        <f t="shared" si="64"/>
        <v>0.20555248242060498</v>
      </c>
      <c r="AJ59" s="287">
        <f t="shared" si="65"/>
        <v>-0.35</v>
      </c>
      <c r="AK59" s="287">
        <f t="shared" si="66"/>
        <v>1.65</v>
      </c>
      <c r="AL59" s="287">
        <f t="shared" si="71"/>
        <v>0.65</v>
      </c>
      <c r="AM59" s="302">
        <f t="shared" si="67"/>
        <v>0.65</v>
      </c>
      <c r="AP59" s="303">
        <f t="shared" si="68"/>
        <v>1.1999843270862764</v>
      </c>
      <c r="AQ59" s="287">
        <f t="shared" si="54"/>
        <v>0.61846743965425977</v>
      </c>
      <c r="AR59" s="304">
        <f t="shared" si="55"/>
        <v>0.95515488490495493</v>
      </c>
      <c r="AS59" s="304">
        <f t="shared" si="56"/>
        <v>0.8091164629293901</v>
      </c>
      <c r="AT59" s="305">
        <f t="shared" si="57"/>
        <v>0.76427134783434503</v>
      </c>
      <c r="AU59" s="305">
        <f t="shared" si="58"/>
        <v>4.4845115095045074E-2</v>
      </c>
      <c r="AV59" s="305">
        <f t="shared" si="58"/>
        <v>0.1908835370706099</v>
      </c>
      <c r="AW59" s="320">
        <f t="shared" si="58"/>
        <v>0.23572865216565497</v>
      </c>
    </row>
    <row r="60" spans="1:49" s="71" customFormat="1" ht="15" customHeight="1">
      <c r="A60" s="91"/>
      <c r="B60" s="83"/>
      <c r="C60" s="83"/>
      <c r="D60" s="92"/>
      <c r="E60" s="83"/>
      <c r="F60" s="83"/>
      <c r="G60" s="91"/>
      <c r="H60" s="66"/>
      <c r="I60" s="66"/>
      <c r="J60" s="66"/>
      <c r="K60" s="66"/>
      <c r="L60" s="66"/>
      <c r="M60" s="66"/>
      <c r="N60" s="83"/>
      <c r="O60" s="66"/>
      <c r="P60" s="66"/>
      <c r="R60" s="205"/>
      <c r="T60" s="86"/>
      <c r="U60" s="86"/>
      <c r="X60" s="93"/>
      <c r="Y60" s="306"/>
      <c r="Z60" s="287">
        <f t="shared" si="69"/>
        <v>0.70000000000000007</v>
      </c>
      <c r="AA60" s="287">
        <f t="shared" si="59"/>
        <v>0.71319120586275819</v>
      </c>
      <c r="AB60" s="287">
        <f t="shared" si="60"/>
        <v>1.4017373123531971</v>
      </c>
      <c r="AC60" s="287">
        <f t="shared" si="70"/>
        <v>0.56370659782162669</v>
      </c>
      <c r="AD60" s="304">
        <f t="shared" si="51"/>
        <v>0.97628028624654983</v>
      </c>
      <c r="AE60" s="304">
        <f t="shared" si="52"/>
        <v>0.78733299688393377</v>
      </c>
      <c r="AF60" s="305">
        <f t="shared" si="61"/>
        <v>0.7636132831304836</v>
      </c>
      <c r="AG60" s="305">
        <f t="shared" si="62"/>
        <v>2.3719713753450167E-2</v>
      </c>
      <c r="AH60" s="305">
        <f t="shared" si="63"/>
        <v>0.21266700311606623</v>
      </c>
      <c r="AI60" s="305">
        <f t="shared" si="64"/>
        <v>0.2363867168695164</v>
      </c>
      <c r="AJ60" s="287">
        <f t="shared" si="65"/>
        <v>-0.29999999999999993</v>
      </c>
      <c r="AK60" s="287">
        <f t="shared" si="66"/>
        <v>1.7000000000000002</v>
      </c>
      <c r="AL60" s="287">
        <f t="shared" si="71"/>
        <v>0.70000000000000007</v>
      </c>
      <c r="AM60" s="302">
        <f t="shared" si="67"/>
        <v>0.70000000000000007</v>
      </c>
      <c r="AP60" s="303">
        <f t="shared" si="68"/>
        <v>1.296903808324946</v>
      </c>
      <c r="AQ60" s="287">
        <f t="shared" si="54"/>
        <v>0.5215479584155901</v>
      </c>
      <c r="AR60" s="304">
        <f t="shared" si="55"/>
        <v>0.9666803385852889</v>
      </c>
      <c r="AS60" s="304">
        <f t="shared" si="56"/>
        <v>0.76961520169771647</v>
      </c>
      <c r="AT60" s="305">
        <f t="shared" si="57"/>
        <v>0.73629554028300537</v>
      </c>
      <c r="AU60" s="305">
        <f t="shared" si="58"/>
        <v>3.3319661414711099E-2</v>
      </c>
      <c r="AV60" s="305">
        <f t="shared" si="58"/>
        <v>0.23038479830228353</v>
      </c>
      <c r="AW60" s="320">
        <f t="shared" si="58"/>
        <v>0.26370445971699463</v>
      </c>
    </row>
    <row r="61" spans="1:49" s="71" customFormat="1" ht="15" customHeight="1">
      <c r="A61" s="91"/>
      <c r="B61" s="83"/>
      <c r="C61" s="83"/>
      <c r="D61" s="92"/>
      <c r="E61" s="83"/>
      <c r="F61" s="83"/>
      <c r="G61" s="91"/>
      <c r="H61" s="66"/>
      <c r="I61" s="66"/>
      <c r="J61" s="66"/>
      <c r="K61" s="66"/>
      <c r="L61" s="66"/>
      <c r="M61" s="66"/>
      <c r="N61" s="83"/>
      <c r="O61" s="66"/>
      <c r="P61" s="66"/>
      <c r="R61" s="205"/>
      <c r="T61" s="86"/>
      <c r="U61" s="86"/>
      <c r="X61" s="93"/>
      <c r="Y61" s="306"/>
      <c r="Z61" s="287">
        <f t="shared" si="69"/>
        <v>0.75000000000000011</v>
      </c>
      <c r="AA61" s="287">
        <f t="shared" si="59"/>
        <v>0.76648900732844782</v>
      </c>
      <c r="AB61" s="287">
        <f t="shared" si="60"/>
        <v>1.5064911516696438</v>
      </c>
      <c r="AC61" s="287">
        <f t="shared" si="70"/>
        <v>0.45895275850518014</v>
      </c>
      <c r="AD61" s="304">
        <f t="shared" si="51"/>
        <v>0.98343482889087253</v>
      </c>
      <c r="AE61" s="304">
        <f t="shared" si="52"/>
        <v>0.74184930234328006</v>
      </c>
      <c r="AF61" s="305">
        <f t="shared" si="61"/>
        <v>0.7252841312341527</v>
      </c>
      <c r="AG61" s="305">
        <f t="shared" si="62"/>
        <v>1.6565171109127474E-2</v>
      </c>
      <c r="AH61" s="305">
        <f t="shared" si="63"/>
        <v>0.25815069765671994</v>
      </c>
      <c r="AI61" s="305">
        <f t="shared" si="64"/>
        <v>0.2747158687658473</v>
      </c>
      <c r="AJ61" s="287">
        <f t="shared" si="65"/>
        <v>-0.24999999999999989</v>
      </c>
      <c r="AK61" s="287">
        <f t="shared" si="66"/>
        <v>1.75</v>
      </c>
      <c r="AL61" s="287">
        <f t="shared" si="71"/>
        <v>0.75000000000000011</v>
      </c>
      <c r="AM61" s="302">
        <f t="shared" si="67"/>
        <v>0.75000000000000011</v>
      </c>
      <c r="AP61" s="303">
        <f t="shared" si="68"/>
        <v>1.3938232895636158</v>
      </c>
      <c r="AQ61" s="287">
        <f t="shared" si="54"/>
        <v>0.42462847717692043</v>
      </c>
      <c r="AR61" s="304">
        <f t="shared" si="55"/>
        <v>0.97564742405507721</v>
      </c>
      <c r="AS61" s="304">
        <f t="shared" si="56"/>
        <v>0.72591858336382642</v>
      </c>
      <c r="AT61" s="305">
        <f t="shared" si="57"/>
        <v>0.70156600741890363</v>
      </c>
      <c r="AU61" s="305">
        <f t="shared" si="58"/>
        <v>2.4352575944922794E-2</v>
      </c>
      <c r="AV61" s="305">
        <f t="shared" si="58"/>
        <v>0.27408141663617358</v>
      </c>
      <c r="AW61" s="320">
        <f t="shared" si="58"/>
        <v>0.29843399258109637</v>
      </c>
    </row>
    <row r="62" spans="1:49" s="71" customFormat="1" ht="15" customHeight="1">
      <c r="A62" s="91"/>
      <c r="B62" s="83"/>
      <c r="C62" s="83"/>
      <c r="D62" s="92"/>
      <c r="E62" s="83"/>
      <c r="F62" s="83"/>
      <c r="G62" s="91"/>
      <c r="H62" s="66"/>
      <c r="I62" s="66"/>
      <c r="J62" s="66"/>
      <c r="K62" s="66"/>
      <c r="L62" s="66"/>
      <c r="M62" s="66"/>
      <c r="N62" s="83"/>
      <c r="O62" s="66"/>
      <c r="P62" s="66"/>
      <c r="R62" s="205"/>
      <c r="T62" s="86"/>
      <c r="U62" s="86"/>
      <c r="X62" s="93"/>
      <c r="Y62" s="306"/>
      <c r="Z62" s="287">
        <f t="shared" ref="Z62:Z69" si="72">Z61+$Y$42</f>
        <v>0.80000000000000016</v>
      </c>
      <c r="AA62" s="287">
        <f t="shared" si="59"/>
        <v>0.81978680879413734</v>
      </c>
      <c r="AB62" s="287">
        <f t="shared" si="60"/>
        <v>1.61124499098609</v>
      </c>
      <c r="AC62" s="287">
        <f t="shared" si="70"/>
        <v>0.35419891918873386</v>
      </c>
      <c r="AD62" s="304">
        <f t="shared" si="51"/>
        <v>0.98865589590331715</v>
      </c>
      <c r="AE62" s="304">
        <f t="shared" si="52"/>
        <v>0.69178379336449281</v>
      </c>
      <c r="AF62" s="305">
        <f t="shared" si="61"/>
        <v>0.68043968926780996</v>
      </c>
      <c r="AG62" s="305">
        <f t="shared" si="62"/>
        <v>1.134410409668285E-2</v>
      </c>
      <c r="AH62" s="305">
        <f t="shared" si="63"/>
        <v>0.30821620663550719</v>
      </c>
      <c r="AI62" s="305">
        <f t="shared" si="64"/>
        <v>0.31956031073219004</v>
      </c>
      <c r="AJ62" s="287">
        <f t="shared" si="65"/>
        <v>-0.19999999999999984</v>
      </c>
      <c r="AK62" s="287">
        <f t="shared" si="66"/>
        <v>1.8000000000000003</v>
      </c>
      <c r="AL62" s="287">
        <f t="shared" si="71"/>
        <v>0.80000000000000016</v>
      </c>
      <c r="AM62" s="302">
        <f t="shared" si="67"/>
        <v>0.80000000000000016</v>
      </c>
      <c r="AP62" s="303">
        <f t="shared" si="68"/>
        <v>1.4907427708022851</v>
      </c>
      <c r="AQ62" s="287">
        <f t="shared" si="54"/>
        <v>0.32770899593825098</v>
      </c>
      <c r="AR62" s="304">
        <f t="shared" si="55"/>
        <v>0.98249438892645702</v>
      </c>
      <c r="AS62" s="304">
        <f t="shared" si="56"/>
        <v>0.67847925820966004</v>
      </c>
      <c r="AT62" s="305">
        <f t="shared" si="57"/>
        <v>0.66097364713611695</v>
      </c>
      <c r="AU62" s="305">
        <f t="shared" si="58"/>
        <v>1.7505611073542982E-2</v>
      </c>
      <c r="AV62" s="305">
        <f t="shared" si="58"/>
        <v>0.32152074179033996</v>
      </c>
      <c r="AW62" s="320">
        <f t="shared" si="58"/>
        <v>0.33902635286388305</v>
      </c>
    </row>
    <row r="63" spans="1:49" s="71" customFormat="1" ht="15" customHeight="1">
      <c r="A63" s="91"/>
      <c r="B63" s="83"/>
      <c r="C63" s="83"/>
      <c r="D63" s="92"/>
      <c r="E63" s="83"/>
      <c r="F63" s="83"/>
      <c r="G63" s="91"/>
      <c r="H63" s="66"/>
      <c r="I63" s="66"/>
      <c r="J63" s="66"/>
      <c r="K63" s="66"/>
      <c r="L63" s="66"/>
      <c r="M63" s="66"/>
      <c r="N63" s="83"/>
      <c r="O63" s="66"/>
      <c r="P63" s="66"/>
      <c r="R63" s="205"/>
      <c r="T63" s="86"/>
      <c r="U63" s="86"/>
      <c r="X63" s="93"/>
      <c r="Y63" s="306"/>
      <c r="Z63" s="287">
        <f t="shared" si="72"/>
        <v>0.8500000000000002</v>
      </c>
      <c r="AA63" s="287">
        <f t="shared" si="59"/>
        <v>0.87308461025982687</v>
      </c>
      <c r="AB63" s="287">
        <f t="shared" si="60"/>
        <v>1.7159988303025364</v>
      </c>
      <c r="AC63" s="287">
        <f t="shared" si="70"/>
        <v>0.24944507987228762</v>
      </c>
      <c r="AD63" s="304">
        <f t="shared" si="51"/>
        <v>0.99238343961491005</v>
      </c>
      <c r="AE63" s="304">
        <f t="shared" si="52"/>
        <v>0.63786904232808528</v>
      </c>
      <c r="AF63" s="305">
        <f t="shared" si="61"/>
        <v>0.63025248194299532</v>
      </c>
      <c r="AG63" s="305">
        <f t="shared" si="62"/>
        <v>7.6165603850899544E-3</v>
      </c>
      <c r="AH63" s="305">
        <f t="shared" si="63"/>
        <v>0.36213095767191472</v>
      </c>
      <c r="AI63" s="305">
        <f t="shared" si="64"/>
        <v>0.36974751805700468</v>
      </c>
      <c r="AJ63" s="287">
        <f t="shared" si="65"/>
        <v>-0.1499999999999998</v>
      </c>
      <c r="AK63" s="287">
        <f t="shared" si="66"/>
        <v>1.85</v>
      </c>
      <c r="AL63" s="287">
        <f t="shared" si="71"/>
        <v>0.8500000000000002</v>
      </c>
      <c r="AM63" s="302">
        <f t="shared" si="67"/>
        <v>0.8500000000000002</v>
      </c>
      <c r="AP63" s="303">
        <f t="shared" si="68"/>
        <v>1.5876622520409547</v>
      </c>
      <c r="AQ63" s="287">
        <f t="shared" si="54"/>
        <v>0.23078951469958156</v>
      </c>
      <c r="AR63" s="304">
        <f t="shared" si="55"/>
        <v>0.9876253491630963</v>
      </c>
      <c r="AS63" s="304">
        <f t="shared" si="56"/>
        <v>0.62793370764350032</v>
      </c>
      <c r="AT63" s="305">
        <f t="shared" si="57"/>
        <v>0.61555905680659651</v>
      </c>
      <c r="AU63" s="305">
        <f t="shared" si="58"/>
        <v>1.23746508369037E-2</v>
      </c>
      <c r="AV63" s="305">
        <f t="shared" si="58"/>
        <v>0.37206629235649968</v>
      </c>
      <c r="AW63" s="320">
        <f t="shared" si="58"/>
        <v>0.38444094319340349</v>
      </c>
    </row>
    <row r="64" spans="1:49" s="71" customFormat="1" ht="15" customHeight="1">
      <c r="A64" s="91"/>
      <c r="B64" s="83"/>
      <c r="C64" s="83"/>
      <c r="D64" s="92"/>
      <c r="E64" s="83"/>
      <c r="F64" s="83"/>
      <c r="G64" s="91"/>
      <c r="H64" s="66"/>
      <c r="I64" s="66"/>
      <c r="J64" s="66"/>
      <c r="K64" s="66"/>
      <c r="L64" s="66"/>
      <c r="M64" s="66"/>
      <c r="N64" s="83"/>
      <c r="O64" s="66"/>
      <c r="P64" s="66"/>
      <c r="R64" s="205"/>
      <c r="T64" s="86"/>
      <c r="U64" s="86"/>
      <c r="X64" s="93"/>
      <c r="Y64" s="306"/>
      <c r="Z64" s="287">
        <f t="shared" si="72"/>
        <v>0.90000000000000024</v>
      </c>
      <c r="AA64" s="287">
        <f t="shared" si="59"/>
        <v>0.9263824117255165</v>
      </c>
      <c r="AB64" s="287">
        <f t="shared" si="60"/>
        <v>1.8207526696189826</v>
      </c>
      <c r="AC64" s="287">
        <f t="shared" si="70"/>
        <v>0.14469124055584112</v>
      </c>
      <c r="AD64" s="304">
        <f t="shared" si="51"/>
        <v>0.99498702612316414</v>
      </c>
      <c r="AE64" s="304">
        <f t="shared" si="52"/>
        <v>0.58106717153116383</v>
      </c>
      <c r="AF64" s="305">
        <f t="shared" si="61"/>
        <v>0.57605419765432808</v>
      </c>
      <c r="AG64" s="305">
        <f t="shared" si="62"/>
        <v>5.0129738768358578E-3</v>
      </c>
      <c r="AH64" s="305">
        <f t="shared" si="63"/>
        <v>0.41893282846883617</v>
      </c>
      <c r="AI64" s="305">
        <f t="shared" si="64"/>
        <v>0.42394580234567192</v>
      </c>
      <c r="AJ64" s="287">
        <f t="shared" si="65"/>
        <v>-9.9999999999999756E-2</v>
      </c>
      <c r="AK64" s="287">
        <f t="shared" si="66"/>
        <v>1.9000000000000004</v>
      </c>
      <c r="AL64" s="287">
        <f t="shared" si="71"/>
        <v>0.90000000000000024</v>
      </c>
      <c r="AM64" s="302">
        <f t="shared" si="67"/>
        <v>0.90000000000000024</v>
      </c>
      <c r="AP64" s="303">
        <f t="shared" si="68"/>
        <v>1.6845817332796242</v>
      </c>
      <c r="AQ64" s="287">
        <f t="shared" si="54"/>
        <v>0.13387003346091192</v>
      </c>
      <c r="AR64" s="304">
        <f t="shared" si="55"/>
        <v>0.9913989247685342</v>
      </c>
      <c r="AS64" s="304">
        <f t="shared" si="56"/>
        <v>0.57507930959136877</v>
      </c>
      <c r="AT64" s="305">
        <f t="shared" si="57"/>
        <v>0.56647823435990308</v>
      </c>
      <c r="AU64" s="305">
        <f t="shared" si="58"/>
        <v>8.6010752314658045E-3</v>
      </c>
      <c r="AV64" s="305">
        <f t="shared" si="58"/>
        <v>0.42492069040863123</v>
      </c>
      <c r="AW64" s="320">
        <f t="shared" si="58"/>
        <v>0.43352176564009692</v>
      </c>
    </row>
    <row r="65" spans="1:49" s="71" customFormat="1" ht="15" customHeight="1">
      <c r="A65" s="91"/>
      <c r="B65" s="83"/>
      <c r="C65" s="83"/>
      <c r="D65" s="92"/>
      <c r="E65" s="83"/>
      <c r="F65" s="83"/>
      <c r="G65" s="91"/>
      <c r="H65" s="66"/>
      <c r="I65" s="66"/>
      <c r="J65" s="66"/>
      <c r="K65" s="66"/>
      <c r="L65" s="66"/>
      <c r="M65" s="66"/>
      <c r="N65" s="83"/>
      <c r="O65" s="66"/>
      <c r="P65" s="66"/>
      <c r="R65" s="205"/>
      <c r="T65" s="86"/>
      <c r="U65" s="86"/>
      <c r="X65" s="93"/>
      <c r="Y65" s="306"/>
      <c r="Z65" s="287">
        <f t="shared" si="72"/>
        <v>0.95000000000000029</v>
      </c>
      <c r="AA65" s="287">
        <f t="shared" si="59"/>
        <v>0.97968021319120613</v>
      </c>
      <c r="AB65" s="287">
        <f>MAX(MIN(B_1*Tb_eff*($AA65)/(SQRT(2)*$AG$9),10),-10)</f>
        <v>1.9255065089354293</v>
      </c>
      <c r="AC65" s="287">
        <f t="shared" si="70"/>
        <v>3.9937401239394633E-2</v>
      </c>
      <c r="AD65" s="304">
        <f t="shared" si="51"/>
        <v>0.99676615494574039</v>
      </c>
      <c r="AE65" s="304">
        <f t="shared" si="52"/>
        <v>0.52252029187710369</v>
      </c>
      <c r="AF65" s="305">
        <f t="shared" si="61"/>
        <v>0.51928644682284419</v>
      </c>
      <c r="AG65" s="305">
        <f>1-AD65</f>
        <v>3.2338450542596098E-3</v>
      </c>
      <c r="AH65" s="305">
        <f t="shared" si="63"/>
        <v>0.47747970812289631</v>
      </c>
      <c r="AI65" s="305">
        <f t="shared" si="64"/>
        <v>0.48071355317715581</v>
      </c>
      <c r="AJ65" s="287">
        <f t="shared" si="65"/>
        <v>-4.9999999999999711E-2</v>
      </c>
      <c r="AK65" s="287">
        <f t="shared" si="66"/>
        <v>1.9500000000000002</v>
      </c>
      <c r="AL65" s="287">
        <f t="shared" si="71"/>
        <v>0.95000000000000029</v>
      </c>
      <c r="AM65" s="302">
        <f t="shared" si="67"/>
        <v>0.95000000000000029</v>
      </c>
      <c r="AP65" s="303">
        <f t="shared" si="68"/>
        <v>1.781501214518294</v>
      </c>
      <c r="AQ65" s="287">
        <f t="shared" si="54"/>
        <v>3.6950552222242257E-2</v>
      </c>
      <c r="AR65" s="304">
        <f t="shared" si="55"/>
        <v>0.99412263511891563</v>
      </c>
      <c r="AS65" s="304">
        <f t="shared" si="56"/>
        <v>0.52083763272999517</v>
      </c>
      <c r="AT65" s="305">
        <f t="shared" si="57"/>
        <v>0.51496026784891091</v>
      </c>
      <c r="AU65" s="305">
        <f t="shared" si="58"/>
        <v>5.8773648810843682E-3</v>
      </c>
      <c r="AV65" s="305">
        <f t="shared" si="58"/>
        <v>0.47916236727000483</v>
      </c>
      <c r="AW65" s="320">
        <f t="shared" si="58"/>
        <v>0.48503973215108909</v>
      </c>
    </row>
    <row r="66" spans="1:49" s="71" customFormat="1" ht="15" customHeight="1">
      <c r="A66" s="91"/>
      <c r="B66" s="83"/>
      <c r="C66" s="83"/>
      <c r="D66" s="92"/>
      <c r="E66" s="83"/>
      <c r="F66" s="83"/>
      <c r="G66" s="91"/>
      <c r="H66" s="66"/>
      <c r="I66" s="66"/>
      <c r="J66" s="66"/>
      <c r="K66" s="66"/>
      <c r="L66" s="66"/>
      <c r="M66" s="66"/>
      <c r="N66" s="83"/>
      <c r="O66" s="66"/>
      <c r="P66" s="66"/>
      <c r="R66" s="205"/>
      <c r="T66" s="86"/>
      <c r="U66" s="86"/>
      <c r="X66" s="93"/>
      <c r="Y66" s="306"/>
      <c r="Z66" s="287">
        <f t="shared" si="72"/>
        <v>1.0000000000000002</v>
      </c>
      <c r="AA66" s="287">
        <f t="shared" si="59"/>
        <v>1.0329780146568956</v>
      </c>
      <c r="AB66" s="287">
        <f t="shared" si="60"/>
        <v>2.0302603482518755</v>
      </c>
      <c r="AC66" s="287">
        <f t="shared" si="70"/>
        <v>-6.4816438077051633E-2</v>
      </c>
      <c r="AD66" s="304">
        <f t="shared" si="51"/>
        <v>0.99795555681163806</v>
      </c>
      <c r="AE66" s="304" t="e">
        <f t="shared" si="52"/>
        <v>#NUM!</v>
      </c>
      <c r="AF66" s="305" t="e">
        <f t="shared" si="61"/>
        <v>#NUM!</v>
      </c>
      <c r="AG66" s="305">
        <f>1-AD66</f>
        <v>2.0444431883619441E-3</v>
      </c>
      <c r="AH66" s="305" t="e">
        <f t="shared" ref="AH66:AI69" si="73">1-AE66</f>
        <v>#NUM!</v>
      </c>
      <c r="AI66" s="305" t="e">
        <f t="shared" si="73"/>
        <v>#NUM!</v>
      </c>
      <c r="AJ66" s="287">
        <f t="shared" si="65"/>
        <v>0</v>
      </c>
      <c r="AK66" s="287">
        <f t="shared" si="66"/>
        <v>2</v>
      </c>
      <c r="AL66" s="287">
        <f t="shared" si="71"/>
        <v>1.0000000000000002</v>
      </c>
      <c r="AM66" s="302">
        <f t="shared" si="67"/>
        <v>1.0000000000000002</v>
      </c>
      <c r="AP66" s="303">
        <f t="shared" si="68"/>
        <v>1.8784206957569634</v>
      </c>
      <c r="AQ66" s="287">
        <f t="shared" si="54"/>
        <v>-5.996892901642719E-2</v>
      </c>
      <c r="AR66" s="304">
        <f t="shared" si="55"/>
        <v>0.99605203707290146</v>
      </c>
      <c r="AS66" s="304" t="e">
        <f t="shared" si="56"/>
        <v>#NUM!</v>
      </c>
      <c r="AT66" s="305" t="e">
        <f t="shared" si="57"/>
        <v>#NUM!</v>
      </c>
      <c r="AU66" s="305">
        <f t="shared" si="58"/>
        <v>3.9479629270985361E-3</v>
      </c>
      <c r="AV66" s="305" t="e">
        <f t="shared" si="58"/>
        <v>#NUM!</v>
      </c>
      <c r="AW66" s="320" t="e">
        <f t="shared" si="58"/>
        <v>#NUM!</v>
      </c>
    </row>
    <row r="67" spans="1:49" s="71" customFormat="1">
      <c r="R67" s="205"/>
      <c r="T67" s="86"/>
      <c r="U67" s="86"/>
      <c r="X67" s="93"/>
      <c r="Y67" s="306"/>
      <c r="Z67" s="287">
        <f t="shared" si="72"/>
        <v>1.0500000000000003</v>
      </c>
      <c r="AA67" s="287">
        <f t="shared" si="59"/>
        <v>1.0862758161225852</v>
      </c>
      <c r="AB67" s="287">
        <f t="shared" si="60"/>
        <v>2.1350141875683217</v>
      </c>
      <c r="AC67" s="287">
        <f t="shared" si="70"/>
        <v>-0.16957027739349789</v>
      </c>
      <c r="AD67" s="304">
        <f t="shared" si="51"/>
        <v>0.99873347846170257</v>
      </c>
      <c r="AE67" s="304" t="e">
        <f t="shared" si="52"/>
        <v>#NUM!</v>
      </c>
      <c r="AF67" s="305" t="e">
        <f t="shared" si="61"/>
        <v>#NUM!</v>
      </c>
      <c r="AG67" s="305">
        <f>1-AD67</f>
        <v>1.2665215382974271E-3</v>
      </c>
      <c r="AH67" s="305" t="e">
        <f t="shared" si="73"/>
        <v>#NUM!</v>
      </c>
      <c r="AI67" s="305" t="e">
        <f t="shared" si="73"/>
        <v>#NUM!</v>
      </c>
      <c r="AJ67" s="287">
        <f t="shared" si="65"/>
        <v>5.0000000000000266E-2</v>
      </c>
      <c r="AK67" s="287">
        <f t="shared" si="66"/>
        <v>2.0500000000000003</v>
      </c>
      <c r="AL67" s="287">
        <f t="shared" si="71"/>
        <v>1.0500000000000003</v>
      </c>
      <c r="AM67" s="302">
        <f t="shared" si="67"/>
        <v>1.0500000000000003</v>
      </c>
      <c r="AP67" s="303">
        <f t="shared" si="68"/>
        <v>1.9753401769956329</v>
      </c>
      <c r="AQ67" s="287">
        <f t="shared" si="54"/>
        <v>-0.15688841025509664</v>
      </c>
      <c r="AR67" s="304">
        <f t="shared" si="55"/>
        <v>0.99739337449679422</v>
      </c>
      <c r="AS67" s="304" t="e">
        <f t="shared" si="56"/>
        <v>#NUM!</v>
      </c>
      <c r="AT67" s="305" t="e">
        <f t="shared" si="57"/>
        <v>#NUM!</v>
      </c>
      <c r="AU67" s="305">
        <f t="shared" si="58"/>
        <v>2.6066255032057839E-3</v>
      </c>
      <c r="AV67" s="305" t="e">
        <f t="shared" si="58"/>
        <v>#NUM!</v>
      </c>
      <c r="AW67" s="320" t="e">
        <f t="shared" si="58"/>
        <v>#NUM!</v>
      </c>
    </row>
    <row r="68" spans="1:49" s="71" customFormat="1">
      <c r="R68" s="205"/>
      <c r="T68" s="86"/>
      <c r="U68" s="86"/>
      <c r="X68" s="93"/>
      <c r="Y68" s="306"/>
      <c r="Z68" s="287">
        <f t="shared" si="72"/>
        <v>1.1000000000000003</v>
      </c>
      <c r="AA68" s="287">
        <f t="shared" si="59"/>
        <v>1.1395736175882747</v>
      </c>
      <c r="AB68" s="287">
        <f t="shared" si="60"/>
        <v>2.2397680268847679</v>
      </c>
      <c r="AC68" s="287">
        <f t="shared" si="70"/>
        <v>-0.27432411670994417</v>
      </c>
      <c r="AD68" s="304">
        <f t="shared" si="51"/>
        <v>0.9992312486973528</v>
      </c>
      <c r="AE68" s="304" t="e">
        <f t="shared" si="52"/>
        <v>#NUM!</v>
      </c>
      <c r="AF68" s="305" t="e">
        <f t="shared" si="61"/>
        <v>#NUM!</v>
      </c>
      <c r="AG68" s="305">
        <f>1-AD68</f>
        <v>7.6875130264719704E-4</v>
      </c>
      <c r="AH68" s="305" t="e">
        <f t="shared" si="73"/>
        <v>#NUM!</v>
      </c>
      <c r="AI68" s="305" t="e">
        <f t="shared" si="73"/>
        <v>#NUM!</v>
      </c>
      <c r="AJ68" s="287">
        <f t="shared" si="65"/>
        <v>0.10000000000000031</v>
      </c>
      <c r="AK68" s="287">
        <f t="shared" si="66"/>
        <v>2.1000000000000005</v>
      </c>
      <c r="AL68" s="287">
        <f t="shared" si="71"/>
        <v>1.1000000000000003</v>
      </c>
      <c r="AM68" s="302">
        <f t="shared" si="67"/>
        <v>1.1000000000000003</v>
      </c>
      <c r="AP68" s="303">
        <f t="shared" si="68"/>
        <v>2.072259658234302</v>
      </c>
      <c r="AQ68" s="287">
        <f t="shared" si="54"/>
        <v>-0.25380789149376609</v>
      </c>
      <c r="AR68" s="304">
        <f t="shared" si="55"/>
        <v>0.99830855594536105</v>
      </c>
      <c r="AS68" s="304" t="e">
        <f t="shared" si="56"/>
        <v>#NUM!</v>
      </c>
      <c r="AT68" s="305" t="e">
        <f t="shared" si="57"/>
        <v>#NUM!</v>
      </c>
      <c r="AU68" s="305">
        <f t="shared" si="58"/>
        <v>1.6914440546389464E-3</v>
      </c>
      <c r="AV68" s="305" t="e">
        <f t="shared" si="58"/>
        <v>#NUM!</v>
      </c>
      <c r="AW68" s="320" t="e">
        <f t="shared" si="58"/>
        <v>#NUM!</v>
      </c>
    </row>
    <row r="69" spans="1:49" s="71" customFormat="1">
      <c r="R69" s="205"/>
      <c r="T69" s="86"/>
      <c r="U69" s="86"/>
      <c r="X69" s="93"/>
      <c r="Y69" s="307"/>
      <c r="Z69" s="308">
        <f t="shared" si="72"/>
        <v>1.1500000000000004</v>
      </c>
      <c r="AA69" s="308">
        <f t="shared" si="59"/>
        <v>1.1928714190539642</v>
      </c>
      <c r="AB69" s="308">
        <f t="shared" si="60"/>
        <v>2.3445218662012142</v>
      </c>
      <c r="AC69" s="308">
        <f t="shared" si="70"/>
        <v>-0.37907795602639044</v>
      </c>
      <c r="AD69" s="309">
        <f t="shared" si="51"/>
        <v>0.99954285625118389</v>
      </c>
      <c r="AE69" s="309" t="e">
        <f t="shared" si="52"/>
        <v>#NUM!</v>
      </c>
      <c r="AF69" s="310" t="e">
        <f t="shared" si="61"/>
        <v>#NUM!</v>
      </c>
      <c r="AG69" s="310">
        <f>1-AD69</f>
        <v>4.5714374881611342E-4</v>
      </c>
      <c r="AH69" s="310" t="e">
        <f t="shared" si="73"/>
        <v>#NUM!</v>
      </c>
      <c r="AI69" s="310" t="e">
        <f t="shared" si="73"/>
        <v>#NUM!</v>
      </c>
      <c r="AJ69" s="308">
        <f t="shared" si="65"/>
        <v>0.15000000000000036</v>
      </c>
      <c r="AK69" s="308">
        <f t="shared" si="66"/>
        <v>2.1500000000000004</v>
      </c>
      <c r="AL69" s="308">
        <f t="shared" si="71"/>
        <v>1.1500000000000004</v>
      </c>
      <c r="AM69" s="311">
        <f t="shared" si="67"/>
        <v>1.1500000000000004</v>
      </c>
      <c r="AP69" s="321">
        <f t="shared" si="68"/>
        <v>2.1691791394729716</v>
      </c>
      <c r="AQ69" s="308">
        <f t="shared" si="54"/>
        <v>-0.35072737273243554</v>
      </c>
      <c r="AR69" s="309">
        <f t="shared" si="55"/>
        <v>0.99892137174785012</v>
      </c>
      <c r="AS69" s="309" t="e">
        <f t="shared" si="56"/>
        <v>#NUM!</v>
      </c>
      <c r="AT69" s="310" t="e">
        <f t="shared" si="57"/>
        <v>#NUM!</v>
      </c>
      <c r="AU69" s="310">
        <f t="shared" si="58"/>
        <v>1.0786282521498824E-3</v>
      </c>
      <c r="AV69" s="310" t="e">
        <f t="shared" si="58"/>
        <v>#NUM!</v>
      </c>
      <c r="AW69" s="322" t="e">
        <f t="shared" si="58"/>
        <v>#NUM!</v>
      </c>
    </row>
  </sheetData>
  <mergeCells count="6">
    <mergeCell ref="AG13:AH13"/>
    <mergeCell ref="W1:X1"/>
    <mergeCell ref="R1:U1"/>
    <mergeCell ref="J2:K2"/>
    <mergeCell ref="L2:M2"/>
    <mergeCell ref="W2:X2"/>
  </mergeCells>
  <hyperlinks>
    <hyperlink ref="V11" location="Notes!A193" display="Notes!A193"/>
    <hyperlink ref="B7" location="Notes!A189" display="Notes!A189"/>
  </hyperlinks>
  <printOptions horizontalCentered="1"/>
  <pageMargins left="0.5" right="0.5" top="0.45" bottom="0.55000000000000004" header="0.3" footer="0.4"/>
  <pageSetup scale="70" orientation="landscape" r:id="rId1"/>
  <headerFooter alignWithMargins="0">
    <oddHeader xml:space="preserve">&amp;CSpreadsheet by Agilent Technologies&amp;R </oddHeader>
    <oddFooter>&amp;L&amp;F tab &amp;A page &amp;P of &amp;N&amp;RPrinted &amp;T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39</vt:i4>
      </vt:variant>
    </vt:vector>
  </HeadingPairs>
  <TitlesOfParts>
    <vt:vector size="44" baseType="lpstr">
      <vt:lpstr>Notes</vt:lpstr>
      <vt:lpstr>Base</vt:lpstr>
      <vt:lpstr>Base(c)</vt:lpstr>
      <vt:lpstr>10GbE Notes</vt:lpstr>
      <vt:lpstr>1310S</vt:lpstr>
      <vt:lpstr>Base!B_1</vt:lpstr>
      <vt:lpstr>'Base(c)'!B_1</vt:lpstr>
      <vt:lpstr>B_1</vt:lpstr>
      <vt:lpstr>Base!C_1</vt:lpstr>
      <vt:lpstr>'Base(c)'!C_1</vt:lpstr>
      <vt:lpstr>C_1</vt:lpstr>
      <vt:lpstr>Base!ER</vt:lpstr>
      <vt:lpstr>'Base(c)'!ER</vt:lpstr>
      <vt:lpstr>ER</vt:lpstr>
      <vt:lpstr>Base!kRIN</vt:lpstr>
      <vt:lpstr>'Base(c)'!kRIN</vt:lpstr>
      <vt:lpstr>kRIN</vt:lpstr>
      <vt:lpstr>Base!Pmn</vt:lpstr>
      <vt:lpstr>'Base(c)'!Pmn</vt:lpstr>
      <vt:lpstr>Pmn</vt:lpstr>
      <vt:lpstr>'1310S'!Print_Area</vt:lpstr>
      <vt:lpstr>Base!Print_Area</vt:lpstr>
      <vt:lpstr>'Base(c)'!Print_Area</vt:lpstr>
      <vt:lpstr>'1310S'!PRINT_AREA_MI</vt:lpstr>
      <vt:lpstr>Base!PRINT_AREA_MI</vt:lpstr>
      <vt:lpstr>'Base(c)'!PRINT_AREA_MI</vt:lpstr>
      <vt:lpstr>Base!Q</vt:lpstr>
      <vt:lpstr>'Base(c)'!Q</vt:lpstr>
      <vt:lpstr>Q</vt:lpstr>
      <vt:lpstr>Base!SD_blw</vt:lpstr>
      <vt:lpstr>'Base(c)'!SD_blw</vt:lpstr>
      <vt:lpstr>SD_blw</vt:lpstr>
      <vt:lpstr>Base!Tb_eff</vt:lpstr>
      <vt:lpstr>'Base(c)'!Tb_eff</vt:lpstr>
      <vt:lpstr>Tb_eff</vt:lpstr>
      <vt:lpstr>Base!Uc</vt:lpstr>
      <vt:lpstr>'Base(c)'!Uc</vt:lpstr>
      <vt:lpstr>Uc</vt:lpstr>
      <vt:lpstr>Base!Uo</vt:lpstr>
      <vt:lpstr>'Base(c)'!Uo</vt:lpstr>
      <vt:lpstr>Uo</vt:lpstr>
      <vt:lpstr>Base!Vmn</vt:lpstr>
      <vt:lpstr>'Base(c)'!Vmn</vt:lpstr>
      <vt:lpstr>Vmn</vt:lpstr>
    </vt:vector>
  </TitlesOfParts>
  <Company>Agilent Technologies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Piers Dawe</dc:creator>
  <dc:description>Extension by John Petrilla, Avago Technologies</dc:description>
  <cp:lastModifiedBy>p6608pet</cp:lastModifiedBy>
  <cp:lastPrinted>2012-09-18T01:31:27Z</cp:lastPrinted>
  <dcterms:created xsi:type="dcterms:W3CDTF">2001-06-19T09:45:59Z</dcterms:created>
  <dcterms:modified xsi:type="dcterms:W3CDTF">2012-11-07T02:02:03Z</dcterms:modified>
</cp:coreProperties>
</file>