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9140" windowHeight="7350" tabRatio="684"/>
  </bookViews>
  <sheets>
    <sheet name="MMP Tool" sheetId="1" r:id="rId1"/>
    <sheet name="Summary" sheetId="8" r:id="rId2"/>
    <sheet name="256-QAM LCD" sheetId="2" r:id="rId3"/>
    <sheet name="512-QAM LCD" sheetId="3" r:id="rId4"/>
    <sheet name="1024-QAM LCD" sheetId="4" r:id="rId5"/>
    <sheet name="512-QAM LCD + m-cast" sheetId="5" r:id="rId6"/>
    <sheet name="+ Micro-reflection" sheetId="6" r:id="rId7"/>
    <sheet name="+ 48MHz" sheetId="7" r:id="rId8"/>
  </sheets>
  <calcPr calcId="145621"/>
</workbook>
</file>

<file path=xl/calcChain.xml><?xml version="1.0" encoding="utf-8"?>
<calcChain xmlns="http://schemas.openxmlformats.org/spreadsheetml/2006/main">
  <c r="K5" i="1" l="1"/>
  <c r="J5" i="1" s="1"/>
  <c r="K6" i="1"/>
  <c r="K7" i="1"/>
  <c r="J7" i="1" s="1"/>
  <c r="I25" i="7"/>
  <c r="I24" i="7"/>
  <c r="I23" i="7"/>
  <c r="I22" i="7"/>
  <c r="J17" i="7"/>
  <c r="J16" i="7"/>
  <c r="J15" i="7"/>
  <c r="I15" i="7"/>
  <c r="I17" i="7" s="1"/>
  <c r="D23" i="7" s="1"/>
  <c r="E9" i="7"/>
  <c r="J8" i="7"/>
  <c r="J7" i="7"/>
  <c r="I7" i="7"/>
  <c r="F7" i="7" s="1"/>
  <c r="J6" i="7"/>
  <c r="I6" i="7"/>
  <c r="F6" i="7" s="1"/>
  <c r="J5" i="7"/>
  <c r="D3" i="7"/>
  <c r="I25" i="6"/>
  <c r="I24" i="6"/>
  <c r="I23" i="6"/>
  <c r="I22" i="6"/>
  <c r="J15" i="6"/>
  <c r="J17" i="6" s="1"/>
  <c r="I15" i="6"/>
  <c r="I8" i="6" s="1"/>
  <c r="F8" i="6" s="1"/>
  <c r="D15" i="6" s="1"/>
  <c r="D30" i="6" s="1"/>
  <c r="E9" i="6"/>
  <c r="J8" i="6"/>
  <c r="J7" i="6"/>
  <c r="J6" i="6"/>
  <c r="I6" i="6"/>
  <c r="F6" i="6" s="1"/>
  <c r="J5" i="6"/>
  <c r="D3" i="6"/>
  <c r="I25" i="5"/>
  <c r="I24" i="5"/>
  <c r="I23" i="5"/>
  <c r="I22" i="5"/>
  <c r="J17" i="5"/>
  <c r="J16" i="5"/>
  <c r="J15" i="5"/>
  <c r="I15" i="5"/>
  <c r="I17" i="5" s="1"/>
  <c r="D23" i="5" s="1"/>
  <c r="E9" i="5"/>
  <c r="J8" i="5"/>
  <c r="J7" i="5"/>
  <c r="I7" i="5"/>
  <c r="F7" i="5" s="1"/>
  <c r="J6" i="5"/>
  <c r="J5" i="5"/>
  <c r="D3" i="5"/>
  <c r="I25" i="4"/>
  <c r="I24" i="4"/>
  <c r="I23" i="4"/>
  <c r="I22" i="4"/>
  <c r="J17" i="4"/>
  <c r="J16" i="4"/>
  <c r="J15" i="4"/>
  <c r="I15" i="4"/>
  <c r="I17" i="4" s="1"/>
  <c r="D23" i="4" s="1"/>
  <c r="E9" i="4"/>
  <c r="J8" i="4"/>
  <c r="J7" i="4"/>
  <c r="I7" i="4"/>
  <c r="F7" i="4" s="1"/>
  <c r="J6" i="4"/>
  <c r="J5" i="4"/>
  <c r="D3" i="4"/>
  <c r="I25" i="3"/>
  <c r="I24" i="3"/>
  <c r="I23" i="3"/>
  <c r="I22" i="3"/>
  <c r="I16" i="3"/>
  <c r="J15" i="3"/>
  <c r="J17" i="3" s="1"/>
  <c r="I15" i="3"/>
  <c r="I17" i="3" s="1"/>
  <c r="D23" i="3" s="1"/>
  <c r="E9" i="3"/>
  <c r="J8" i="3"/>
  <c r="J7" i="3"/>
  <c r="J6" i="3"/>
  <c r="I6" i="3"/>
  <c r="F6" i="3" s="1"/>
  <c r="J5" i="3"/>
  <c r="I5" i="3"/>
  <c r="D3" i="3"/>
  <c r="I25" i="2"/>
  <c r="I24" i="2"/>
  <c r="I23" i="2"/>
  <c r="I22" i="2"/>
  <c r="I17" i="2"/>
  <c r="D23" i="2" s="1"/>
  <c r="I16" i="2"/>
  <c r="J15" i="2"/>
  <c r="J17" i="2" s="1"/>
  <c r="I15" i="2"/>
  <c r="E9" i="2"/>
  <c r="J8" i="2"/>
  <c r="I8" i="2"/>
  <c r="F8" i="2" s="1"/>
  <c r="D15" i="2" s="1"/>
  <c r="D30" i="2" s="1"/>
  <c r="J7" i="2"/>
  <c r="I7" i="2"/>
  <c r="F7" i="2" s="1"/>
  <c r="J6" i="2"/>
  <c r="I6" i="2"/>
  <c r="J5" i="2"/>
  <c r="I5" i="2"/>
  <c r="F5" i="2"/>
  <c r="D3" i="2"/>
  <c r="I6" i="1"/>
  <c r="I15" i="1"/>
  <c r="I7" i="1" s="1"/>
  <c r="I8" i="1"/>
  <c r="I5" i="1"/>
  <c r="J15" i="1"/>
  <c r="J16" i="1"/>
  <c r="J8" i="1"/>
  <c r="J6" i="1"/>
  <c r="F6" i="1" s="1"/>
  <c r="I17" i="1"/>
  <c r="D23" i="1" s="1"/>
  <c r="I25" i="1"/>
  <c r="I24" i="1"/>
  <c r="I23" i="1"/>
  <c r="I22" i="1"/>
  <c r="D3" i="1"/>
  <c r="E9" i="1"/>
  <c r="I16" i="6" l="1"/>
  <c r="I5" i="6"/>
  <c r="I9" i="1"/>
  <c r="I10" i="1" s="1"/>
  <c r="F8" i="1"/>
  <c r="F6" i="2"/>
  <c r="F9" i="2" s="1"/>
  <c r="I8" i="3"/>
  <c r="F8" i="3" s="1"/>
  <c r="D15" i="3" s="1"/>
  <c r="D30" i="3" s="1"/>
  <c r="I5" i="4"/>
  <c r="F5" i="4" s="1"/>
  <c r="I5" i="5"/>
  <c r="F5" i="5" s="1"/>
  <c r="F5" i="6"/>
  <c r="F9" i="6" s="1"/>
  <c r="I7" i="6"/>
  <c r="F7" i="6" s="1"/>
  <c r="I17" i="6"/>
  <c r="D23" i="6" s="1"/>
  <c r="F7" i="1"/>
  <c r="F5" i="3"/>
  <c r="N9" i="3" s="1"/>
  <c r="N10" i="3" s="1"/>
  <c r="I7" i="3"/>
  <c r="F7" i="3" s="1"/>
  <c r="I5" i="7"/>
  <c r="F5" i="7" s="1"/>
  <c r="F5" i="1"/>
  <c r="I9" i="7"/>
  <c r="I10" i="7" s="1"/>
  <c r="I8" i="7"/>
  <c r="F8" i="7" s="1"/>
  <c r="D15" i="7" s="1"/>
  <c r="D30" i="7" s="1"/>
  <c r="I16" i="7"/>
  <c r="F9" i="7"/>
  <c r="N9" i="6"/>
  <c r="N10" i="6" s="1"/>
  <c r="I9" i="6"/>
  <c r="I10" i="6" s="1"/>
  <c r="J16" i="6"/>
  <c r="I6" i="5"/>
  <c r="F6" i="5" s="1"/>
  <c r="I8" i="5"/>
  <c r="F8" i="5" s="1"/>
  <c r="D15" i="5" s="1"/>
  <c r="D30" i="5" s="1"/>
  <c r="I16" i="5"/>
  <c r="I6" i="4"/>
  <c r="F6" i="4" s="1"/>
  <c r="I8" i="4"/>
  <c r="F8" i="4" s="1"/>
  <c r="D15" i="4" s="1"/>
  <c r="D30" i="4" s="1"/>
  <c r="I16" i="4"/>
  <c r="I9" i="3"/>
  <c r="I10" i="3" s="1"/>
  <c r="J16" i="3"/>
  <c r="N9" i="2"/>
  <c r="N10" i="2" s="1"/>
  <c r="I9" i="2"/>
  <c r="I10" i="2" s="1"/>
  <c r="J16" i="2"/>
  <c r="F9" i="1"/>
  <c r="J17" i="1"/>
  <c r="I16" i="1"/>
  <c r="D12" i="2" l="1"/>
  <c r="F10" i="2"/>
  <c r="D13" i="2" s="1"/>
  <c r="F9" i="3"/>
  <c r="D12" i="7"/>
  <c r="F10" i="7"/>
  <c r="D13" i="7" s="1"/>
  <c r="N9" i="7"/>
  <c r="N10" i="7" s="1"/>
  <c r="D12" i="6"/>
  <c r="F10" i="6"/>
  <c r="D13" i="6" s="1"/>
  <c r="N9" i="5"/>
  <c r="N10" i="5" s="1"/>
  <c r="F9" i="5"/>
  <c r="I9" i="5"/>
  <c r="I10" i="5" s="1"/>
  <c r="N9" i="4"/>
  <c r="N10" i="4" s="1"/>
  <c r="F9" i="4"/>
  <c r="I9" i="4"/>
  <c r="I10" i="4" s="1"/>
  <c r="D12" i="3"/>
  <c r="F10" i="3"/>
  <c r="D13" i="3" s="1"/>
  <c r="D16" i="2"/>
  <c r="D14" i="2"/>
  <c r="D18" i="2"/>
  <c r="D20" i="2" s="1"/>
  <c r="F10" i="1"/>
  <c r="D13" i="1" s="1"/>
  <c r="D18" i="1" s="1"/>
  <c r="D15" i="1"/>
  <c r="D30" i="1" s="1"/>
  <c r="N9" i="1"/>
  <c r="N10" i="1" s="1"/>
  <c r="D16" i="7" l="1"/>
  <c r="D14" i="7"/>
  <c r="D18" i="7"/>
  <c r="D20" i="7" s="1"/>
  <c r="D16" i="6"/>
  <c r="D14" i="6"/>
  <c r="D18" i="6"/>
  <c r="D20" i="6" s="1"/>
  <c r="D12" i="5"/>
  <c r="F10" i="5"/>
  <c r="D13" i="5" s="1"/>
  <c r="D12" i="4"/>
  <c r="F10" i="4"/>
  <c r="D13" i="4" s="1"/>
  <c r="D16" i="3"/>
  <c r="D14" i="3"/>
  <c r="D18" i="3"/>
  <c r="D20" i="3" s="1"/>
  <c r="J25" i="2"/>
  <c r="J24" i="2"/>
  <c r="J23" i="2"/>
  <c r="J22" i="2"/>
  <c r="D21" i="2"/>
  <c r="D24" i="2" s="1"/>
  <c r="D25" i="2" s="1"/>
  <c r="D12" i="1"/>
  <c r="D16" i="1"/>
  <c r="D14" i="1"/>
  <c r="D20" i="1"/>
  <c r="D21" i="1" s="1"/>
  <c r="J25" i="7" l="1"/>
  <c r="J24" i="7"/>
  <c r="J23" i="7"/>
  <c r="J22" i="7"/>
  <c r="D21" i="7"/>
  <c r="D26" i="7" s="1"/>
  <c r="D27" i="7" s="1"/>
  <c r="D29" i="7" s="1"/>
  <c r="D31" i="7" s="1"/>
  <c r="J25" i="6"/>
  <c r="J24" i="6"/>
  <c r="J23" i="6"/>
  <c r="J22" i="6"/>
  <c r="D21" i="6"/>
  <c r="D26" i="6" s="1"/>
  <c r="D27" i="6" s="1"/>
  <c r="D29" i="6" s="1"/>
  <c r="D31" i="6" s="1"/>
  <c r="D18" i="5"/>
  <c r="D20" i="5" s="1"/>
  <c r="D16" i="5"/>
  <c r="D14" i="5"/>
  <c r="D16" i="4"/>
  <c r="D14" i="4"/>
  <c r="D18" i="4"/>
  <c r="D20" i="4" s="1"/>
  <c r="J24" i="3"/>
  <c r="J22" i="3"/>
  <c r="J25" i="3"/>
  <c r="J23" i="3"/>
  <c r="D21" i="3"/>
  <c r="D26" i="3" s="1"/>
  <c r="D27" i="3" s="1"/>
  <c r="D29" i="3" s="1"/>
  <c r="D31" i="3" s="1"/>
  <c r="K23" i="2"/>
  <c r="L23" i="2"/>
  <c r="M23" i="2" s="1"/>
  <c r="K24" i="2"/>
  <c r="L24" i="2"/>
  <c r="M24" i="2" s="1"/>
  <c r="D26" i="2"/>
  <c r="D27" i="2" s="1"/>
  <c r="D29" i="2" s="1"/>
  <c r="D31" i="2" s="1"/>
  <c r="J26" i="2"/>
  <c r="K22" i="2"/>
  <c r="L22" i="2"/>
  <c r="M22" i="2" s="1"/>
  <c r="K25" i="2"/>
  <c r="L25" i="2"/>
  <c r="M25" i="2" s="1"/>
  <c r="J24" i="1"/>
  <c r="L24" i="1" s="1"/>
  <c r="M24" i="1" s="1"/>
  <c r="J22" i="1"/>
  <c r="K22" i="1" s="1"/>
  <c r="J25" i="1"/>
  <c r="J23" i="1"/>
  <c r="K23" i="1" s="1"/>
  <c r="D26" i="1"/>
  <c r="D24" i="7" l="1"/>
  <c r="D25" i="7" s="1"/>
  <c r="J26" i="7"/>
  <c r="K22" i="7"/>
  <c r="L22" i="7"/>
  <c r="M22" i="7" s="1"/>
  <c r="K25" i="7"/>
  <c r="L25" i="7"/>
  <c r="M25" i="7" s="1"/>
  <c r="K23" i="7"/>
  <c r="L23" i="7"/>
  <c r="M23" i="7" s="1"/>
  <c r="K24" i="7"/>
  <c r="L24" i="7"/>
  <c r="M24" i="7" s="1"/>
  <c r="D24" i="6"/>
  <c r="D25" i="6" s="1"/>
  <c r="J26" i="6"/>
  <c r="K22" i="6"/>
  <c r="L22" i="6"/>
  <c r="M22" i="6" s="1"/>
  <c r="K25" i="6"/>
  <c r="L25" i="6"/>
  <c r="M25" i="6" s="1"/>
  <c r="K23" i="6"/>
  <c r="L23" i="6"/>
  <c r="M23" i="6" s="1"/>
  <c r="K24" i="6"/>
  <c r="L24" i="6"/>
  <c r="M24" i="6" s="1"/>
  <c r="J25" i="5"/>
  <c r="J24" i="5"/>
  <c r="J23" i="5"/>
  <c r="J22" i="5"/>
  <c r="D21" i="5"/>
  <c r="D26" i="5" s="1"/>
  <c r="D27" i="5" s="1"/>
  <c r="D29" i="5" s="1"/>
  <c r="D31" i="5" s="1"/>
  <c r="J25" i="4"/>
  <c r="J24" i="4"/>
  <c r="J23" i="4"/>
  <c r="J22" i="4"/>
  <c r="D21" i="4"/>
  <c r="D24" i="4" s="1"/>
  <c r="D25" i="4" s="1"/>
  <c r="K23" i="3"/>
  <c r="L23" i="3"/>
  <c r="M23" i="3" s="1"/>
  <c r="K25" i="3"/>
  <c r="L25" i="3"/>
  <c r="M25" i="3" s="1"/>
  <c r="J26" i="3"/>
  <c r="K22" i="3"/>
  <c r="L22" i="3"/>
  <c r="M22" i="3" s="1"/>
  <c r="K24" i="3"/>
  <c r="L24" i="3"/>
  <c r="M24" i="3" s="1"/>
  <c r="D24" i="3"/>
  <c r="D25" i="3" s="1"/>
  <c r="M26" i="2"/>
  <c r="M27" i="2" s="1"/>
  <c r="M28" i="2" s="1"/>
  <c r="D27" i="1"/>
  <c r="D29" i="1" s="1"/>
  <c r="K24" i="1"/>
  <c r="D24" i="1"/>
  <c r="D25" i="1" s="1"/>
  <c r="J26" i="1"/>
  <c r="L23" i="1"/>
  <c r="M23" i="1" s="1"/>
  <c r="L22" i="1"/>
  <c r="M22" i="1" s="1"/>
  <c r="L25" i="1"/>
  <c r="M25" i="1" s="1"/>
  <c r="K25" i="1"/>
  <c r="M26" i="7" l="1"/>
  <c r="M27" i="7" s="1"/>
  <c r="M28" i="7" s="1"/>
  <c r="M26" i="6"/>
  <c r="M27" i="6"/>
  <c r="M28" i="6" s="1"/>
  <c r="D24" i="5"/>
  <c r="D25" i="5" s="1"/>
  <c r="L22" i="5"/>
  <c r="M22" i="5" s="1"/>
  <c r="J26" i="5"/>
  <c r="K22" i="5"/>
  <c r="L25" i="5"/>
  <c r="M25" i="5" s="1"/>
  <c r="K25" i="5"/>
  <c r="L23" i="5"/>
  <c r="M23" i="5" s="1"/>
  <c r="K23" i="5"/>
  <c r="K24" i="5"/>
  <c r="L24" i="5"/>
  <c r="M24" i="5" s="1"/>
  <c r="K23" i="4"/>
  <c r="L23" i="4"/>
  <c r="M23" i="4" s="1"/>
  <c r="K24" i="4"/>
  <c r="L24" i="4"/>
  <c r="M24" i="4" s="1"/>
  <c r="J26" i="4"/>
  <c r="K22" i="4"/>
  <c r="L22" i="4"/>
  <c r="M22" i="4" s="1"/>
  <c r="K25" i="4"/>
  <c r="L25" i="4"/>
  <c r="M25" i="4" s="1"/>
  <c r="D26" i="4"/>
  <c r="D27" i="4" s="1"/>
  <c r="D29" i="4" s="1"/>
  <c r="D31" i="4" s="1"/>
  <c r="M26" i="3"/>
  <c r="M27" i="3" s="1"/>
  <c r="M28" i="3" s="1"/>
  <c r="M26" i="1"/>
  <c r="M27" i="1" s="1"/>
  <c r="M26" i="5" l="1"/>
  <c r="M27" i="5" s="1"/>
  <c r="M28" i="5" s="1"/>
  <c r="M26" i="4"/>
  <c r="M27" i="4" s="1"/>
  <c r="M28" i="4" s="1"/>
  <c r="D31" i="1"/>
  <c r="M28" i="1"/>
</calcChain>
</file>

<file path=xl/comments1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 from micro-reflections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same CP used across all profiles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 put on LCD profile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6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MMP Gain BEFORE shortened codeword impacts</t>
        </r>
      </text>
    </comment>
    <comment ref="C1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Time period used to service all 4 profiles</t>
        </r>
      </text>
    </comment>
    <comment ref="C2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The maximum # of shortened codewords that can be seen within the scheduling interval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Estimate of MMP capacity available to MAC after all  impacts factored</t>
        </r>
      </text>
    </comment>
    <comment ref="C3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Estimate of Single Profile capacity available to MAC after all  impacts factored [using profile A, LCD]</t>
        </r>
      </text>
    </comment>
  </commentList>
</comments>
</file>

<file path=xl/comments2.xml><?xml version="1.0" encoding="utf-8"?>
<comments xmlns="http://schemas.openxmlformats.org/spreadsheetml/2006/main">
  <authors>
    <author>John Ulm</author>
  </authors>
  <commentList>
    <comment ref="E2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</commentList>
</comments>
</file>

<file path=xl/comments3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4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5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6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7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comments8.xml><?xml version="1.0" encoding="utf-8"?>
<comments xmlns="http://schemas.openxmlformats.org/spreadsheetml/2006/main">
  <authors>
    <author>John Ulm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overhead lost due to guard band, pilots, control channel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John Ulm:</t>
        </r>
        <r>
          <rPr>
            <sz val="8"/>
            <color indexed="81"/>
            <rFont val="Tahoma"/>
            <charset val="1"/>
          </rPr>
          <t xml:space="preserve">
Bits per Hz delivered to MAC "slice" after FEC, CP &amp; other PHY overheads</t>
        </r>
      </text>
    </comment>
    <comment ref="J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CP overhead + ISI SNR degradation</t>
        </r>
      </text>
    </comment>
    <comment ref="L4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e.g. ISI SNR degradation if CP is less than micro-reflection 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</t>
        </r>
      </text>
    </comment>
    <comment ref="N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if 100% unicast traffic [old way]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% of total capacity that is broadcast + shared Multicast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N10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Avg bits per hz after accounting for shared LCD multicast traffic</t>
        </r>
      </text>
    </comment>
    <comment ref="C12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  <comment ref="C29" authorId="0">
      <text>
        <r>
          <rPr>
            <b/>
            <sz val="8"/>
            <color indexed="81"/>
            <rFont val="Tahoma"/>
            <family val="2"/>
          </rPr>
          <t>John Ulm:</t>
        </r>
        <r>
          <rPr>
            <sz val="8"/>
            <color indexed="81"/>
            <rFont val="Tahoma"/>
            <family val="2"/>
          </rPr>
          <t xml:space="preserve">
"raw" thruput is after PHY overhead but before the "shortened codeword" overhead</t>
        </r>
      </text>
    </comment>
  </commentList>
</comments>
</file>

<file path=xl/sharedStrings.xml><?xml version="1.0" encoding="utf-8"?>
<sst xmlns="http://schemas.openxmlformats.org/spreadsheetml/2006/main" count="483" uniqueCount="75">
  <si>
    <t>MHz</t>
  </si>
  <si>
    <t>bits per usec</t>
  </si>
  <si>
    <t>usec</t>
  </si>
  <si>
    <t>bits</t>
  </si>
  <si>
    <t>B</t>
  </si>
  <si>
    <t>C</t>
  </si>
  <si>
    <t>CM Distribution:</t>
  </si>
  <si>
    <t>Total Spectrum</t>
  </si>
  <si>
    <t>Modulation</t>
  </si>
  <si>
    <t>Mbps</t>
  </si>
  <si>
    <t>100% LCD/Broadcast Thruput</t>
  </si>
  <si>
    <t>100% LCD/Broadcast Thruput (raw)</t>
  </si>
  <si>
    <t xml:space="preserve">Lost Spectrum </t>
  </si>
  <si>
    <t>Codeword size</t>
  </si>
  <si>
    <t>Info bits</t>
  </si>
  <si>
    <t>Parity bits</t>
  </si>
  <si>
    <t>FEC codewords per interval</t>
  </si>
  <si>
    <t>FEC Parity bits needed</t>
  </si>
  <si>
    <t>avg info bits per interval</t>
  </si>
  <si>
    <t>avg parity bits per interval</t>
  </si>
  <si>
    <t>FEC Rate</t>
  </si>
  <si>
    <t>Effective FEC Rate</t>
  </si>
  <si>
    <t>FEC:  DVB-C2</t>
  </si>
  <si>
    <t>raw bits/Hz</t>
  </si>
  <si>
    <t>LCD Multicast Thruput (raw)</t>
  </si>
  <si>
    <t>scheduling interval</t>
  </si>
  <si>
    <t>Worse Case shortened codewords per interval</t>
  </si>
  <si>
    <t xml:space="preserve">Shortened FEC Efficiency (worse case): </t>
  </si>
  <si>
    <t>additional parity per interval, worse case</t>
  </si>
  <si>
    <t>Effective FEC Rate (worse case)</t>
  </si>
  <si>
    <t>Urban's Distribution</t>
  </si>
  <si>
    <t>Traffic Distribution</t>
  </si>
  <si>
    <t xml:space="preserve">Shortened FEC Efficiency (typ case): </t>
  </si>
  <si>
    <t>Effective FEC Rate (typ case)</t>
  </si>
  <si>
    <t>Alternate method for shortened CW overhead:</t>
  </si>
  <si>
    <t>CP Overhead</t>
  </si>
  <si>
    <t>Micro-reflection impacts</t>
  </si>
  <si>
    <t>Other PHY Overheads</t>
  </si>
  <si>
    <t>Avg Bits/Hz to MAC</t>
  </si>
  <si>
    <t>apprx pkts (@1500B)</t>
  </si>
  <si>
    <t>A, LCD</t>
  </si>
  <si>
    <t>D</t>
  </si>
  <si>
    <t>Usable Spectrum</t>
  </si>
  <si>
    <t>8/9</t>
  </si>
  <si>
    <t>7/9</t>
  </si>
  <si>
    <t>Effective    FEC Rate</t>
  </si>
  <si>
    <t>Total:</t>
  </si>
  <si>
    <t>e.g. 256 or 512</t>
  </si>
  <si>
    <t>avg info bits per scheduling interval</t>
  </si>
  <si>
    <t>LCD Multicast + Broadcast Traffic</t>
  </si>
  <si>
    <t>info bits per usec</t>
  </si>
  <si>
    <t>INPUTS in Green</t>
  </si>
  <si>
    <t>Calculations in Yellow</t>
  </si>
  <si>
    <t>Key results in Blue</t>
  </si>
  <si>
    <t>MMP gain (raw)</t>
  </si>
  <si>
    <t>Weighted MMP Thruput (raw, unicast only)</t>
  </si>
  <si>
    <t>Weighted MMP Thruput (raw incl multicast)</t>
  </si>
  <si>
    <t>Weighted MMP Thruput</t>
  </si>
  <si>
    <t>MMP gain after shortened codewords</t>
  </si>
  <si>
    <t>FEC:  DVB-C2 Example</t>
  </si>
  <si>
    <t>6.93 or 7.80</t>
  </si>
  <si>
    <t>256-QAM LCD</t>
  </si>
  <si>
    <t>512-QAM LCD</t>
  </si>
  <si>
    <t>1024-QAM LCD</t>
  </si>
  <si>
    <t>Example Results:</t>
  </si>
  <si>
    <t>256 or 512</t>
  </si>
  <si>
    <t>512-QAM LCD + Multicast</t>
  </si>
  <si>
    <t>+ Micro-reflection impacts</t>
  </si>
  <si>
    <t>48MHz channel</t>
  </si>
  <si>
    <t>MMP Gain</t>
  </si>
  <si>
    <t>MMP Capacity</t>
  </si>
  <si>
    <t>Unicast Traffic Distribution</t>
  </si>
  <si>
    <t>Single Profile Capacity (LCD)</t>
  </si>
  <si>
    <t>Urban's initial 20M modem Distribution</t>
  </si>
  <si>
    <t>MMP gain (before shortened codeword)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</si>
</sst>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0" fontId="0" fillId="0" borderId="0" xfId="0" applyNumberFormat="1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2" fontId="0" fillId="2" borderId="0" xfId="0" applyNumberFormat="1" applyFill="1"/>
    <xf numFmtId="164" fontId="1" fillId="3" borderId="0" xfId="0" applyNumberFormat="1" applyFont="1" applyFill="1"/>
    <xf numFmtId="1" fontId="0" fillId="0" borderId="0" xfId="0" applyNumberFormat="1"/>
    <xf numFmtId="1" fontId="0" fillId="2" borderId="0" xfId="0" applyNumberFormat="1" applyFill="1"/>
    <xf numFmtId="165" fontId="1" fillId="3" borderId="0" xfId="0" applyNumberFormat="1" applyFont="1" applyFill="1"/>
    <xf numFmtId="0" fontId="2" fillId="0" borderId="0" xfId="0" applyFont="1" applyAlignment="1">
      <alignment horizontal="center"/>
    </xf>
    <xf numFmtId="9" fontId="0" fillId="0" borderId="0" xfId="0" applyNumberFormat="1"/>
    <xf numFmtId="0" fontId="1" fillId="0" borderId="0" xfId="0" applyFont="1" applyAlignment="1">
      <alignment wrapText="1"/>
    </xf>
    <xf numFmtId="10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right"/>
    </xf>
    <xf numFmtId="1" fontId="1" fillId="3" borderId="2" xfId="0" applyNumberFormat="1" applyFont="1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right"/>
    </xf>
    <xf numFmtId="1" fontId="1" fillId="3" borderId="0" xfId="0" applyNumberFormat="1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164" fontId="1" fillId="3" borderId="7" xfId="0" applyNumberFormat="1" applyFont="1" applyFill="1" applyBorder="1"/>
    <xf numFmtId="0" fontId="0" fillId="0" borderId="8" xfId="0" applyBorder="1"/>
    <xf numFmtId="49" fontId="0" fillId="0" borderId="0" xfId="0" applyNumberFormat="1" applyAlignment="1">
      <alignment horizontal="center" wrapText="1"/>
    </xf>
    <xf numFmtId="165" fontId="1" fillId="3" borderId="0" xfId="0" applyNumberFormat="1" applyFont="1" applyFill="1" applyAlignment="1">
      <alignment horizontal="center" wrapText="1"/>
    </xf>
    <xf numFmtId="165" fontId="0" fillId="0" borderId="0" xfId="0" applyNumberFormat="1"/>
    <xf numFmtId="165" fontId="0" fillId="2" borderId="0" xfId="0" applyNumberFormat="1" applyFill="1"/>
    <xf numFmtId="10" fontId="0" fillId="2" borderId="0" xfId="0" applyNumberFormat="1" applyFill="1"/>
    <xf numFmtId="0" fontId="0" fillId="4" borderId="0" xfId="0" applyFill="1" applyAlignment="1">
      <alignment horizontal="center"/>
    </xf>
    <xf numFmtId="9" fontId="0" fillId="4" borderId="0" xfId="0" applyNumberFormat="1" applyFill="1"/>
    <xf numFmtId="10" fontId="0" fillId="4" borderId="0" xfId="0" applyNumberFormat="1" applyFill="1" applyAlignment="1">
      <alignment horizontal="center"/>
    </xf>
    <xf numFmtId="0" fontId="0" fillId="4" borderId="0" xfId="0" applyFill="1"/>
    <xf numFmtId="0" fontId="2" fillId="0" borderId="0" xfId="0" applyFont="1" applyAlignment="1">
      <alignment horizontal="center" wrapText="1"/>
    </xf>
    <xf numFmtId="0" fontId="0" fillId="5" borderId="0" xfId="0" applyFill="1"/>
    <xf numFmtId="164" fontId="0" fillId="5" borderId="0" xfId="0" applyNumberFormat="1" applyFill="1"/>
    <xf numFmtId="0" fontId="0" fillId="5" borderId="0" xfId="0" applyFill="1" applyAlignment="1">
      <alignment horizontal="center"/>
    </xf>
    <xf numFmtId="165" fontId="0" fillId="5" borderId="0" xfId="0" applyNumberFormat="1" applyFill="1"/>
    <xf numFmtId="10" fontId="0" fillId="5" borderId="0" xfId="0" applyNumberFormat="1" applyFill="1"/>
    <xf numFmtId="10" fontId="0" fillId="5" borderId="0" xfId="0" applyNumberFormat="1" applyFill="1" applyAlignment="1">
      <alignment horizontal="center"/>
    </xf>
    <xf numFmtId="0" fontId="1" fillId="5" borderId="0" xfId="0" applyFont="1" applyFill="1"/>
    <xf numFmtId="1" fontId="1" fillId="2" borderId="0" xfId="0" applyNumberFormat="1" applyFont="1" applyFill="1"/>
    <xf numFmtId="165" fontId="1" fillId="2" borderId="0" xfId="0" applyNumberFormat="1" applyFont="1" applyFill="1"/>
    <xf numFmtId="164" fontId="1" fillId="2" borderId="0" xfId="0" applyNumberFormat="1" applyFont="1" applyFill="1"/>
    <xf numFmtId="165" fontId="1" fillId="2" borderId="0" xfId="0" applyNumberFormat="1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1" fillId="0" borderId="0" xfId="0" applyFont="1" applyAlignment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wrapText="1"/>
    </xf>
    <xf numFmtId="164" fontId="1" fillId="0" borderId="0" xfId="0" applyNumberFormat="1" applyFont="1"/>
    <xf numFmtId="1" fontId="1" fillId="0" borderId="0" xfId="0" applyNumberFormat="1" applyFont="1"/>
    <xf numFmtId="9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F18" sqref="F18"/>
    </sheetView>
  </sheetViews>
  <sheetFormatPr defaultRowHeight="15" x14ac:dyDescent="0.25"/>
  <cols>
    <col min="1" max="1" width="20.7109375" customWidth="1"/>
    <col min="2" max="3" width="12.7109375" customWidth="1"/>
    <col min="4" max="4" width="14.7109375" customWidth="1"/>
    <col min="5" max="6" width="12.7109375" customWidth="1"/>
    <col min="7" max="7" width="13.7109375" customWidth="1"/>
    <col min="8" max="8" width="14.7109375" customWidth="1"/>
    <col min="9" max="13" width="12.7109375" customWidth="1"/>
    <col min="14" max="14" width="16.7109375" customWidth="1"/>
    <col min="15" max="15" width="10.7109375" customWidth="1"/>
  </cols>
  <sheetData>
    <row r="1" spans="1:15" x14ac:dyDescent="0.25">
      <c r="A1" s="51" t="s">
        <v>51</v>
      </c>
      <c r="C1" s="4" t="s">
        <v>7</v>
      </c>
      <c r="D1" s="45">
        <v>192</v>
      </c>
      <c r="E1" t="s">
        <v>0</v>
      </c>
    </row>
    <row r="2" spans="1:15" x14ac:dyDescent="0.25">
      <c r="A2" s="52" t="s">
        <v>52</v>
      </c>
      <c r="C2" s="4" t="s">
        <v>12</v>
      </c>
      <c r="D2" s="45">
        <v>7</v>
      </c>
      <c r="E2" t="s">
        <v>0</v>
      </c>
    </row>
    <row r="3" spans="1:15" x14ac:dyDescent="0.25">
      <c r="A3" s="12" t="s">
        <v>53</v>
      </c>
      <c r="C3" s="4" t="s">
        <v>42</v>
      </c>
      <c r="D3" s="9">
        <f>D1-D2</f>
        <v>185</v>
      </c>
      <c r="E3" t="s">
        <v>0</v>
      </c>
    </row>
    <row r="4" spans="1:15" s="5" customFormat="1" ht="45" x14ac:dyDescent="0.25">
      <c r="E4" s="6" t="s">
        <v>71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73</v>
      </c>
      <c r="O4" s="6"/>
    </row>
    <row r="5" spans="1:15" x14ac:dyDescent="0.25">
      <c r="C5" s="4" t="s">
        <v>6</v>
      </c>
      <c r="D5" s="5" t="s">
        <v>41</v>
      </c>
      <c r="E5" s="46">
        <v>0.09</v>
      </c>
      <c r="F5" s="11">
        <f>$H5*$I$5*(1-$J5)</f>
        <v>10.399999999999999</v>
      </c>
      <c r="G5" s="5">
        <v>4096</v>
      </c>
      <c r="H5" s="47">
        <v>12</v>
      </c>
      <c r="I5" s="48">
        <f>I15</f>
        <v>0.88888888888888884</v>
      </c>
      <c r="J5" s="39">
        <f>K5+L5</f>
        <v>2.5000000000000001E-2</v>
      </c>
      <c r="K5" s="39">
        <f>K8</f>
        <v>2.5000000000000001E-2</v>
      </c>
      <c r="L5" s="50">
        <v>0</v>
      </c>
      <c r="N5" s="8">
        <v>0.09</v>
      </c>
      <c r="O5" s="7"/>
    </row>
    <row r="6" spans="1:15" x14ac:dyDescent="0.25">
      <c r="D6" s="5" t="s">
        <v>5</v>
      </c>
      <c r="E6" s="46">
        <v>0.64</v>
      </c>
      <c r="F6" s="11">
        <f>$H6*$I$6*(1-$J6)</f>
        <v>9.5333333333333314</v>
      </c>
      <c r="G6" s="5">
        <v>2048</v>
      </c>
      <c r="H6" s="47">
        <v>11</v>
      </c>
      <c r="I6" s="48">
        <f>I15</f>
        <v>0.88888888888888884</v>
      </c>
      <c r="J6" s="39">
        <f t="shared" ref="J6:J8" si="0">K6+L6</f>
        <v>2.5000000000000001E-2</v>
      </c>
      <c r="K6" s="39">
        <f>K8</f>
        <v>2.5000000000000001E-2</v>
      </c>
      <c r="L6" s="50">
        <v>0</v>
      </c>
      <c r="N6" s="8">
        <v>0.64</v>
      </c>
      <c r="O6" s="7"/>
    </row>
    <row r="7" spans="1:15" x14ac:dyDescent="0.25">
      <c r="D7" s="5" t="s">
        <v>4</v>
      </c>
      <c r="E7" s="46">
        <v>0.245</v>
      </c>
      <c r="F7" s="11">
        <f>$H7*$I$7*(1-$J7)</f>
        <v>8.6666666666666661</v>
      </c>
      <c r="G7" s="5">
        <v>1028</v>
      </c>
      <c r="H7" s="47">
        <v>10</v>
      </c>
      <c r="I7" s="48">
        <f>I15</f>
        <v>0.88888888888888884</v>
      </c>
      <c r="J7" s="39">
        <f t="shared" si="0"/>
        <v>2.5000000000000001E-2</v>
      </c>
      <c r="K7" s="39">
        <f>K8</f>
        <v>2.5000000000000001E-2</v>
      </c>
      <c r="L7" s="50">
        <v>0</v>
      </c>
      <c r="N7" s="8">
        <v>0.245</v>
      </c>
      <c r="O7" s="7"/>
    </row>
    <row r="8" spans="1:15" x14ac:dyDescent="0.25">
      <c r="D8" s="5" t="s">
        <v>40</v>
      </c>
      <c r="E8" s="46">
        <v>2.5000000000000001E-2</v>
      </c>
      <c r="F8" s="11">
        <f>$H8*$I$8*(1-$J8)</f>
        <v>7.8</v>
      </c>
      <c r="G8" s="5" t="s">
        <v>47</v>
      </c>
      <c r="H8" s="47">
        <v>9</v>
      </c>
      <c r="I8" s="48">
        <f>I15</f>
        <v>0.88888888888888884</v>
      </c>
      <c r="J8" s="39">
        <f t="shared" si="0"/>
        <v>2.5000000000000001E-2</v>
      </c>
      <c r="K8" s="49">
        <v>2.5000000000000001E-2</v>
      </c>
      <c r="L8" s="50">
        <v>0</v>
      </c>
      <c r="N8" s="8">
        <v>2.5000000000000001E-2</v>
      </c>
      <c r="O8" s="7"/>
    </row>
    <row r="9" spans="1:15" x14ac:dyDescent="0.25">
      <c r="D9" s="5" t="s">
        <v>46</v>
      </c>
      <c r="E9" s="10">
        <f>SUM(E5:E8)</f>
        <v>1</v>
      </c>
      <c r="F9" s="11">
        <f>E9/((E6/F6)+(E5/F5)+(E7/F7)+(E8/F8))</f>
        <v>9.323046832554601</v>
      </c>
      <c r="I9" s="38">
        <f>E9/((E6/I6)+(E5/I5)+(E7/I7)+(E8/I8))</f>
        <v>0.88888888888888884</v>
      </c>
      <c r="N9" s="11">
        <f>(F6*E6+F5*E5+F7*E7+F8*E8)/E9</f>
        <v>9.3556666666666644</v>
      </c>
    </row>
    <row r="10" spans="1:15" x14ac:dyDescent="0.25">
      <c r="C10" s="4" t="s">
        <v>49</v>
      </c>
      <c r="D10" s="67">
        <v>0</v>
      </c>
      <c r="F10" s="11">
        <f>1/(((1-D10)/F9)+(D10/F8))</f>
        <v>9.323046832554601</v>
      </c>
      <c r="I10" s="38">
        <f>1/(((1-G10)/I9)+(G10/I8))</f>
        <v>0.88888888888888884</v>
      </c>
      <c r="N10" s="11">
        <f>((1-D10)*N9)+(D10*F8)</f>
        <v>9.3556666666666644</v>
      </c>
    </row>
    <row r="11" spans="1:15" x14ac:dyDescent="0.25">
      <c r="D11" s="5"/>
    </row>
    <row r="12" spans="1:15" x14ac:dyDescent="0.25">
      <c r="C12" s="4" t="s">
        <v>55</v>
      </c>
      <c r="D12" s="14">
        <f>F9*D3</f>
        <v>1724.7636640226012</v>
      </c>
      <c r="E12" t="s">
        <v>9</v>
      </c>
      <c r="H12" s="57" t="s">
        <v>59</v>
      </c>
    </row>
    <row r="13" spans="1:15" x14ac:dyDescent="0.25">
      <c r="C13" s="4" t="s">
        <v>56</v>
      </c>
      <c r="D13" s="14">
        <f>F10*D3</f>
        <v>1724.7636640226012</v>
      </c>
      <c r="E13" t="s">
        <v>9</v>
      </c>
      <c r="H13" s="4" t="s">
        <v>13</v>
      </c>
      <c r="I13" s="56">
        <v>16200</v>
      </c>
      <c r="J13" s="56">
        <v>16200</v>
      </c>
    </row>
    <row r="14" spans="1:15" x14ac:dyDescent="0.25">
      <c r="C14" s="4" t="s">
        <v>24</v>
      </c>
      <c r="D14" s="14">
        <f>D13*D10</f>
        <v>0</v>
      </c>
      <c r="E14" t="s">
        <v>9</v>
      </c>
      <c r="H14" s="4"/>
      <c r="I14" s="35" t="s">
        <v>43</v>
      </c>
      <c r="J14" s="35" t="s">
        <v>44</v>
      </c>
    </row>
    <row r="15" spans="1:15" x14ac:dyDescent="0.25">
      <c r="C15" s="4" t="s">
        <v>11</v>
      </c>
      <c r="D15" s="14">
        <f>F8*D3</f>
        <v>1443</v>
      </c>
      <c r="E15" t="s">
        <v>9</v>
      </c>
      <c r="H15" s="4" t="s">
        <v>20</v>
      </c>
      <c r="I15" s="55">
        <f>8/9</f>
        <v>0.88888888888888884</v>
      </c>
      <c r="J15" s="55">
        <f>7/9</f>
        <v>0.77777777777777779</v>
      </c>
    </row>
    <row r="16" spans="1:15" x14ac:dyDescent="0.25">
      <c r="C16" s="4" t="s">
        <v>74</v>
      </c>
      <c r="D16" s="12">
        <f>(D13/D15)-1</f>
        <v>0.19526241443007719</v>
      </c>
      <c r="H16" s="4" t="s">
        <v>14</v>
      </c>
      <c r="I16" s="56">
        <f>I13*I15</f>
        <v>14400</v>
      </c>
      <c r="J16" s="56">
        <f>J13*J15</f>
        <v>12600</v>
      </c>
    </row>
    <row r="17" spans="1:13" x14ac:dyDescent="0.25">
      <c r="H17" s="4" t="s">
        <v>15</v>
      </c>
      <c r="I17" s="56">
        <f>I13*(1-I15)</f>
        <v>1800.0000000000009</v>
      </c>
      <c r="J17" s="56">
        <f>J13*(1-J15)</f>
        <v>3600</v>
      </c>
    </row>
    <row r="18" spans="1:13" x14ac:dyDescent="0.25">
      <c r="C18" s="4" t="s">
        <v>50</v>
      </c>
      <c r="D18" s="11">
        <f>D13*1000000*0.000001</f>
        <v>1724.763664022601</v>
      </c>
      <c r="E18" t="s">
        <v>3</v>
      </c>
    </row>
    <row r="19" spans="1:13" x14ac:dyDescent="0.25">
      <c r="C19" s="4" t="s">
        <v>25</v>
      </c>
      <c r="D19" s="45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258714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32339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 s="45">
        <v>4</v>
      </c>
      <c r="I22" s="5" t="str">
        <f>D5</f>
        <v>D</v>
      </c>
      <c r="J22">
        <f>ROUNDDOWN((D$20*(1-D10))*E5, 0)</f>
        <v>23284</v>
      </c>
      <c r="K22" s="2">
        <f>J22/12100</f>
        <v>1.924297520661157</v>
      </c>
      <c r="L22" s="2">
        <f>J22/I$16</f>
        <v>1.6169444444444445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165576</v>
      </c>
      <c r="K23" s="2">
        <f t="shared" ref="K23:K25" si="1">J23/12100</f>
        <v>13.683966942148761</v>
      </c>
      <c r="L23" s="2">
        <f>J23/I$16</f>
        <v>11.498333333333333</v>
      </c>
      <c r="M23" s="13">
        <f>ROUNDUP(L23,0)*I$17</f>
        <v>21600.000000000011</v>
      </c>
    </row>
    <row r="24" spans="1:13" x14ac:dyDescent="0.25">
      <c r="C24" s="4" t="s">
        <v>29</v>
      </c>
      <c r="D24" s="53">
        <f>D20/(D20+D21+D23)</f>
        <v>0.86743134184735782</v>
      </c>
      <c r="I24" s="5" t="str">
        <f>D7</f>
        <v>B</v>
      </c>
      <c r="J24">
        <f>ROUNDDOWN((D$20*(1-D10))*E7, 0)</f>
        <v>63384</v>
      </c>
      <c r="K24" s="2">
        <f t="shared" si="1"/>
        <v>5.2383471074380168</v>
      </c>
      <c r="L24" s="2">
        <f>J24/I$16</f>
        <v>4.4016666666666664</v>
      </c>
      <c r="M24" s="13">
        <f>ROUNDUP(L24,0)*I$17</f>
        <v>9000.0000000000036</v>
      </c>
    </row>
    <row r="25" spans="1:13" x14ac:dyDescent="0.25">
      <c r="C25" s="4" t="s">
        <v>27</v>
      </c>
      <c r="D25" s="54">
        <f>D24/I10</f>
        <v>0.9758602595782776</v>
      </c>
      <c r="I25" s="5" t="str">
        <f>D8</f>
        <v>A, LCD</v>
      </c>
      <c r="J25">
        <f>ROUNDDOWN((D20*D10)+(D$20*(1-D10))*E8, 0)</f>
        <v>6467</v>
      </c>
      <c r="K25" s="2">
        <f t="shared" si="1"/>
        <v>0.5344628099173554</v>
      </c>
      <c r="L25" s="2">
        <f>J25/I$16</f>
        <v>0.4490972222222222</v>
      </c>
      <c r="M25" s="13">
        <f>ROUNDUP(L25,0)*I$17</f>
        <v>1800.0000000000009</v>
      </c>
    </row>
    <row r="26" spans="1:13" x14ac:dyDescent="0.25">
      <c r="C26" s="4" t="s">
        <v>33</v>
      </c>
      <c r="D26" s="53">
        <f>D20/(D20+D21+(D23/2))</f>
        <v>0.87802941086634112</v>
      </c>
      <c r="J26" s="9">
        <f>SUM(J22:J25)</f>
        <v>258711</v>
      </c>
      <c r="K26" s="2"/>
      <c r="L26" s="2"/>
      <c r="M26" s="14">
        <f>SUM(M22:M25)</f>
        <v>36000.000000000015</v>
      </c>
    </row>
    <row r="27" spans="1:13" x14ac:dyDescent="0.25">
      <c r="C27" s="4" t="s">
        <v>32</v>
      </c>
      <c r="D27" s="12">
        <f>D26/I10</f>
        <v>0.98778308722463382</v>
      </c>
      <c r="L27" s="4" t="s">
        <v>21</v>
      </c>
      <c r="M27" s="53">
        <f>J26/(J26+M26)</f>
        <v>0.87784643260685891</v>
      </c>
    </row>
    <row r="28" spans="1:13" ht="15.75" thickBot="1" x14ac:dyDescent="0.3">
      <c r="L28" s="4" t="s">
        <v>32</v>
      </c>
      <c r="M28" s="54">
        <f>M27/I15</f>
        <v>0.98757723668271635</v>
      </c>
    </row>
    <row r="29" spans="1:13" x14ac:dyDescent="0.25">
      <c r="A29" s="20"/>
      <c r="B29" s="21"/>
      <c r="C29" s="22" t="s">
        <v>57</v>
      </c>
      <c r="D29" s="23">
        <f>D13*D27</f>
        <v>1703.6923767811161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1443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0.1806599977693113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5"/>
  <sheetViews>
    <sheetView workbookViewId="0">
      <selection activeCell="C2" sqref="C2"/>
    </sheetView>
  </sheetViews>
  <sheetFormatPr defaultRowHeight="15" x14ac:dyDescent="0.25"/>
  <cols>
    <col min="1" max="1" width="28.7109375" customWidth="1"/>
    <col min="2" max="3" width="12.7109375" customWidth="1"/>
    <col min="4" max="4" width="14.7109375" customWidth="1"/>
    <col min="5" max="9" width="12.7109375" customWidth="1"/>
  </cols>
  <sheetData>
    <row r="2" spans="1:5" ht="45" x14ac:dyDescent="0.25">
      <c r="A2" s="5"/>
      <c r="B2" s="5"/>
      <c r="C2" s="6" t="s">
        <v>71</v>
      </c>
      <c r="D2" s="16" t="s">
        <v>8</v>
      </c>
      <c r="E2" s="6" t="s">
        <v>38</v>
      </c>
    </row>
    <row r="3" spans="1:5" x14ac:dyDescent="0.25">
      <c r="B3" s="5" t="s">
        <v>41</v>
      </c>
      <c r="C3" s="60">
        <v>0.09</v>
      </c>
      <c r="D3" s="58">
        <v>4096</v>
      </c>
      <c r="E3" s="59">
        <v>10.399999999999999</v>
      </c>
    </row>
    <row r="4" spans="1:5" x14ac:dyDescent="0.25">
      <c r="B4" s="5" t="s">
        <v>5</v>
      </c>
      <c r="C4" s="60">
        <v>0.64</v>
      </c>
      <c r="D4" s="58">
        <v>2048</v>
      </c>
      <c r="E4" s="59">
        <v>9.5333333333333314</v>
      </c>
    </row>
    <row r="5" spans="1:5" x14ac:dyDescent="0.25">
      <c r="B5" s="5" t="s">
        <v>4</v>
      </c>
      <c r="C5" s="60">
        <v>0.245</v>
      </c>
      <c r="D5" s="58">
        <v>1028</v>
      </c>
      <c r="E5" s="59">
        <v>8.6666666666666661</v>
      </c>
    </row>
    <row r="6" spans="1:5" x14ac:dyDescent="0.25">
      <c r="B6" s="5" t="s">
        <v>40</v>
      </c>
      <c r="C6" s="60">
        <v>2.5000000000000001E-2</v>
      </c>
      <c r="D6" s="58" t="s">
        <v>65</v>
      </c>
      <c r="E6" s="59" t="s">
        <v>60</v>
      </c>
    </row>
    <row r="9" spans="1:5" ht="30" x14ac:dyDescent="0.25">
      <c r="A9" s="62" t="s">
        <v>64</v>
      </c>
      <c r="B9" s="64" t="s">
        <v>69</v>
      </c>
      <c r="C9" s="64" t="s">
        <v>70</v>
      </c>
      <c r="D9" s="64" t="s">
        <v>72</v>
      </c>
    </row>
    <row r="10" spans="1:5" x14ac:dyDescent="0.25">
      <c r="A10" s="61" t="s">
        <v>61</v>
      </c>
      <c r="B10" s="65">
        <v>0.32300000000000001</v>
      </c>
      <c r="C10" s="66">
        <v>1697</v>
      </c>
      <c r="D10" s="66">
        <v>1283</v>
      </c>
      <c r="E10" t="s">
        <v>9</v>
      </c>
    </row>
    <row r="11" spans="1:5" x14ac:dyDescent="0.25">
      <c r="A11" s="61" t="s">
        <v>62</v>
      </c>
      <c r="B11" s="65">
        <v>0.18099999999999999</v>
      </c>
      <c r="C11" s="66">
        <v>1704</v>
      </c>
      <c r="D11" s="66">
        <v>1443</v>
      </c>
      <c r="E11" t="s">
        <v>9</v>
      </c>
    </row>
    <row r="12" spans="1:5" x14ac:dyDescent="0.25">
      <c r="A12" s="61" t="s">
        <v>63</v>
      </c>
      <c r="B12" s="65">
        <v>6.6000000000000003E-2</v>
      </c>
      <c r="C12" s="66">
        <v>1709</v>
      </c>
      <c r="D12" s="66">
        <v>1603</v>
      </c>
      <c r="E12" t="s">
        <v>9</v>
      </c>
    </row>
    <row r="13" spans="1:5" x14ac:dyDescent="0.25">
      <c r="A13" s="61" t="s">
        <v>66</v>
      </c>
      <c r="B13" s="65">
        <v>0.14699999999999999</v>
      </c>
      <c r="C13" s="66">
        <v>1655</v>
      </c>
      <c r="D13" s="66">
        <v>1443</v>
      </c>
      <c r="E13" t="s">
        <v>9</v>
      </c>
    </row>
    <row r="14" spans="1:5" x14ac:dyDescent="0.25">
      <c r="A14" s="63" t="s">
        <v>67</v>
      </c>
      <c r="B14" s="65">
        <v>0.10299999999999999</v>
      </c>
      <c r="C14" s="66">
        <v>1591</v>
      </c>
      <c r="D14" s="66">
        <v>1443</v>
      </c>
      <c r="E14" t="s">
        <v>9</v>
      </c>
    </row>
    <row r="15" spans="1:5" x14ac:dyDescent="0.25">
      <c r="A15" s="61" t="s">
        <v>68</v>
      </c>
      <c r="B15" s="65">
        <v>5.7000000000000002E-2</v>
      </c>
      <c r="C15" s="66">
        <v>355</v>
      </c>
      <c r="D15" s="66">
        <v>335</v>
      </c>
      <c r="E15" t="s">
        <v>9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D29" sqref="D29:D31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10.399999999999999</v>
      </c>
      <c r="G5" s="5">
        <v>4096</v>
      </c>
      <c r="H5" s="5">
        <v>12</v>
      </c>
      <c r="I5" s="37">
        <f>I15</f>
        <v>0.88888888888888884</v>
      </c>
      <c r="J5" s="39">
        <f>K5+L5</f>
        <v>2.5000000000000001E-2</v>
      </c>
      <c r="K5" s="7">
        <v>2.5000000000000001E-2</v>
      </c>
      <c r="L5" s="19">
        <v>0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9.5333333333333314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2.5000000000000001E-2</v>
      </c>
      <c r="K6" s="7">
        <v>2.5000000000000001E-2</v>
      </c>
      <c r="L6" s="19">
        <v>0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8.6666666666666661</v>
      </c>
      <c r="G7" s="5">
        <v>1028</v>
      </c>
      <c r="H7" s="5">
        <v>10</v>
      </c>
      <c r="I7" s="37">
        <f>I15</f>
        <v>0.88888888888888884</v>
      </c>
      <c r="J7" s="39">
        <f t="shared" si="0"/>
        <v>2.5000000000000001E-2</v>
      </c>
      <c r="K7" s="7">
        <v>2.5000000000000001E-2</v>
      </c>
      <c r="L7" s="19">
        <v>0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6.9333333333333327</v>
      </c>
      <c r="G8" s="5" t="s">
        <v>47</v>
      </c>
      <c r="H8" s="40">
        <v>8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9.2883530223683675</v>
      </c>
      <c r="I9" s="38">
        <f>E9/((E6/I6)+(E5/I5)+(E7/I7)+(E8/I8))</f>
        <v>0.88888888888888884</v>
      </c>
      <c r="N9" s="11">
        <f>(F6*E6+F5*E5+F7*E7+F8*E8)/E9</f>
        <v>9.3339999999999979</v>
      </c>
    </row>
    <row r="10" spans="3:15" x14ac:dyDescent="0.25">
      <c r="C10" s="4" t="s">
        <v>49</v>
      </c>
      <c r="D10" s="17">
        <v>0</v>
      </c>
      <c r="F10" s="11">
        <f>1/(((1-D10)/F9)+(D10/F8))</f>
        <v>9.2883530223683675</v>
      </c>
      <c r="I10" s="38">
        <f>1/(((1-G10)/I9)+(G10/I8))</f>
        <v>0.88888888888888884</v>
      </c>
      <c r="N10" s="11">
        <f>((1-D10)*N9)+(D10*F8)</f>
        <v>9.3339999999999979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1718.345309138148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1718.345309138148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0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1282.6666666666665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0.33966630130313002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1718.345309138148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257751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32218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23197</v>
      </c>
      <c r="K22" s="2">
        <f>J22/12100</f>
        <v>1.9171074380165289</v>
      </c>
      <c r="L22" s="2">
        <f>J22/I$16</f>
        <v>1.6109027777777778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164960</v>
      </c>
      <c r="K23" s="2">
        <f t="shared" ref="K23:K25" si="1">J23/12100</f>
        <v>13.63305785123967</v>
      </c>
      <c r="L23" s="2">
        <f>J23/I$16</f>
        <v>11.455555555555556</v>
      </c>
      <c r="M23" s="13">
        <f>ROUNDUP(L23,0)*I$17</f>
        <v>21600.000000000011</v>
      </c>
    </row>
    <row r="24" spans="1:13" x14ac:dyDescent="0.25">
      <c r="C24" s="4" t="s">
        <v>29</v>
      </c>
      <c r="D24" s="15">
        <f>D20/(D20+D21+D23)</f>
        <v>0.86735493944523145</v>
      </c>
      <c r="I24" s="5" t="str">
        <f>D7</f>
        <v>B</v>
      </c>
      <c r="J24">
        <f>ROUNDDOWN((D$20*(1-D10))*E7, 0)</f>
        <v>63148</v>
      </c>
      <c r="K24" s="2">
        <f t="shared" si="1"/>
        <v>5.2188429752066119</v>
      </c>
      <c r="L24" s="2">
        <f>J24/I$16</f>
        <v>4.3852777777777776</v>
      </c>
      <c r="M24" s="13">
        <f>ROUNDUP(L24,0)*I$17</f>
        <v>9000.0000000000036</v>
      </c>
    </row>
    <row r="25" spans="1:13" x14ac:dyDescent="0.25">
      <c r="C25" s="4" t="s">
        <v>27</v>
      </c>
      <c r="D25" s="12">
        <f>D24/I10</f>
        <v>0.9757743068758854</v>
      </c>
      <c r="I25" s="5" t="str">
        <f>D8</f>
        <v>A, LCD</v>
      </c>
      <c r="J25">
        <f>ROUNDDOWN((D20*D10)+(D$20*(1-D10))*E8, 0)</f>
        <v>6443</v>
      </c>
      <c r="K25" s="2">
        <f t="shared" si="1"/>
        <v>0.53247933884297516</v>
      </c>
      <c r="L25" s="2">
        <f>J25/I$16</f>
        <v>0.44743055555555555</v>
      </c>
      <c r="M25" s="13">
        <f>ROUNDUP(L25,0)*I$17</f>
        <v>1800.0000000000009</v>
      </c>
    </row>
    <row r="26" spans="1:13" x14ac:dyDescent="0.25">
      <c r="C26" s="4" t="s">
        <v>33</v>
      </c>
      <c r="D26" s="15">
        <f>D20/(D20+D21+(D23/2))</f>
        <v>0.87799120479342163</v>
      </c>
      <c r="J26" s="9">
        <f>SUM(J22:J25)</f>
        <v>257748</v>
      </c>
      <c r="K26" s="2"/>
      <c r="L26" s="2"/>
      <c r="M26" s="14">
        <f>SUM(M22:M25)</f>
        <v>36000.000000000015</v>
      </c>
    </row>
    <row r="27" spans="1:13" x14ac:dyDescent="0.25">
      <c r="C27" s="4" t="s">
        <v>32</v>
      </c>
      <c r="D27" s="12">
        <f>D26/I10</f>
        <v>0.98774010539259938</v>
      </c>
      <c r="L27" s="4" t="s">
        <v>21</v>
      </c>
      <c r="M27" s="15">
        <f>J26/(J26+M26)</f>
        <v>0.87744597410024916</v>
      </c>
    </row>
    <row r="28" spans="1:13" ht="15.75" thickBot="1" x14ac:dyDescent="0.3">
      <c r="L28" s="4" t="s">
        <v>32</v>
      </c>
      <c r="M28" s="12">
        <f>M27/I15</f>
        <v>0.9871267208627803</v>
      </c>
    </row>
    <row r="29" spans="1:13" x14ac:dyDescent="0.25">
      <c r="A29" s="20"/>
      <c r="B29" s="21"/>
      <c r="C29" s="22" t="s">
        <v>57</v>
      </c>
      <c r="D29" s="23">
        <f>D13*D27</f>
        <v>1697.2785767489929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1282.6666666666665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0.32324213364006749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C10" sqref="C10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10.399999999999999</v>
      </c>
      <c r="G5" s="5">
        <v>4096</v>
      </c>
      <c r="H5" s="5">
        <v>12</v>
      </c>
      <c r="I5" s="37">
        <f>I15</f>
        <v>0.88888888888888884</v>
      </c>
      <c r="J5" s="39">
        <f>K5+L5</f>
        <v>2.5000000000000001E-2</v>
      </c>
      <c r="K5" s="7">
        <v>2.5000000000000001E-2</v>
      </c>
      <c r="L5" s="19">
        <v>0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9.5333333333333314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2.5000000000000001E-2</v>
      </c>
      <c r="K6" s="7">
        <v>2.5000000000000001E-2</v>
      </c>
      <c r="L6" s="19">
        <v>0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8.6666666666666661</v>
      </c>
      <c r="G7" s="5">
        <v>1028</v>
      </c>
      <c r="H7" s="5">
        <v>10</v>
      </c>
      <c r="I7" s="37">
        <f>I15</f>
        <v>0.88888888888888884</v>
      </c>
      <c r="J7" s="39">
        <f t="shared" si="0"/>
        <v>2.5000000000000001E-2</v>
      </c>
      <c r="K7" s="7">
        <v>2.5000000000000001E-2</v>
      </c>
      <c r="L7" s="19">
        <v>0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7.8</v>
      </c>
      <c r="G8" s="5" t="s">
        <v>47</v>
      </c>
      <c r="H8" s="40">
        <v>9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9.323046832554601</v>
      </c>
      <c r="I9" s="38">
        <f>E9/((E6/I6)+(E5/I5)+(E7/I7)+(E8/I8))</f>
        <v>0.88888888888888884</v>
      </c>
      <c r="N9" s="11">
        <f>(F6*E6+F5*E5+F7*E7+F8*E8)/E9</f>
        <v>9.3556666666666644</v>
      </c>
    </row>
    <row r="10" spans="3:15" x14ac:dyDescent="0.25">
      <c r="C10" s="4" t="s">
        <v>49</v>
      </c>
      <c r="D10" s="17">
        <v>0</v>
      </c>
      <c r="F10" s="11">
        <f>1/(((1-D10)/F9)+(D10/F8))</f>
        <v>9.323046832554601</v>
      </c>
      <c r="I10" s="38">
        <f>1/(((1-G10)/I9)+(G10/I8))</f>
        <v>0.88888888888888884</v>
      </c>
      <c r="N10" s="11">
        <f>((1-D10)*N9)+(D10*F8)</f>
        <v>9.3556666666666644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1724.7636640226012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1724.7636640226012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0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1443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0.19526241443007719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1724.763664022601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258714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32339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23284</v>
      </c>
      <c r="K22" s="2">
        <f>J22/12100</f>
        <v>1.924297520661157</v>
      </c>
      <c r="L22" s="2">
        <f>J22/I$16</f>
        <v>1.6169444444444445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165576</v>
      </c>
      <c r="K23" s="2">
        <f t="shared" ref="K23:K25" si="1">J23/12100</f>
        <v>13.683966942148761</v>
      </c>
      <c r="L23" s="2">
        <f>J23/I$16</f>
        <v>11.498333333333333</v>
      </c>
      <c r="M23" s="13">
        <f>ROUNDUP(L23,0)*I$17</f>
        <v>21600.000000000011</v>
      </c>
    </row>
    <row r="24" spans="1:13" x14ac:dyDescent="0.25">
      <c r="C24" s="4" t="s">
        <v>29</v>
      </c>
      <c r="D24" s="15">
        <f>D20/(D20+D21+D23)</f>
        <v>0.86743134184735782</v>
      </c>
      <c r="I24" s="5" t="str">
        <f>D7</f>
        <v>B</v>
      </c>
      <c r="J24">
        <f>ROUNDDOWN((D$20*(1-D10))*E7, 0)</f>
        <v>63384</v>
      </c>
      <c r="K24" s="2">
        <f t="shared" si="1"/>
        <v>5.2383471074380168</v>
      </c>
      <c r="L24" s="2">
        <f>J24/I$16</f>
        <v>4.4016666666666664</v>
      </c>
      <c r="M24" s="13">
        <f>ROUNDUP(L24,0)*I$17</f>
        <v>9000.0000000000036</v>
      </c>
    </row>
    <row r="25" spans="1:13" x14ac:dyDescent="0.25">
      <c r="C25" s="4" t="s">
        <v>27</v>
      </c>
      <c r="D25" s="12">
        <f>D24/I10</f>
        <v>0.9758602595782776</v>
      </c>
      <c r="I25" s="5" t="str">
        <f>D8</f>
        <v>A, LCD</v>
      </c>
      <c r="J25">
        <f>ROUNDDOWN((D20*D10)+(D$20*(1-D10))*E8, 0)</f>
        <v>6467</v>
      </c>
      <c r="K25" s="2">
        <f t="shared" si="1"/>
        <v>0.5344628099173554</v>
      </c>
      <c r="L25" s="2">
        <f>J25/I$16</f>
        <v>0.4490972222222222</v>
      </c>
      <c r="M25" s="13">
        <f>ROUNDUP(L25,0)*I$17</f>
        <v>1800.0000000000009</v>
      </c>
    </row>
    <row r="26" spans="1:13" x14ac:dyDescent="0.25">
      <c r="C26" s="4" t="s">
        <v>33</v>
      </c>
      <c r="D26" s="15">
        <f>D20/(D20+D21+(D23/2))</f>
        <v>0.87802941086634112</v>
      </c>
      <c r="J26" s="9">
        <f>SUM(J22:J25)</f>
        <v>258711</v>
      </c>
      <c r="K26" s="2"/>
      <c r="L26" s="2"/>
      <c r="M26" s="14">
        <f>SUM(M22:M25)</f>
        <v>36000.000000000015</v>
      </c>
    </row>
    <row r="27" spans="1:13" x14ac:dyDescent="0.25">
      <c r="C27" s="4" t="s">
        <v>32</v>
      </c>
      <c r="D27" s="12">
        <f>D26/I10</f>
        <v>0.98778308722463382</v>
      </c>
      <c r="L27" s="4" t="s">
        <v>21</v>
      </c>
      <c r="M27" s="15">
        <f>J26/(J26+M26)</f>
        <v>0.87784643260685891</v>
      </c>
    </row>
    <row r="28" spans="1:13" ht="15.75" thickBot="1" x14ac:dyDescent="0.3">
      <c r="L28" s="4" t="s">
        <v>32</v>
      </c>
      <c r="M28" s="12">
        <f>M27/I15</f>
        <v>0.98757723668271635</v>
      </c>
    </row>
    <row r="29" spans="1:13" x14ac:dyDescent="0.25">
      <c r="A29" s="20"/>
      <c r="B29" s="21"/>
      <c r="C29" s="22" t="s">
        <v>57</v>
      </c>
      <c r="D29" s="23">
        <f>D13*D27</f>
        <v>1703.6923767811161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1443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0.1806599977693113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D31" sqref="D31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10.399999999999999</v>
      </c>
      <c r="G5" s="5">
        <v>4096</v>
      </c>
      <c r="H5" s="5">
        <v>12</v>
      </c>
      <c r="I5" s="37">
        <f>I15</f>
        <v>0.88888888888888884</v>
      </c>
      <c r="J5" s="39">
        <f>K5+L5</f>
        <v>2.5000000000000001E-2</v>
      </c>
      <c r="K5" s="7">
        <v>2.5000000000000001E-2</v>
      </c>
      <c r="L5" s="19">
        <v>0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9.5333333333333314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2.5000000000000001E-2</v>
      </c>
      <c r="K6" s="7">
        <v>2.5000000000000001E-2</v>
      </c>
      <c r="L6" s="19">
        <v>0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8.6666666666666661</v>
      </c>
      <c r="G7" s="5">
        <v>1028</v>
      </c>
      <c r="H7" s="5">
        <v>10</v>
      </c>
      <c r="I7" s="37">
        <f>I15</f>
        <v>0.88888888888888884</v>
      </c>
      <c r="J7" s="39">
        <f t="shared" si="0"/>
        <v>2.5000000000000001E-2</v>
      </c>
      <c r="K7" s="7">
        <v>2.5000000000000001E-2</v>
      </c>
      <c r="L7" s="19">
        <v>0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8.6666666666666661</v>
      </c>
      <c r="G8" s="5" t="s">
        <v>47</v>
      </c>
      <c r="H8" s="40">
        <v>10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9.3509890469184231</v>
      </c>
      <c r="I9" s="38">
        <f>E9/((E6/I6)+(E5/I5)+(E7/I7)+(E8/I8))</f>
        <v>0.88888888888888884</v>
      </c>
      <c r="N9" s="11">
        <f>(F6*E6+F5*E5+F7*E7+F8*E8)/E9</f>
        <v>9.3773333333333309</v>
      </c>
    </row>
    <row r="10" spans="3:15" x14ac:dyDescent="0.25">
      <c r="C10" s="4" t="s">
        <v>49</v>
      </c>
      <c r="D10" s="17">
        <v>0</v>
      </c>
      <c r="F10" s="11">
        <f>1/(((1-D10)/F9)+(D10/F8))</f>
        <v>9.3509890469184231</v>
      </c>
      <c r="I10" s="38">
        <f>1/(((1-G10)/I9)+(G10/I8))</f>
        <v>0.88888888888888884</v>
      </c>
      <c r="N10" s="11">
        <f>((1-D10)*N9)+(D10*F8)</f>
        <v>9.3773333333333309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1729.9329736799082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1729.9329736799082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0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1603.3333333333333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7.8960274644433337E-2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1729.9329736799082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259489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32436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23354</v>
      </c>
      <c r="K22" s="2">
        <f>J22/12100</f>
        <v>1.9300826446280992</v>
      </c>
      <c r="L22" s="2">
        <f>J22/I$16</f>
        <v>1.6218055555555555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166072</v>
      </c>
      <c r="K23" s="2">
        <f t="shared" ref="K23:K25" si="1">J23/12100</f>
        <v>13.724958677685951</v>
      </c>
      <c r="L23" s="2">
        <f>J23/I$16</f>
        <v>11.532777777777778</v>
      </c>
      <c r="M23" s="13">
        <f>ROUNDUP(L23,0)*I$17</f>
        <v>21600.000000000011</v>
      </c>
    </row>
    <row r="24" spans="1:13" x14ac:dyDescent="0.25">
      <c r="C24" s="4" t="s">
        <v>29</v>
      </c>
      <c r="D24" s="15">
        <f>D20/(D20+D21+D23)</f>
        <v>0.86749352277475966</v>
      </c>
      <c r="I24" s="5" t="str">
        <f>D7</f>
        <v>B</v>
      </c>
      <c r="J24">
        <f>ROUNDDOWN((D$20*(1-D10))*E7, 0)</f>
        <v>63574</v>
      </c>
      <c r="K24" s="2">
        <f t="shared" si="1"/>
        <v>5.2540495867768593</v>
      </c>
      <c r="L24" s="2">
        <f>J24/I$16</f>
        <v>4.4148611111111107</v>
      </c>
      <c r="M24" s="13">
        <f>ROUNDUP(L24,0)*I$17</f>
        <v>9000.0000000000036</v>
      </c>
    </row>
    <row r="25" spans="1:13" x14ac:dyDescent="0.25">
      <c r="C25" s="4" t="s">
        <v>27</v>
      </c>
      <c r="D25" s="12">
        <f>D24/I10</f>
        <v>0.97593021312160466</v>
      </c>
      <c r="I25" s="5" t="str">
        <f>D8</f>
        <v>A, LCD</v>
      </c>
      <c r="J25">
        <f>ROUNDDOWN((D20*D10)+(D$20*(1-D10))*E8, 0)</f>
        <v>6487</v>
      </c>
      <c r="K25" s="2">
        <f t="shared" si="1"/>
        <v>0.53611570247933882</v>
      </c>
      <c r="L25" s="2">
        <f>J25/I$16</f>
        <v>0.45048611111111109</v>
      </c>
      <c r="M25" s="13">
        <f>ROUNDUP(L25,0)*I$17</f>
        <v>1800.0000000000009</v>
      </c>
    </row>
    <row r="26" spans="1:13" x14ac:dyDescent="0.25">
      <c r="C26" s="4" t="s">
        <v>33</v>
      </c>
      <c r="D26" s="15">
        <f>D20/(D20+D21+(D23/2))</f>
        <v>0.8780610777429998</v>
      </c>
      <c r="J26" s="9">
        <f>SUM(J22:J25)</f>
        <v>259487</v>
      </c>
      <c r="K26" s="2"/>
      <c r="L26" s="2"/>
      <c r="M26" s="14">
        <f>SUM(M22:M25)</f>
        <v>36000.000000000015</v>
      </c>
    </row>
    <row r="27" spans="1:13" x14ac:dyDescent="0.25">
      <c r="C27" s="4" t="s">
        <v>32</v>
      </c>
      <c r="D27" s="12">
        <f>D26/I10</f>
        <v>0.98781871246087483</v>
      </c>
      <c r="L27" s="4" t="s">
        <v>21</v>
      </c>
      <c r="M27" s="15">
        <f>J26/(J26+M26)</f>
        <v>0.87816722901515121</v>
      </c>
    </row>
    <row r="28" spans="1:13" ht="15.75" thickBot="1" x14ac:dyDescent="0.3">
      <c r="L28" s="4" t="s">
        <v>32</v>
      </c>
      <c r="M28" s="12">
        <f>M27/I15</f>
        <v>0.98793813264204511</v>
      </c>
    </row>
    <row r="29" spans="1:13" x14ac:dyDescent="0.25">
      <c r="A29" s="20"/>
      <c r="B29" s="21"/>
      <c r="C29" s="22" t="s">
        <v>57</v>
      </c>
      <c r="D29" s="23">
        <f>D13*D27</f>
        <v>1708.8601627040994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1603.3333333333333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6.5817149295696042E-2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D10" sqref="D10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10.399999999999999</v>
      </c>
      <c r="G5" s="5">
        <v>4096</v>
      </c>
      <c r="H5" s="5">
        <v>12</v>
      </c>
      <c r="I5" s="37">
        <f>I15</f>
        <v>0.88888888888888884</v>
      </c>
      <c r="J5" s="39">
        <f>K5+L5</f>
        <v>2.5000000000000001E-2</v>
      </c>
      <c r="K5" s="7">
        <v>2.5000000000000001E-2</v>
      </c>
      <c r="L5" s="19">
        <v>0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9.5333333333333314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2.5000000000000001E-2</v>
      </c>
      <c r="K6" s="7">
        <v>2.5000000000000001E-2</v>
      </c>
      <c r="L6" s="19">
        <v>0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8.6666666666666661</v>
      </c>
      <c r="G7" s="5">
        <v>1028</v>
      </c>
      <c r="H7" s="5">
        <v>10</v>
      </c>
      <c r="I7" s="37">
        <f>I15</f>
        <v>0.88888888888888884</v>
      </c>
      <c r="J7" s="39">
        <f t="shared" si="0"/>
        <v>2.5000000000000001E-2</v>
      </c>
      <c r="K7" s="7">
        <v>2.5000000000000001E-2</v>
      </c>
      <c r="L7" s="19">
        <v>0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7.8</v>
      </c>
      <c r="G8" s="5" t="s">
        <v>47</v>
      </c>
      <c r="H8" s="40">
        <v>9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9.323046832554601</v>
      </c>
      <c r="I9" s="38">
        <f>E9/((E6/I6)+(E5/I5)+(E7/I7)+(E8/I8))</f>
        <v>0.88888888888888884</v>
      </c>
      <c r="N9" s="11">
        <f>(F6*E6+F5*E5+F7*E7+F8*E8)/E9</f>
        <v>9.3556666666666644</v>
      </c>
    </row>
    <row r="10" spans="3:15" x14ac:dyDescent="0.25">
      <c r="C10" s="4" t="s">
        <v>49</v>
      </c>
      <c r="D10" s="41">
        <v>0.15</v>
      </c>
      <c r="F10" s="11">
        <f>1/(((1-D10)/F9)+(D10/F8))</f>
        <v>9.0577510807543895</v>
      </c>
      <c r="I10" s="38">
        <f>1/(((1-G10)/I9)+(G10/I8))</f>
        <v>0.88888888888888884</v>
      </c>
      <c r="N10" s="11">
        <f>((1-D10)*N9)+(D10*F8)</f>
        <v>9.1223166666666646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1724.7636640226012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1675.6839499395621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251.35259249093431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1443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0.16125013855825521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1675.6839499395619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251352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31419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19228</v>
      </c>
      <c r="K22" s="2">
        <f>J22/12100</f>
        <v>1.5890909090909091</v>
      </c>
      <c r="L22" s="2">
        <f>J22/I$16</f>
        <v>1.3352777777777778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136735</v>
      </c>
      <c r="K23" s="2">
        <f t="shared" ref="K23:K25" si="1">J23/12100</f>
        <v>11.300413223140495</v>
      </c>
      <c r="L23" s="2">
        <f>J23/I$16</f>
        <v>9.4954861111111111</v>
      </c>
      <c r="M23" s="13">
        <f>ROUNDUP(L23,0)*I$17</f>
        <v>18000.000000000007</v>
      </c>
    </row>
    <row r="24" spans="1:13" x14ac:dyDescent="0.25">
      <c r="C24" s="4" t="s">
        <v>29</v>
      </c>
      <c r="D24" s="15">
        <f>D20/(D20+D21+D23)</f>
        <v>0.86681771625438409</v>
      </c>
      <c r="I24" s="5" t="str">
        <f>D7</f>
        <v>B</v>
      </c>
      <c r="J24">
        <f>ROUNDDOWN((D$20*(1-D10))*E7, 0)</f>
        <v>52344</v>
      </c>
      <c r="K24" s="2">
        <f t="shared" si="1"/>
        <v>4.3259504132231408</v>
      </c>
      <c r="L24" s="2">
        <f>J24/I$16</f>
        <v>3.6349999999999998</v>
      </c>
      <c r="M24" s="13">
        <f>ROUNDUP(L24,0)*I$17</f>
        <v>7200.0000000000036</v>
      </c>
    </row>
    <row r="25" spans="1:13" x14ac:dyDescent="0.25">
      <c r="C25" s="4" t="s">
        <v>27</v>
      </c>
      <c r="D25" s="12">
        <f>D24/I10</f>
        <v>0.97516993078618219</v>
      </c>
      <c r="I25" s="5" t="str">
        <f>D8</f>
        <v>A, LCD</v>
      </c>
      <c r="J25">
        <f>ROUNDDOWN((D20*D10)+(D$20*(1-D10))*E8, 0)</f>
        <v>43044</v>
      </c>
      <c r="K25" s="2">
        <f t="shared" si="1"/>
        <v>3.5573553719008264</v>
      </c>
      <c r="L25" s="2">
        <f>J25/I$16</f>
        <v>2.9891666666666667</v>
      </c>
      <c r="M25" s="13">
        <f>ROUNDUP(L25,0)*I$17</f>
        <v>5400.0000000000027</v>
      </c>
    </row>
    <row r="26" spans="1:13" x14ac:dyDescent="0.25">
      <c r="C26" s="4" t="s">
        <v>33</v>
      </c>
      <c r="D26" s="15">
        <f>D20/(D20+D21+(D23/2))</f>
        <v>0.87771457305383571</v>
      </c>
      <c r="J26" s="9">
        <f>SUM(J22:J25)</f>
        <v>251351</v>
      </c>
      <c r="K26" s="2"/>
      <c r="L26" s="2"/>
      <c r="M26" s="14">
        <f>SUM(M22:M25)</f>
        <v>34200.000000000015</v>
      </c>
    </row>
    <row r="27" spans="1:13" x14ac:dyDescent="0.25">
      <c r="C27" s="4" t="s">
        <v>32</v>
      </c>
      <c r="D27" s="12">
        <f>D26/I10</f>
        <v>0.98742889468556527</v>
      </c>
      <c r="L27" s="4" t="s">
        <v>21</v>
      </c>
      <c r="M27" s="15">
        <f>J26/(J26+M26)</f>
        <v>0.88023155233215777</v>
      </c>
    </row>
    <row r="28" spans="1:13" ht="15.75" thickBot="1" x14ac:dyDescent="0.3">
      <c r="L28" s="4" t="s">
        <v>32</v>
      </c>
      <c r="M28" s="12">
        <f>M27/I15</f>
        <v>0.99026049637367752</v>
      </c>
    </row>
    <row r="29" spans="1:13" x14ac:dyDescent="0.25">
      <c r="A29" s="20"/>
      <c r="B29" s="21"/>
      <c r="C29" s="22" t="s">
        <v>57</v>
      </c>
      <c r="D29" s="23">
        <f>D13*D27</f>
        <v>1654.6187505311639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1443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0.14665194077003729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workbookViewId="0">
      <selection activeCell="G15" sqref="G15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>
        <v>192</v>
      </c>
      <c r="E1" t="s">
        <v>0</v>
      </c>
    </row>
    <row r="2" spans="3:15" x14ac:dyDescent="0.25">
      <c r="C2" s="4" t="s">
        <v>12</v>
      </c>
      <c r="D2">
        <v>7</v>
      </c>
      <c r="E2" t="s">
        <v>0</v>
      </c>
    </row>
    <row r="3" spans="3:15" x14ac:dyDescent="0.25">
      <c r="C3" s="4" t="s">
        <v>42</v>
      </c>
      <c r="D3" s="9">
        <f>D1-D2</f>
        <v>185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9.6</v>
      </c>
      <c r="G5" s="5">
        <v>4096</v>
      </c>
      <c r="H5" s="5">
        <v>12</v>
      </c>
      <c r="I5" s="37">
        <f>I15</f>
        <v>0.88888888888888884</v>
      </c>
      <c r="J5" s="39">
        <f>K5+L5</f>
        <v>0.1</v>
      </c>
      <c r="K5" s="7">
        <v>2.5000000000000001E-2</v>
      </c>
      <c r="L5" s="42">
        <v>7.4999999999999997E-2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9.0444444444444443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7.5000000000000011E-2</v>
      </c>
      <c r="K6" s="7">
        <v>2.5000000000000001E-2</v>
      </c>
      <c r="L6" s="42">
        <v>0.05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8.4444444444444446</v>
      </c>
      <c r="G7" s="5">
        <v>1028</v>
      </c>
      <c r="H7" s="5">
        <v>10</v>
      </c>
      <c r="I7" s="37">
        <f>I15</f>
        <v>0.88888888888888884</v>
      </c>
      <c r="J7" s="39">
        <f t="shared" si="0"/>
        <v>0.05</v>
      </c>
      <c r="K7" s="7">
        <v>2.5000000000000001E-2</v>
      </c>
      <c r="L7" s="42">
        <v>2.5000000000000001E-2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7.8</v>
      </c>
      <c r="G8" s="5" t="s">
        <v>47</v>
      </c>
      <c r="H8" s="5">
        <v>9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42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8.9003638818746715</v>
      </c>
      <c r="I9" s="38">
        <f>E9/((E6/I6)+(E5/I5)+(E7/I7)+(E8/I8))</f>
        <v>0.88888888888888884</v>
      </c>
      <c r="N9" s="11">
        <f>(F6*E6+F5*E5+F7*E7+F8*E8)/E9</f>
        <v>8.9163333333333341</v>
      </c>
    </row>
    <row r="10" spans="3:15" x14ac:dyDescent="0.25">
      <c r="C10" s="4" t="s">
        <v>49</v>
      </c>
      <c r="D10" s="17">
        <v>0.15</v>
      </c>
      <c r="F10" s="11">
        <f>1/(((1-D10)/F9)+(D10/F8))</f>
        <v>8.7159275007428345</v>
      </c>
      <c r="I10" s="38">
        <f>1/(((1-G10)/I9)+(G10/I8))</f>
        <v>0.88888888888888884</v>
      </c>
      <c r="N10" s="11">
        <f>((1-D10)*N9)+(D10*F8)</f>
        <v>8.7488833333333336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1646.5673181468142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1612.4465876374243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241.86698814561362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1443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0.11742660265933758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1612.446587637424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241866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30233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18502</v>
      </c>
      <c r="K22" s="2">
        <f>J22/12100</f>
        <v>1.5290909090909091</v>
      </c>
      <c r="L22" s="2">
        <f>J22/I$16</f>
        <v>1.284861111111111</v>
      </c>
      <c r="M22" s="13">
        <f>ROUNDUP(L22,0)*I$17</f>
        <v>3600.0000000000018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131575</v>
      </c>
      <c r="K23" s="2">
        <f t="shared" ref="K23:K25" si="1">J23/12100</f>
        <v>10.87396694214876</v>
      </c>
      <c r="L23" s="2">
        <f>J23/I$16</f>
        <v>9.1371527777777786</v>
      </c>
      <c r="M23" s="13">
        <f>ROUNDUP(L23,0)*I$17</f>
        <v>18000.000000000007</v>
      </c>
    </row>
    <row r="24" spans="1:13" x14ac:dyDescent="0.25">
      <c r="C24" s="4" t="s">
        <v>29</v>
      </c>
      <c r="D24" s="15">
        <f>D20/(D20+D21+D23)</f>
        <v>0.8659751735595187</v>
      </c>
      <c r="I24" s="5" t="str">
        <f>D7</f>
        <v>B</v>
      </c>
      <c r="J24">
        <f>ROUNDDOWN((D$20*(1-D10))*E7, 0)</f>
        <v>50368</v>
      </c>
      <c r="K24" s="2">
        <f t="shared" si="1"/>
        <v>4.1626446280991738</v>
      </c>
      <c r="L24" s="2">
        <f>J24/I$16</f>
        <v>3.4977777777777779</v>
      </c>
      <c r="M24" s="13">
        <f>ROUNDUP(L24,0)*I$17</f>
        <v>7200.0000000000036</v>
      </c>
    </row>
    <row r="25" spans="1:13" x14ac:dyDescent="0.25">
      <c r="C25" s="4" t="s">
        <v>27</v>
      </c>
      <c r="D25" s="12">
        <f>D24/I10</f>
        <v>0.97422207025445862</v>
      </c>
      <c r="I25" s="5" t="str">
        <f>D8</f>
        <v>A, LCD</v>
      </c>
      <c r="J25">
        <f>ROUNDDOWN((D20*D10)+(D$20*(1-D10))*E8, 0)</f>
        <v>41419</v>
      </c>
      <c r="K25" s="2">
        <f t="shared" si="1"/>
        <v>3.4230578512396694</v>
      </c>
      <c r="L25" s="2">
        <f>J25/I$16</f>
        <v>2.8763194444444444</v>
      </c>
      <c r="M25" s="13">
        <f>ROUNDUP(L25,0)*I$17</f>
        <v>5400.0000000000027</v>
      </c>
    </row>
    <row r="26" spans="1:13" x14ac:dyDescent="0.25">
      <c r="C26" s="4" t="s">
        <v>33</v>
      </c>
      <c r="D26" s="15">
        <f>D20/(D20+D21+(D23/2))</f>
        <v>0.87728283381513894</v>
      </c>
      <c r="J26" s="9">
        <f>SUM(J22:J25)</f>
        <v>241864</v>
      </c>
      <c r="K26" s="2"/>
      <c r="L26" s="2"/>
      <c r="M26" s="14">
        <f>SUM(M22:M25)</f>
        <v>34200.000000000015</v>
      </c>
    </row>
    <row r="27" spans="1:13" x14ac:dyDescent="0.25">
      <c r="C27" s="4" t="s">
        <v>32</v>
      </c>
      <c r="D27" s="12">
        <f>D26/I10</f>
        <v>0.98694318804203141</v>
      </c>
      <c r="L27" s="4" t="s">
        <v>21</v>
      </c>
      <c r="M27" s="15">
        <f>J26/(J26+M26)</f>
        <v>0.87611568331980993</v>
      </c>
    </row>
    <row r="28" spans="1:13" ht="15.75" thickBot="1" x14ac:dyDescent="0.3">
      <c r="L28" s="4" t="s">
        <v>32</v>
      </c>
      <c r="M28" s="12">
        <f>M27/I15</f>
        <v>0.98563014373478619</v>
      </c>
    </row>
    <row r="29" spans="1:13" x14ac:dyDescent="0.25">
      <c r="A29" s="20"/>
      <c r="B29" s="21"/>
      <c r="C29" s="22" t="s">
        <v>57</v>
      </c>
      <c r="D29" s="23">
        <f>D13*D27</f>
        <v>1591.3931757503742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1443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0.10283657363158305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opLeftCell="A7" workbookViewId="0">
      <selection activeCell="C10" sqref="C10"/>
    </sheetView>
  </sheetViews>
  <sheetFormatPr defaultRowHeight="15" x14ac:dyDescent="0.25"/>
  <cols>
    <col min="1" max="1" width="18.7109375" customWidth="1"/>
    <col min="2" max="3" width="12.7109375" customWidth="1"/>
    <col min="4" max="4" width="14.7109375" customWidth="1"/>
    <col min="5" max="7" width="12.7109375" customWidth="1"/>
    <col min="8" max="8" width="14.7109375" customWidth="1"/>
    <col min="9" max="14" width="12.7109375" customWidth="1"/>
    <col min="15" max="15" width="10.7109375" customWidth="1"/>
  </cols>
  <sheetData>
    <row r="1" spans="3:15" x14ac:dyDescent="0.25">
      <c r="C1" s="4" t="s">
        <v>7</v>
      </c>
      <c r="D1" s="43">
        <v>48</v>
      </c>
      <c r="E1" t="s">
        <v>0</v>
      </c>
    </row>
    <row r="2" spans="3:15" x14ac:dyDescent="0.25">
      <c r="C2" s="4" t="s">
        <v>12</v>
      </c>
      <c r="D2">
        <v>5</v>
      </c>
      <c r="E2" t="s">
        <v>0</v>
      </c>
    </row>
    <row r="3" spans="3:15" x14ac:dyDescent="0.25">
      <c r="C3" s="4" t="s">
        <v>42</v>
      </c>
      <c r="D3" s="9">
        <f>D1-D2</f>
        <v>43</v>
      </c>
      <c r="E3" t="s">
        <v>0</v>
      </c>
    </row>
    <row r="4" spans="3:15" s="5" customFormat="1" ht="45" x14ac:dyDescent="0.25">
      <c r="E4" s="6" t="s">
        <v>31</v>
      </c>
      <c r="F4" s="6" t="s">
        <v>38</v>
      </c>
      <c r="G4" s="16" t="s">
        <v>8</v>
      </c>
      <c r="H4" s="5" t="s">
        <v>23</v>
      </c>
      <c r="I4" s="6" t="s">
        <v>45</v>
      </c>
      <c r="J4" s="6" t="s">
        <v>37</v>
      </c>
      <c r="K4" s="5" t="s">
        <v>35</v>
      </c>
      <c r="L4" s="6" t="s">
        <v>36</v>
      </c>
      <c r="N4" s="6" t="s">
        <v>30</v>
      </c>
      <c r="O4" s="6"/>
    </row>
    <row r="5" spans="3:15" x14ac:dyDescent="0.25">
      <c r="C5" s="4" t="s">
        <v>6</v>
      </c>
      <c r="D5" s="5" t="s">
        <v>41</v>
      </c>
      <c r="E5" s="8">
        <v>0.09</v>
      </c>
      <c r="F5" s="11">
        <f>$H5*$I$5*(1-$J5)</f>
        <v>9.6</v>
      </c>
      <c r="G5" s="5">
        <v>4096</v>
      </c>
      <c r="H5" s="5">
        <v>12</v>
      </c>
      <c r="I5" s="37">
        <f>I15</f>
        <v>0.88888888888888884</v>
      </c>
      <c r="J5" s="39">
        <f>K5+L5</f>
        <v>0.1</v>
      </c>
      <c r="K5" s="7">
        <v>2.5000000000000001E-2</v>
      </c>
      <c r="L5" s="19">
        <v>7.4999999999999997E-2</v>
      </c>
      <c r="N5" s="8">
        <v>0.09</v>
      </c>
      <c r="O5" s="7"/>
    </row>
    <row r="6" spans="3:15" x14ac:dyDescent="0.25">
      <c r="D6" s="5" t="s">
        <v>5</v>
      </c>
      <c r="E6" s="8">
        <v>0.64</v>
      </c>
      <c r="F6" s="11">
        <f>$H6*$I$6*(1-$J6)</f>
        <v>9.0444444444444443</v>
      </c>
      <c r="G6" s="5">
        <v>2048</v>
      </c>
      <c r="H6" s="5">
        <v>11</v>
      </c>
      <c r="I6" s="37">
        <f>I15</f>
        <v>0.88888888888888884</v>
      </c>
      <c r="J6" s="39">
        <f t="shared" ref="J6:J8" si="0">K6+L6</f>
        <v>7.5000000000000011E-2</v>
      </c>
      <c r="K6" s="7">
        <v>2.5000000000000001E-2</v>
      </c>
      <c r="L6" s="19">
        <v>0.05</v>
      </c>
      <c r="N6" s="8">
        <v>0.64</v>
      </c>
      <c r="O6" s="7"/>
    </row>
    <row r="7" spans="3:15" x14ac:dyDescent="0.25">
      <c r="D7" s="5" t="s">
        <v>4</v>
      </c>
      <c r="E7" s="8">
        <v>0.245</v>
      </c>
      <c r="F7" s="11">
        <f>$H7*$I$7*(1-$J7)</f>
        <v>8.4444444444444446</v>
      </c>
      <c r="G7" s="5">
        <v>1028</v>
      </c>
      <c r="H7" s="5">
        <v>10</v>
      </c>
      <c r="I7" s="37">
        <f>I15</f>
        <v>0.88888888888888884</v>
      </c>
      <c r="J7" s="39">
        <f t="shared" si="0"/>
        <v>0.05</v>
      </c>
      <c r="K7" s="7">
        <v>2.5000000000000001E-2</v>
      </c>
      <c r="L7" s="19">
        <v>2.5000000000000001E-2</v>
      </c>
      <c r="N7" s="8">
        <v>0.245</v>
      </c>
      <c r="O7" s="7"/>
    </row>
    <row r="8" spans="3:15" x14ac:dyDescent="0.25">
      <c r="D8" s="5" t="s">
        <v>40</v>
      </c>
      <c r="E8" s="8">
        <v>2.5000000000000001E-2</v>
      </c>
      <c r="F8" s="11">
        <f>$H8*$I$8*(1-$J8)</f>
        <v>7.8</v>
      </c>
      <c r="G8" s="5" t="s">
        <v>47</v>
      </c>
      <c r="H8" s="5">
        <v>9</v>
      </c>
      <c r="I8" s="37">
        <f>I15</f>
        <v>0.88888888888888884</v>
      </c>
      <c r="J8" s="39">
        <f t="shared" si="0"/>
        <v>2.5000000000000001E-2</v>
      </c>
      <c r="K8" s="7">
        <v>2.5000000000000001E-2</v>
      </c>
      <c r="L8" s="19">
        <v>0</v>
      </c>
      <c r="N8" s="8">
        <v>2.5000000000000001E-2</v>
      </c>
      <c r="O8" s="7"/>
    </row>
    <row r="9" spans="3:15" x14ac:dyDescent="0.25">
      <c r="D9" s="5" t="s">
        <v>46</v>
      </c>
      <c r="E9" s="10">
        <f>SUM(E5:E8)</f>
        <v>1</v>
      </c>
      <c r="F9" s="11">
        <f>E9/((E6/F6)+(E5/F5)+(E7/F7)+(E8/F8))</f>
        <v>8.9003638818746715</v>
      </c>
      <c r="I9" s="38">
        <f>E9/((E6/I6)+(E5/I5)+(E7/I7)+(E8/I8))</f>
        <v>0.88888888888888884</v>
      </c>
      <c r="N9" s="11">
        <f>(F6*E6+F5*E5+F7*E7+F8*E8)/E9</f>
        <v>8.9163333333333341</v>
      </c>
    </row>
    <row r="10" spans="3:15" x14ac:dyDescent="0.25">
      <c r="C10" s="4" t="s">
        <v>49</v>
      </c>
      <c r="D10" s="17">
        <v>0.15</v>
      </c>
      <c r="F10" s="11">
        <f>1/(((1-D10)/F9)+(D10/F8))</f>
        <v>8.7159275007428345</v>
      </c>
      <c r="I10" s="38">
        <f>1/(((1-G10)/I9)+(G10/I8))</f>
        <v>0.88888888888888884</v>
      </c>
      <c r="N10" s="11">
        <f>((1-D10)*N9)+(D10*F8)</f>
        <v>8.7488833333333336</v>
      </c>
    </row>
    <row r="11" spans="3:15" x14ac:dyDescent="0.25">
      <c r="D11" s="5"/>
    </row>
    <row r="12" spans="3:15" x14ac:dyDescent="0.25">
      <c r="C12" s="4" t="s">
        <v>55</v>
      </c>
      <c r="D12" s="14">
        <f>F9*D3</f>
        <v>382.71564692061088</v>
      </c>
      <c r="E12" t="s">
        <v>9</v>
      </c>
      <c r="H12" s="18" t="s">
        <v>22</v>
      </c>
    </row>
    <row r="13" spans="3:15" x14ac:dyDescent="0.25">
      <c r="C13" s="4" t="s">
        <v>56</v>
      </c>
      <c r="D13" s="14">
        <f>F10*D3</f>
        <v>374.78488253194189</v>
      </c>
      <c r="E13" t="s">
        <v>9</v>
      </c>
      <c r="H13" s="4" t="s">
        <v>13</v>
      </c>
      <c r="I13" s="6">
        <v>16200</v>
      </c>
      <c r="J13" s="6">
        <v>16200</v>
      </c>
    </row>
    <row r="14" spans="3:15" x14ac:dyDescent="0.25">
      <c r="C14" s="4" t="s">
        <v>24</v>
      </c>
      <c r="D14" s="14">
        <f>D13*D10</f>
        <v>56.217732379791279</v>
      </c>
      <c r="E14" t="s">
        <v>9</v>
      </c>
      <c r="H14" s="4"/>
      <c r="I14" s="35" t="s">
        <v>43</v>
      </c>
      <c r="J14" s="35" t="s">
        <v>44</v>
      </c>
    </row>
    <row r="15" spans="3:15" x14ac:dyDescent="0.25">
      <c r="C15" s="4" t="s">
        <v>11</v>
      </c>
      <c r="D15" s="14">
        <f>F8*D3</f>
        <v>335.4</v>
      </c>
      <c r="E15" t="s">
        <v>9</v>
      </c>
      <c r="H15" s="4" t="s">
        <v>20</v>
      </c>
      <c r="I15" s="36">
        <f>8/9</f>
        <v>0.88888888888888884</v>
      </c>
      <c r="J15" s="36">
        <f>7/9</f>
        <v>0.77777777777777779</v>
      </c>
    </row>
    <row r="16" spans="3:15" x14ac:dyDescent="0.25">
      <c r="C16" s="4" t="s">
        <v>54</v>
      </c>
      <c r="D16" s="12">
        <f>(D13/D15)-1</f>
        <v>0.1174266026593378</v>
      </c>
      <c r="H16" s="4" t="s">
        <v>14</v>
      </c>
      <c r="I16" s="6">
        <f>I13*I15</f>
        <v>14400</v>
      </c>
      <c r="J16" s="6">
        <f>J13*J15</f>
        <v>12600</v>
      </c>
    </row>
    <row r="17" spans="1:13" x14ac:dyDescent="0.25">
      <c r="H17" s="4" t="s">
        <v>15</v>
      </c>
      <c r="I17" s="6">
        <f>I13*(1-I15)</f>
        <v>1800.0000000000009</v>
      </c>
      <c r="J17" s="6">
        <f>J13*(1-J15)</f>
        <v>3600</v>
      </c>
    </row>
    <row r="18" spans="1:13" x14ac:dyDescent="0.25">
      <c r="C18" s="4" t="s">
        <v>1</v>
      </c>
      <c r="D18" s="11">
        <f>D13*1000000*0.000001</f>
        <v>374.78488253194189</v>
      </c>
      <c r="E18" t="s">
        <v>3</v>
      </c>
    </row>
    <row r="19" spans="1:13" x14ac:dyDescent="0.25">
      <c r="C19" s="4" t="s">
        <v>25</v>
      </c>
      <c r="D19">
        <v>150</v>
      </c>
      <c r="E19" t="s">
        <v>2</v>
      </c>
    </row>
    <row r="20" spans="1:13" x14ac:dyDescent="0.25">
      <c r="C20" s="4" t="s">
        <v>18</v>
      </c>
      <c r="D20" s="9">
        <f>ROUNDDOWN(D$19*D$18, 0)</f>
        <v>56217</v>
      </c>
      <c r="E20" t="s">
        <v>3</v>
      </c>
      <c r="I20" t="s">
        <v>34</v>
      </c>
    </row>
    <row r="21" spans="1:13" ht="45" x14ac:dyDescent="0.25">
      <c r="C21" s="4" t="s">
        <v>19</v>
      </c>
      <c r="D21" s="9">
        <f>ROUNDDOWN((D$20/I$10)-D20, 0)</f>
        <v>7027</v>
      </c>
      <c r="E21" t="s">
        <v>3</v>
      </c>
      <c r="I21" s="5"/>
      <c r="J21" s="44" t="s">
        <v>48</v>
      </c>
      <c r="K21" s="6" t="s">
        <v>39</v>
      </c>
      <c r="L21" s="6" t="s">
        <v>16</v>
      </c>
      <c r="M21" s="6" t="s">
        <v>17</v>
      </c>
    </row>
    <row r="22" spans="1:13" x14ac:dyDescent="0.25">
      <c r="C22" s="4" t="s">
        <v>26</v>
      </c>
      <c r="D22">
        <v>4</v>
      </c>
      <c r="I22" s="5" t="str">
        <f>D5</f>
        <v>D</v>
      </c>
      <c r="J22">
        <f>ROUNDDOWN((D$20*(1-D10))*E5, 0)</f>
        <v>4300</v>
      </c>
      <c r="K22" s="2">
        <f>J22/12100</f>
        <v>0.35537190082644626</v>
      </c>
      <c r="L22" s="2">
        <f>J22/I$16</f>
        <v>0.2986111111111111</v>
      </c>
      <c r="M22" s="13">
        <f>ROUNDUP(L22,0)*I$17</f>
        <v>1800.0000000000009</v>
      </c>
    </row>
    <row r="23" spans="1:13" x14ac:dyDescent="0.25">
      <c r="C23" s="4" t="s">
        <v>28</v>
      </c>
      <c r="D23" s="9">
        <f>D22*I17</f>
        <v>7200.0000000000036</v>
      </c>
      <c r="I23" s="5" t="str">
        <f>D6</f>
        <v>C</v>
      </c>
      <c r="J23">
        <f>ROUNDDOWN((D$20*(1-D10))*E6, 0)</f>
        <v>30582</v>
      </c>
      <c r="K23" s="2">
        <f t="shared" ref="K23:K25" si="1">J23/12100</f>
        <v>2.5274380165289254</v>
      </c>
      <c r="L23" s="2">
        <f>J23/I$16</f>
        <v>2.1237499999999998</v>
      </c>
      <c r="M23" s="13">
        <f>ROUNDUP(L23,0)*I$17</f>
        <v>5400.0000000000027</v>
      </c>
    </row>
    <row r="24" spans="1:13" x14ac:dyDescent="0.25">
      <c r="C24" s="4" t="s">
        <v>29</v>
      </c>
      <c r="D24" s="15">
        <f>D20/(D20+D21+D23)</f>
        <v>0.79803815796945088</v>
      </c>
      <c r="I24" s="5" t="str">
        <f>D7</f>
        <v>B</v>
      </c>
      <c r="J24">
        <f>ROUNDDOWN((D$20*(1-D10))*E7, 0)</f>
        <v>11707</v>
      </c>
      <c r="K24" s="2">
        <f t="shared" si="1"/>
        <v>0.96752066115702484</v>
      </c>
      <c r="L24" s="2">
        <f>J24/I$16</f>
        <v>0.81298611111111108</v>
      </c>
      <c r="M24" s="13">
        <f>ROUNDUP(L24,0)*I$17</f>
        <v>1800.0000000000009</v>
      </c>
    </row>
    <row r="25" spans="1:13" x14ac:dyDescent="0.25">
      <c r="C25" s="4" t="s">
        <v>27</v>
      </c>
      <c r="D25" s="12">
        <f>D24/I10</f>
        <v>0.89779292771563224</v>
      </c>
      <c r="I25" s="5" t="str">
        <f>D8</f>
        <v>A, LCD</v>
      </c>
      <c r="J25">
        <f>ROUNDDOWN((D20*D10)+(D$20*(1-D10))*E8, 0)</f>
        <v>9627</v>
      </c>
      <c r="K25" s="2">
        <f t="shared" si="1"/>
        <v>0.79561983471074382</v>
      </c>
      <c r="L25" s="2">
        <f>J25/I$16</f>
        <v>0.6685416666666667</v>
      </c>
      <c r="M25" s="13">
        <f>ROUNDUP(L25,0)*I$17</f>
        <v>1800.0000000000009</v>
      </c>
    </row>
    <row r="26" spans="1:13" x14ac:dyDescent="0.25">
      <c r="C26" s="4" t="s">
        <v>33</v>
      </c>
      <c r="D26" s="15">
        <f>D20/(D20+D21+(D23/2))</f>
        <v>0.84101789240619951</v>
      </c>
      <c r="J26" s="9">
        <f>SUM(J22:J25)</f>
        <v>56216</v>
      </c>
      <c r="K26" s="2"/>
      <c r="L26" s="2"/>
      <c r="M26" s="14">
        <f>SUM(M22:M25)</f>
        <v>10800.000000000004</v>
      </c>
    </row>
    <row r="27" spans="1:13" x14ac:dyDescent="0.25">
      <c r="C27" s="4" t="s">
        <v>32</v>
      </c>
      <c r="D27" s="12">
        <f>D26/I10</f>
        <v>0.94614512895697445</v>
      </c>
      <c r="L27" s="4" t="s">
        <v>21</v>
      </c>
      <c r="M27" s="15">
        <f>J26/(J26+M26)</f>
        <v>0.83884445505550909</v>
      </c>
    </row>
    <row r="28" spans="1:13" ht="15.75" thickBot="1" x14ac:dyDescent="0.3">
      <c r="L28" s="4" t="s">
        <v>32</v>
      </c>
      <c r="M28" s="12">
        <f>M27/I15</f>
        <v>0.94370001193744779</v>
      </c>
    </row>
    <row r="29" spans="1:13" x14ac:dyDescent="0.25">
      <c r="A29" s="20"/>
      <c r="B29" s="21"/>
      <c r="C29" s="22" t="s">
        <v>57</v>
      </c>
      <c r="D29" s="23">
        <f>D13*D27</f>
        <v>354.60089101430867</v>
      </c>
      <c r="E29" s="24" t="s">
        <v>9</v>
      </c>
      <c r="F29" s="1"/>
      <c r="G29" s="1"/>
      <c r="H29" s="1"/>
    </row>
    <row r="30" spans="1:13" x14ac:dyDescent="0.25">
      <c r="A30" s="25"/>
      <c r="B30" s="26"/>
      <c r="C30" s="27" t="s">
        <v>10</v>
      </c>
      <c r="D30" s="28">
        <f>D15</f>
        <v>335.4</v>
      </c>
      <c r="E30" s="29" t="s">
        <v>9</v>
      </c>
    </row>
    <row r="31" spans="1:13" ht="15.75" thickBot="1" x14ac:dyDescent="0.3">
      <c r="A31" s="30"/>
      <c r="B31" s="31"/>
      <c r="C31" s="32" t="s">
        <v>58</v>
      </c>
      <c r="D31" s="33">
        <f>(D29/D30)-1</f>
        <v>5.7247737073073068E-2</v>
      </c>
      <c r="E31" s="34"/>
      <c r="H31" s="3"/>
    </row>
    <row r="32" spans="1:13" x14ac:dyDescent="0.25">
      <c r="C32" s="2"/>
      <c r="D32" s="3"/>
      <c r="H32" s="3"/>
    </row>
    <row r="33" spans="3:8" x14ac:dyDescent="0.25">
      <c r="C33" s="2"/>
      <c r="D33" s="3"/>
      <c r="H3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MMP Tool</vt:lpstr>
      <vt:lpstr>Summary</vt:lpstr>
      <vt:lpstr>256-QAM LCD</vt:lpstr>
      <vt:lpstr>512-QAM LCD</vt:lpstr>
      <vt:lpstr>1024-QAM LCD</vt:lpstr>
      <vt:lpstr>512-QAM LCD + m-cast</vt:lpstr>
      <vt:lpstr>+ Micro-reflection</vt:lpstr>
      <vt:lpstr>+ 48MHz</vt:lpstr>
    </vt:vector>
  </TitlesOfParts>
  <Company>Broadcom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MMP Efficiencies</dc:title>
  <dc:creator>John Ulm, Motorola Mobility</dc:creator>
  <dc:description>Multiple Modulation Profile Capacity and gains vs. Single Profile</dc:description>
  <cp:lastModifiedBy>Mark Laubach</cp:lastModifiedBy>
  <dcterms:created xsi:type="dcterms:W3CDTF">2012-12-10T18:08:59Z</dcterms:created>
  <dcterms:modified xsi:type="dcterms:W3CDTF">2013-01-17T21:36:31Z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2141519393</vt:i4>
  </property>
  <property fmtid="{D5CDD505-2E9C-101B-9397-08002B2CF9AE}" pid="3" name="_NewReviewCycle">
    <vt:lpwstr/>
  </property>
  <property fmtid="{D5CDD505-2E9C-101B-9397-08002B2CF9AE}" pid="4" name="_EmailSubject">
    <vt:lpwstr>spreadsheet</vt:lpwstr>
  </property>
  <property fmtid="{D5CDD505-2E9C-101B-9397-08002B2CF9AE}" pid="5" name="_AuthorEmail">
    <vt:lpwstr>nikip@broadcom.com</vt:lpwstr>
  </property>
  <property fmtid="{D5CDD505-2E9C-101B-9397-08002B2CF9AE}" pid="6" name="_AuthorEmailDisplayName">
    <vt:lpwstr>Niki Pantelias</vt:lpwstr>
  </property>
  <property fmtid="{D5CDD505-2E9C-101B-9397-08002B2CF9AE}" pid="7" name="_ReviewingToolsShownOnce">
    <vt:lpwstr/>
  </property>
</Properties>
</file>