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CMEDESKTOP1\Users\gzimmerman\Documents\Consulting\IEEE\NGAUTO\Apr2019\"/>
    </mc:Choice>
  </mc:AlternateContent>
  <xr:revisionPtr revIDLastSave="0" documentId="13_ncr:1_{6EB1708A-DC05-4A8A-AE1A-95C0327D54EE}" xr6:coauthVersionLast="36" xr6:coauthVersionMax="43" xr10:uidLastSave="{00000000-0000-0000-0000-000000000000}"/>
  <bookViews>
    <workbookView xWindow="1110" yWindow="2145" windowWidth="27690" windowHeight="15255" xr2:uid="{904231D7-B1EC-4974-AF11-F7238BD7446D}"/>
  </bookViews>
  <sheets>
    <sheet name="Proposed v Measurements" sheetId="1" r:id="rId1"/>
    <sheet name="Model calculator" sheetId="2" r:id="rId2"/>
  </sheets>
  <definedNames>
    <definedName name="AF_C" localSheetId="1">'Model calculator'!$H$1</definedName>
    <definedName name="AF_C">'Proposed v Measurements'!$D$18</definedName>
    <definedName name="AN_C" localSheetId="1">'Model calculator'!$F$1</definedName>
    <definedName name="AN_C">'Proposed v Measurements'!$B$18</definedName>
    <definedName name="background" localSheetId="1">'Model calculator'!$J$1</definedName>
    <definedName name="background">'Proposed v Measurements'!$K$2</definedName>
    <definedName name="fext_fraction_IL">'Model calculator'!$D$3</definedName>
    <definedName name="fraction_IL">'Model calculator'!$D$3</definedName>
    <definedName name="margin" localSheetId="1">'Model calculator'!$C$1</definedName>
    <definedName name="margin">'Proposed v Measurements'!$C$1</definedName>
    <definedName name="maxloss" localSheetId="1">'Model calculator'!$C$2</definedName>
    <definedName name="maxloss">'Proposed v Measurements'!$C$2</definedName>
    <definedName name="prop_fraction_IL">'Proposed v Measurements'!$D$3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  <c r="D5" i="1"/>
  <c r="D5" i="2"/>
  <c r="F5" i="2" l="1"/>
  <c r="M5" i="2" s="1"/>
  <c r="E6" i="2"/>
  <c r="L6" i="2" s="1"/>
  <c r="E5" i="2"/>
  <c r="L5" i="2" s="1"/>
  <c r="A6" i="2"/>
  <c r="G5" i="2"/>
  <c r="A7" i="2" l="1"/>
  <c r="D6" i="2"/>
  <c r="E7" i="2"/>
  <c r="L7" i="2" s="1"/>
  <c r="F6" i="2"/>
  <c r="M6" i="2" s="1"/>
  <c r="I5" i="2"/>
  <c r="A8" i="2"/>
  <c r="D8" i="2" s="1"/>
  <c r="G7" i="2"/>
  <c r="H5" i="2"/>
  <c r="G6" i="2"/>
  <c r="F7" i="2" l="1"/>
  <c r="M7" i="2" s="1"/>
  <c r="D7" i="2"/>
  <c r="F8" i="2"/>
  <c r="M8" i="2" s="1"/>
  <c r="E8" i="2"/>
  <c r="L8" i="2" s="1"/>
  <c r="I6" i="2"/>
  <c r="H6" i="2"/>
  <c r="J5" i="2"/>
  <c r="A9" i="2"/>
  <c r="D9" i="2" s="1"/>
  <c r="G8" i="2"/>
  <c r="H7" i="2"/>
  <c r="C30" i="1"/>
  <c r="F30" i="1" s="1"/>
  <c r="C29" i="1"/>
  <c r="F29" i="1" s="1"/>
  <c r="C28" i="1"/>
  <c r="F28" i="1" s="1"/>
  <c r="C27" i="1"/>
  <c r="F27" i="1" s="1"/>
  <c r="C26" i="1"/>
  <c r="F26" i="1" s="1"/>
  <c r="C25" i="1"/>
  <c r="F25" i="1" s="1"/>
  <c r="C24" i="1"/>
  <c r="F24" i="1" s="1"/>
  <c r="C23" i="1"/>
  <c r="F23" i="1" s="1"/>
  <c r="F22" i="1"/>
  <c r="E22" i="1"/>
  <c r="B30" i="1"/>
  <c r="E30" i="1" s="1"/>
  <c r="B29" i="1"/>
  <c r="E29" i="1" s="1"/>
  <c r="B28" i="1"/>
  <c r="E28" i="1" s="1"/>
  <c r="B27" i="1"/>
  <c r="E27" i="1" s="1"/>
  <c r="B26" i="1"/>
  <c r="E26" i="1" s="1"/>
  <c r="B25" i="1"/>
  <c r="E25" i="1" s="1"/>
  <c r="B24" i="1"/>
  <c r="E24" i="1" s="1"/>
  <c r="B23" i="1"/>
  <c r="E23" i="1" s="1"/>
  <c r="C22" i="1"/>
  <c r="B22" i="1"/>
  <c r="A24" i="1"/>
  <c r="A25" i="1" s="1"/>
  <c r="A26" i="1" s="1"/>
  <c r="A27" i="1" s="1"/>
  <c r="A28" i="1" s="1"/>
  <c r="A29" i="1" s="1"/>
  <c r="A30" i="1" s="1"/>
  <c r="A23" i="1"/>
  <c r="E13" i="1"/>
  <c r="E12" i="1"/>
  <c r="E11" i="1"/>
  <c r="E5" i="1"/>
  <c r="E10" i="1"/>
  <c r="E9" i="1"/>
  <c r="E8" i="1"/>
  <c r="E7" i="1"/>
  <c r="E6" i="1"/>
  <c r="I7" i="2" l="1"/>
  <c r="J6" i="2"/>
  <c r="K6" i="2" s="1"/>
  <c r="E9" i="2"/>
  <c r="L9" i="2" s="1"/>
  <c r="F9" i="2"/>
  <c r="M9" i="2" s="1"/>
  <c r="J7" i="2"/>
  <c r="K7" i="2" s="1"/>
  <c r="G9" i="2"/>
  <c r="A10" i="2"/>
  <c r="D10" i="2" s="1"/>
  <c r="H8" i="2"/>
  <c r="I8" i="2"/>
  <c r="K5" i="2"/>
  <c r="E34" i="1"/>
  <c r="E33" i="1"/>
  <c r="E32" i="1"/>
  <c r="F34" i="1"/>
  <c r="F33" i="1"/>
  <c r="E31" i="1"/>
  <c r="F32" i="1"/>
  <c r="F31" i="1"/>
  <c r="G5" i="1"/>
  <c r="F13" i="1"/>
  <c r="I13" i="1" s="1"/>
  <c r="F12" i="1"/>
  <c r="I12" i="1" s="1"/>
  <c r="F11" i="1"/>
  <c r="I11" i="1" s="1"/>
  <c r="F10" i="1"/>
  <c r="I10" i="1" s="1"/>
  <c r="F9" i="1"/>
  <c r="I9" i="1" s="1"/>
  <c r="F8" i="1"/>
  <c r="I8" i="1" s="1"/>
  <c r="F7" i="1"/>
  <c r="I7" i="1" s="1"/>
  <c r="F6" i="1"/>
  <c r="I6" i="1" s="1"/>
  <c r="F5" i="1"/>
  <c r="I5" i="1" s="1"/>
  <c r="A6" i="1"/>
  <c r="G6" i="1" s="1"/>
  <c r="E10" i="2" l="1"/>
  <c r="L10" i="2" s="1"/>
  <c r="F10" i="2"/>
  <c r="M10" i="2" s="1"/>
  <c r="J8" i="2"/>
  <c r="K8" i="2" s="1"/>
  <c r="A11" i="2"/>
  <c r="D11" i="2" s="1"/>
  <c r="G10" i="2"/>
  <c r="I9" i="2"/>
  <c r="H9" i="2"/>
  <c r="H6" i="1"/>
  <c r="A7" i="1"/>
  <c r="H5" i="1"/>
  <c r="F11" i="2" l="1"/>
  <c r="M11" i="2" s="1"/>
  <c r="E11" i="2"/>
  <c r="L11" i="2" s="1"/>
  <c r="J9" i="2"/>
  <c r="K9" i="2" s="1"/>
  <c r="I10" i="2"/>
  <c r="I14" i="2" s="1"/>
  <c r="H10" i="2"/>
  <c r="A12" i="2"/>
  <c r="D12" i="2" s="1"/>
  <c r="G11" i="2"/>
  <c r="J6" i="1"/>
  <c r="K6" i="1" s="1"/>
  <c r="J5" i="1"/>
  <c r="A8" i="1"/>
  <c r="G7" i="1"/>
  <c r="F12" i="2" l="1"/>
  <c r="M12" i="2" s="1"/>
  <c r="E12" i="2"/>
  <c r="L12" i="2" s="1"/>
  <c r="A13" i="2"/>
  <c r="D13" i="2" s="1"/>
  <c r="G12" i="2"/>
  <c r="J10" i="2"/>
  <c r="H14" i="2"/>
  <c r="H11" i="2"/>
  <c r="I11" i="2"/>
  <c r="K5" i="1"/>
  <c r="H7" i="1"/>
  <c r="A9" i="1"/>
  <c r="G8" i="1"/>
  <c r="E13" i="2" l="1"/>
  <c r="L13" i="2" s="1"/>
  <c r="L14" i="2" s="1"/>
  <c r="F13" i="2"/>
  <c r="M13" i="2" s="1"/>
  <c r="J11" i="2"/>
  <c r="K11" i="2" s="1"/>
  <c r="K10" i="2"/>
  <c r="K14" i="2" s="1"/>
  <c r="F2" i="2" s="1"/>
  <c r="J14" i="2"/>
  <c r="H12" i="2"/>
  <c r="I12" i="2"/>
  <c r="G13" i="2"/>
  <c r="J7" i="1"/>
  <c r="H8" i="1"/>
  <c r="J8" i="1" s="1"/>
  <c r="K8" i="1" s="1"/>
  <c r="A10" i="1"/>
  <c r="G9" i="1"/>
  <c r="M14" i="2" l="1"/>
  <c r="C1" i="2"/>
  <c r="I13" i="2"/>
  <c r="H13" i="2"/>
  <c r="J12" i="2"/>
  <c r="K12" i="2" s="1"/>
  <c r="K7" i="1"/>
  <c r="H9" i="1"/>
  <c r="A11" i="1"/>
  <c r="G10" i="1"/>
  <c r="J13" i="2" l="1"/>
  <c r="K13" i="2" s="1"/>
  <c r="J9" i="1"/>
  <c r="H10" i="1"/>
  <c r="H14" i="1" s="1"/>
  <c r="I14" i="1"/>
  <c r="A12" i="1"/>
  <c r="G11" i="1"/>
  <c r="J10" i="1" l="1"/>
  <c r="K10" i="1" s="1"/>
  <c r="K9" i="1"/>
  <c r="H11" i="1"/>
  <c r="A13" i="1"/>
  <c r="G13" i="1" s="1"/>
  <c r="G12" i="1"/>
  <c r="J14" i="1" l="1"/>
  <c r="K14" i="1"/>
  <c r="J11" i="1"/>
  <c r="K11" i="1" s="1"/>
  <c r="H12" i="1"/>
  <c r="J12" i="1" s="1"/>
  <c r="K12" i="1" s="1"/>
  <c r="H13" i="1"/>
  <c r="J13" i="1" s="1"/>
  <c r="K13" i="1" s="1"/>
</calcChain>
</file>

<file path=xl/sharedStrings.xml><?xml version="1.0" encoding="utf-8"?>
<sst xmlns="http://schemas.openxmlformats.org/spreadsheetml/2006/main" count="65" uniqueCount="32">
  <si>
    <t>Freq</t>
  </si>
  <si>
    <t>Margin proposed</t>
  </si>
  <si>
    <t>Max loss proposed</t>
  </si>
  <si>
    <t>dB</t>
  </si>
  <si>
    <t>Measured (slide 7 mueller_3cg_05_0319.pdf)</t>
  </si>
  <si>
    <t>Proposed</t>
  </si>
  <si>
    <t>PSANEXT</t>
  </si>
  <si>
    <t>Max 10GBASE-T1 PSD</t>
  </si>
  <si>
    <t>Proposed ANEXT noise level</t>
  </si>
  <si>
    <t>Proposed Combined Alien Noise level</t>
  </si>
  <si>
    <t>Proposed Alien + Background noise</t>
  </si>
  <si>
    <t>Geometric in band noise</t>
  </si>
  <si>
    <t>AWGN Background (dBm/Hz)</t>
  </si>
  <si>
    <t>PSAACRF</t>
  </si>
  <si>
    <t>Requirement</t>
  </si>
  <si>
    <t>AN_C</t>
  </si>
  <si>
    <t>AF_C</t>
  </si>
  <si>
    <t>Requirement: PSANEXT Loss &lt;= MAX (75, AN_C - 15*log10(f_MHz/100) ) dB</t>
  </si>
  <si>
    <t>Requirement: PSAACRF Loss &lt;= MAX (75, AF_C - 20log10(f_MHz/100)) dB  (note PSAFEXT loss &lt;= IL + PSAACRF)</t>
  </si>
  <si>
    <t>Worst inband margin</t>
  </si>
  <si>
    <t>Average inband margin</t>
  </si>
  <si>
    <t>Worst overall margin</t>
  </si>
  <si>
    <t>Average overall margin</t>
  </si>
  <si>
    <t>Margin to measurements</t>
  </si>
  <si>
    <t>Proposed PSAFEXT noise level</t>
  </si>
  <si>
    <t>IL (for fext)</t>
  </si>
  <si>
    <t>PSAFEXT</t>
  </si>
  <si>
    <t>Minimum margin</t>
  </si>
  <si>
    <t>Total noise</t>
  </si>
  <si>
    <t>dBm/Hz</t>
  </si>
  <si>
    <t>Bkgnd AWGN</t>
  </si>
  <si>
    <t>(note, the number above the IL column is the fraction of a full-length link used for PSAFEXT noise - 1/4 IL is recommended for PSAFEXT to give a realistic worst case)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</si>
</sst>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0" xfId="0" applyNumberFormat="1"/>
    <xf numFmtId="2" fontId="0" fillId="0" borderId="3" xfId="0" applyNumberForma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2" xfId="0" applyNumberFormat="1" applyBorder="1"/>
    <xf numFmtId="2" fontId="0" fillId="0" borderId="11" xfId="0" applyNumberFormat="1" applyBorder="1"/>
    <xf numFmtId="0" fontId="1" fillId="2" borderId="10" xfId="0" applyFont="1" applyFill="1" applyBorder="1"/>
    <xf numFmtId="2" fontId="0" fillId="0" borderId="2" xfId="0" applyNumberFormat="1" applyBorder="1"/>
    <xf numFmtId="2" fontId="1" fillId="2" borderId="1" xfId="0" applyNumberFormat="1" applyFont="1" applyFill="1" applyBorder="1"/>
    <xf numFmtId="0" fontId="0" fillId="3" borderId="1" xfId="0" applyFill="1" applyBorder="1" applyAlignment="1">
      <alignment wrapText="1"/>
    </xf>
    <xf numFmtId="2" fontId="0" fillId="3" borderId="1" xfId="0" applyNumberFormat="1" applyFill="1" applyBorder="1"/>
    <xf numFmtId="0" fontId="1" fillId="2" borderId="7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5" xfId="0" applyNumberFormat="1" applyBorder="1"/>
    <xf numFmtId="2" fontId="0" fillId="0" borderId="7" xfId="0" applyNumberFormat="1" applyBorder="1"/>
    <xf numFmtId="0" fontId="0" fillId="0" borderId="0" xfId="0" applyBorder="1"/>
    <xf numFmtId="2" fontId="0" fillId="0" borderId="0" xfId="0" applyNumberFormat="1" applyBorder="1"/>
    <xf numFmtId="0" fontId="1" fillId="5" borderId="1" xfId="0" applyFont="1" applyFill="1" applyBorder="1"/>
    <xf numFmtId="2" fontId="0" fillId="0" borderId="13" xfId="0" applyNumberFormat="1" applyBorder="1"/>
    <xf numFmtId="2" fontId="0" fillId="0" borderId="1" xfId="0" applyNumberFormat="1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2" fontId="0" fillId="5" borderId="0" xfId="0" applyNumberFormat="1" applyFill="1"/>
    <xf numFmtId="1" fontId="0" fillId="0" borderId="15" xfId="0" applyNumberFormat="1" applyBorder="1"/>
    <xf numFmtId="0" fontId="1" fillId="2" borderId="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right"/>
    </xf>
    <xf numFmtId="0" fontId="1" fillId="2" borderId="3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D146-2D53-4253-A940-A8A7B7F84587}">
  <sheetPr>
    <pageSetUpPr fitToPage="1"/>
  </sheetPr>
  <dimension ref="A1:K34"/>
  <sheetViews>
    <sheetView tabSelected="1" workbookViewId="0">
      <selection activeCell="M12" sqref="M12"/>
    </sheetView>
  </sheetViews>
  <sheetFormatPr defaultRowHeight="15" x14ac:dyDescent="0.25"/>
  <cols>
    <col min="2" max="2" width="9.7109375" customWidth="1"/>
    <col min="3" max="3" width="11.140625" customWidth="1"/>
    <col min="4" max="4" width="9.85546875" customWidth="1"/>
    <col min="6" max="6" width="9.28515625" customWidth="1"/>
    <col min="7" max="7" width="12.5703125" customWidth="1"/>
    <col min="8" max="8" width="11.140625" customWidth="1"/>
    <col min="9" max="9" width="13.5703125" customWidth="1"/>
    <col min="10" max="10" width="13.42578125" customWidth="1"/>
    <col min="11" max="11" width="12.28515625" customWidth="1"/>
  </cols>
  <sheetData>
    <row r="1" spans="1:11" x14ac:dyDescent="0.25">
      <c r="A1" s="48" t="s">
        <v>1</v>
      </c>
      <c r="B1" s="48"/>
      <c r="C1" s="30">
        <v>10</v>
      </c>
      <c r="D1" t="s">
        <v>3</v>
      </c>
      <c r="K1" s="1" t="s">
        <v>12</v>
      </c>
    </row>
    <row r="2" spans="1:11" x14ac:dyDescent="0.25">
      <c r="A2" s="48" t="s">
        <v>2</v>
      </c>
      <c r="B2" s="48"/>
      <c r="C2">
        <v>75</v>
      </c>
      <c r="D2" t="s">
        <v>3</v>
      </c>
      <c r="H2" s="12"/>
      <c r="I2" s="12"/>
      <c r="K2" s="12">
        <v>-150</v>
      </c>
    </row>
    <row r="3" spans="1:11" ht="30" customHeight="1" x14ac:dyDescent="0.25">
      <c r="A3" s="2"/>
      <c r="B3" s="43" t="s">
        <v>4</v>
      </c>
      <c r="C3" s="43"/>
      <c r="D3" s="23">
        <v>0.25</v>
      </c>
      <c r="E3" s="43" t="s">
        <v>5</v>
      </c>
      <c r="F3" s="43"/>
      <c r="G3" s="44" t="s">
        <v>7</v>
      </c>
      <c r="H3" s="49" t="s">
        <v>8</v>
      </c>
      <c r="I3" s="44" t="s">
        <v>24</v>
      </c>
      <c r="J3" s="44" t="s">
        <v>9</v>
      </c>
      <c r="K3" s="44" t="s">
        <v>10</v>
      </c>
    </row>
    <row r="4" spans="1:11" x14ac:dyDescent="0.25">
      <c r="A4" s="3" t="s">
        <v>0</v>
      </c>
      <c r="B4" s="3" t="s">
        <v>6</v>
      </c>
      <c r="C4" s="3" t="s">
        <v>13</v>
      </c>
      <c r="D4" s="3" t="s">
        <v>25</v>
      </c>
      <c r="E4" s="3" t="s">
        <v>6</v>
      </c>
      <c r="F4" s="3" t="s">
        <v>13</v>
      </c>
      <c r="G4" s="45"/>
      <c r="H4" s="50"/>
      <c r="I4" s="45"/>
      <c r="J4" s="45"/>
      <c r="K4" s="45"/>
    </row>
    <row r="5" spans="1:11" x14ac:dyDescent="0.25">
      <c r="A5" s="4">
        <v>0</v>
      </c>
      <c r="B5" s="5">
        <v>-88</v>
      </c>
      <c r="C5" s="6">
        <v>-85</v>
      </c>
      <c r="D5" s="12">
        <f>(0.002*$A5+0.68*$A5^0.45)*prop_fraction_IL</f>
        <v>0</v>
      </c>
      <c r="E5" s="4">
        <f>MAX(-maxloss,B5+margin)</f>
        <v>-75</v>
      </c>
      <c r="F5" s="6">
        <f>MAX(-maxloss,C5+margin)</f>
        <v>-75</v>
      </c>
      <c r="G5" s="18">
        <f t="shared" ref="G5:G13" si="0">IF(A5&lt;600,-90,IF(A5&lt;3000,-89-A5/600,-82-A5/250))</f>
        <v>-90</v>
      </c>
      <c r="H5" s="13">
        <f t="shared" ref="H5:H13" si="1">$G5+E5</f>
        <v>-165</v>
      </c>
      <c r="I5" s="14">
        <f>$G5+F5-D5</f>
        <v>-165</v>
      </c>
      <c r="J5" s="18">
        <f>10*LOG10(10^(0.1*H5)+10^(0.1*I5))</f>
        <v>-161.98970004336022</v>
      </c>
      <c r="K5" s="18">
        <f t="shared" ref="K5:K13" si="2">10*LOG10(10^(0.1*J5)+10^(0.1*background))</f>
        <v>-149.73366424953727</v>
      </c>
    </row>
    <row r="6" spans="1:11" x14ac:dyDescent="0.25">
      <c r="A6" s="7">
        <f>500+A5</f>
        <v>500</v>
      </c>
      <c r="B6">
        <v>-80</v>
      </c>
      <c r="C6" s="8">
        <v>-82</v>
      </c>
      <c r="D6" s="12">
        <f>(0.002*$A6+0.68*$A6^0.45)*prop_fraction_IL</f>
        <v>3.036027656760659</v>
      </c>
      <c r="E6" s="7">
        <f t="shared" ref="E6:E13" si="3">MAX(-maxloss,B6+margin)</f>
        <v>-70</v>
      </c>
      <c r="F6" s="8">
        <f t="shared" ref="F6:F13" si="4">MAX(-maxloss,C6+margin)</f>
        <v>-72</v>
      </c>
      <c r="G6" s="19">
        <f t="shared" si="0"/>
        <v>-90</v>
      </c>
      <c r="H6" s="12">
        <f t="shared" si="1"/>
        <v>-160</v>
      </c>
      <c r="I6" s="15">
        <f t="shared" ref="I6:I13" si="5">$G6+F6-D6</f>
        <v>-165.03602765676067</v>
      </c>
      <c r="J6" s="19">
        <f t="shared" ref="J6:J13" si="6">10*LOG10(10^(0.1*H6)+10^(0.1*I6))</f>
        <v>-158.81531803686119</v>
      </c>
      <c r="K6" s="19">
        <f t="shared" si="2"/>
        <v>-149.46398592992256</v>
      </c>
    </row>
    <row r="7" spans="1:11" x14ac:dyDescent="0.25">
      <c r="A7" s="7">
        <f t="shared" ref="A7:A13" si="7">500+A6</f>
        <v>1000</v>
      </c>
      <c r="B7">
        <v>-76</v>
      </c>
      <c r="C7" s="8">
        <v>-77</v>
      </c>
      <c r="D7" s="12">
        <f>(0.002*$A7+0.68*$A7^0.45)*prop_fraction_IL</f>
        <v>4.3058259355661779</v>
      </c>
      <c r="E7" s="7">
        <f t="shared" si="3"/>
        <v>-66</v>
      </c>
      <c r="F7" s="8">
        <f t="shared" si="4"/>
        <v>-67</v>
      </c>
      <c r="G7" s="19">
        <f t="shared" si="0"/>
        <v>-90.666666666666671</v>
      </c>
      <c r="H7" s="12">
        <f t="shared" si="1"/>
        <v>-156.66666666666669</v>
      </c>
      <c r="I7" s="15">
        <f t="shared" si="5"/>
        <v>-161.97249260223288</v>
      </c>
      <c r="J7" s="19">
        <f t="shared" si="6"/>
        <v>-155.54489034840248</v>
      </c>
      <c r="K7" s="19">
        <f t="shared" si="2"/>
        <v>-148.93149792699288</v>
      </c>
    </row>
    <row r="8" spans="1:11" x14ac:dyDescent="0.25">
      <c r="A8" s="7">
        <f t="shared" si="7"/>
        <v>1500</v>
      </c>
      <c r="B8">
        <v>-73</v>
      </c>
      <c r="C8" s="8">
        <v>-74</v>
      </c>
      <c r="D8" s="12">
        <f>(0.002*$A8+0.68*$A8^0.45)*prop_fraction_IL</f>
        <v>5.317620231833474</v>
      </c>
      <c r="E8" s="7">
        <f t="shared" si="3"/>
        <v>-63</v>
      </c>
      <c r="F8" s="8">
        <f t="shared" si="4"/>
        <v>-64</v>
      </c>
      <c r="G8" s="19">
        <f t="shared" si="0"/>
        <v>-91.5</v>
      </c>
      <c r="H8" s="12">
        <f t="shared" si="1"/>
        <v>-154.5</v>
      </c>
      <c r="I8" s="15">
        <f t="shared" si="5"/>
        <v>-160.81762023183347</v>
      </c>
      <c r="J8" s="19">
        <f t="shared" si="6"/>
        <v>-153.58870103990756</v>
      </c>
      <c r="K8" s="19">
        <f t="shared" si="2"/>
        <v>-148.4234592925506</v>
      </c>
    </row>
    <row r="9" spans="1:11" x14ac:dyDescent="0.25">
      <c r="A9" s="7">
        <f t="shared" si="7"/>
        <v>2000</v>
      </c>
      <c r="B9">
        <v>-72</v>
      </c>
      <c r="C9" s="8">
        <v>-72</v>
      </c>
      <c r="D9" s="12">
        <f>(0.002*$A9+0.68*$A9^0.45)*prop_fraction_IL</f>
        <v>6.1989114381833588</v>
      </c>
      <c r="E9" s="7">
        <f t="shared" si="3"/>
        <v>-62</v>
      </c>
      <c r="F9" s="8">
        <f t="shared" si="4"/>
        <v>-62</v>
      </c>
      <c r="G9" s="19">
        <f t="shared" si="0"/>
        <v>-92.333333333333329</v>
      </c>
      <c r="H9" s="12">
        <f t="shared" si="1"/>
        <v>-154.33333333333331</v>
      </c>
      <c r="I9" s="15">
        <f t="shared" si="5"/>
        <v>-160.53224477151667</v>
      </c>
      <c r="J9" s="19">
        <f t="shared" si="6"/>
        <v>-153.39931462841588</v>
      </c>
      <c r="K9" s="19">
        <f t="shared" si="2"/>
        <v>-148.36492660700824</v>
      </c>
    </row>
    <row r="10" spans="1:11" x14ac:dyDescent="0.25">
      <c r="A10" s="9">
        <f t="shared" si="7"/>
        <v>2500</v>
      </c>
      <c r="B10" s="10">
        <v>-70.5</v>
      </c>
      <c r="C10" s="11">
        <v>-70</v>
      </c>
      <c r="D10" s="20">
        <f>(0.002*$A10+0.68*$A10^0.45)*prop_fraction_IL</f>
        <v>6.9980683713530523</v>
      </c>
      <c r="E10" s="9">
        <f t="shared" si="3"/>
        <v>-60.5</v>
      </c>
      <c r="F10" s="11">
        <f t="shared" si="4"/>
        <v>-60</v>
      </c>
      <c r="G10" s="20">
        <f t="shared" si="0"/>
        <v>-93.166666666666671</v>
      </c>
      <c r="H10" s="16">
        <f t="shared" si="1"/>
        <v>-153.66666666666669</v>
      </c>
      <c r="I10" s="17">
        <f t="shared" si="5"/>
        <v>-160.16473503801973</v>
      </c>
      <c r="J10" s="19">
        <f t="shared" si="6"/>
        <v>-152.78895287248611</v>
      </c>
      <c r="K10" s="19">
        <f t="shared" si="2"/>
        <v>-148.16404455175876</v>
      </c>
    </row>
    <row r="11" spans="1:11" x14ac:dyDescent="0.25">
      <c r="A11" s="7">
        <f t="shared" si="7"/>
        <v>3000</v>
      </c>
      <c r="B11">
        <v>-69</v>
      </c>
      <c r="C11" s="8">
        <v>-68</v>
      </c>
      <c r="D11" s="12">
        <f>(0.002*$A11+0.68*$A11^0.45)*prop_fraction_IL</f>
        <v>7.7395531142503673</v>
      </c>
      <c r="E11" s="7">
        <f t="shared" si="3"/>
        <v>-59</v>
      </c>
      <c r="F11" s="8">
        <f t="shared" si="4"/>
        <v>-58</v>
      </c>
      <c r="G11" s="19">
        <f t="shared" si="0"/>
        <v>-94</v>
      </c>
      <c r="H11" s="12">
        <f t="shared" si="1"/>
        <v>-153</v>
      </c>
      <c r="I11" s="15">
        <f t="shared" si="5"/>
        <v>-159.73955311425036</v>
      </c>
      <c r="J11" s="19">
        <f t="shared" si="6"/>
        <v>-152.16548297222633</v>
      </c>
      <c r="K11" s="19">
        <f t="shared" si="2"/>
        <v>-147.93884759088056</v>
      </c>
    </row>
    <row r="12" spans="1:11" x14ac:dyDescent="0.25">
      <c r="A12" s="7">
        <f t="shared" si="7"/>
        <v>3500</v>
      </c>
      <c r="B12">
        <v>-67.5</v>
      </c>
      <c r="C12">
        <v>-67</v>
      </c>
      <c r="D12" s="12">
        <f>(0.002*$A12+0.68*$A12^0.45)*prop_fraction_IL</f>
        <v>8.4377424744934402</v>
      </c>
      <c r="E12">
        <f t="shared" si="3"/>
        <v>-57.5</v>
      </c>
      <c r="F12" s="8">
        <f t="shared" si="4"/>
        <v>-57</v>
      </c>
      <c r="G12" s="19">
        <f t="shared" si="0"/>
        <v>-96</v>
      </c>
      <c r="H12" s="12">
        <f t="shared" si="1"/>
        <v>-153.5</v>
      </c>
      <c r="I12" s="15">
        <f t="shared" si="5"/>
        <v>-161.43774247449343</v>
      </c>
      <c r="J12" s="19">
        <f t="shared" si="6"/>
        <v>-152.85250952010412</v>
      </c>
      <c r="K12" s="19">
        <f t="shared" si="2"/>
        <v>-148.18585105657675</v>
      </c>
    </row>
    <row r="13" spans="1:11" x14ac:dyDescent="0.25">
      <c r="A13" s="9">
        <f t="shared" si="7"/>
        <v>4000</v>
      </c>
      <c r="B13" s="10">
        <v>-67</v>
      </c>
      <c r="C13" s="11">
        <v>-65</v>
      </c>
      <c r="D13" s="20">
        <f>(0.002*$A13+0.68*$A13^0.45)*prop_fraction_IL</f>
        <v>9.1019223158593583</v>
      </c>
      <c r="E13" s="9">
        <f t="shared" si="3"/>
        <v>-57</v>
      </c>
      <c r="F13" s="11">
        <f t="shared" si="4"/>
        <v>-55</v>
      </c>
      <c r="G13" s="20">
        <f t="shared" si="0"/>
        <v>-98</v>
      </c>
      <c r="H13" s="16">
        <f t="shared" si="1"/>
        <v>-155</v>
      </c>
      <c r="I13" s="17">
        <f t="shared" si="5"/>
        <v>-162.10192231585935</v>
      </c>
      <c r="J13" s="20">
        <f t="shared" si="6"/>
        <v>-154.22669102840391</v>
      </c>
      <c r="K13" s="20">
        <f t="shared" si="2"/>
        <v>-148.60794913804543</v>
      </c>
    </row>
    <row r="14" spans="1:11" ht="54" customHeight="1" x14ac:dyDescent="0.25">
      <c r="A14" s="52" t="s">
        <v>31</v>
      </c>
      <c r="B14" s="52"/>
      <c r="C14" s="52"/>
      <c r="D14" s="52"/>
      <c r="E14" s="52"/>
      <c r="F14" s="52"/>
      <c r="G14" s="24" t="s">
        <v>11</v>
      </c>
      <c r="H14" s="25">
        <f>AVERAGE(H5:H10)</f>
        <v>-157.36111111111111</v>
      </c>
      <c r="I14" s="25">
        <f>AVERAGE(I5:I10)</f>
        <v>-162.2538533833939</v>
      </c>
      <c r="J14" s="25">
        <f>AVERAGE(J5:J10)</f>
        <v>-156.02114616157223</v>
      </c>
      <c r="K14" s="25">
        <f>AVERAGE(K5:K10)</f>
        <v>-148.84692975962841</v>
      </c>
    </row>
    <row r="16" spans="1:11" x14ac:dyDescent="0.25">
      <c r="A16" t="s">
        <v>17</v>
      </c>
    </row>
    <row r="17" spans="1:6" x14ac:dyDescent="0.25">
      <c r="A17" t="s">
        <v>18</v>
      </c>
    </row>
    <row r="18" spans="1:6" x14ac:dyDescent="0.25">
      <c r="A18" s="27" t="s">
        <v>15</v>
      </c>
      <c r="B18" s="29">
        <v>80</v>
      </c>
      <c r="C18" s="27" t="s">
        <v>16</v>
      </c>
      <c r="D18" s="28">
        <v>86</v>
      </c>
    </row>
    <row r="20" spans="1:6" ht="15" customHeight="1" x14ac:dyDescent="0.25">
      <c r="B20" s="43" t="s">
        <v>14</v>
      </c>
      <c r="C20" s="43"/>
      <c r="D20" s="46" t="s">
        <v>23</v>
      </c>
      <c r="E20" s="47"/>
      <c r="F20" s="47"/>
    </row>
    <row r="21" spans="1:6" x14ac:dyDescent="0.25">
      <c r="A21" s="26" t="s">
        <v>0</v>
      </c>
      <c r="B21" s="3" t="s">
        <v>6</v>
      </c>
      <c r="C21" s="3" t="s">
        <v>13</v>
      </c>
      <c r="E21" s="21" t="s">
        <v>6</v>
      </c>
      <c r="F21" s="21" t="s">
        <v>13</v>
      </c>
    </row>
    <row r="22" spans="1:6" x14ac:dyDescent="0.25">
      <c r="A22" s="4">
        <v>0</v>
      </c>
      <c r="B22" s="22">
        <f>75</f>
        <v>75</v>
      </c>
      <c r="C22" s="18">
        <f>75</f>
        <v>75</v>
      </c>
      <c r="E22" s="19">
        <f t="shared" ref="E22:E30" si="8">-B22-B5</f>
        <v>13</v>
      </c>
      <c r="F22" s="15">
        <f t="shared" ref="F22:F30" si="9">-C22-C5</f>
        <v>10</v>
      </c>
    </row>
    <row r="23" spans="1:6" x14ac:dyDescent="0.25">
      <c r="A23" s="7">
        <f>500+A22</f>
        <v>500</v>
      </c>
      <c r="B23" s="19">
        <f t="shared" ref="B23:B30" si="10">MIN(75,AN_C-15*LOG10($A23/100))</f>
        <v>69.515449934959719</v>
      </c>
      <c r="C23" s="15">
        <f t="shared" ref="C23:C30" si="11">MIN(75,AF_C-20*LOG10($A23/100))</f>
        <v>72.020599913279625</v>
      </c>
      <c r="E23" s="19">
        <f t="shared" si="8"/>
        <v>10.484550065040281</v>
      </c>
      <c r="F23" s="15">
        <f t="shared" si="9"/>
        <v>9.9794000867203749</v>
      </c>
    </row>
    <row r="24" spans="1:6" x14ac:dyDescent="0.25">
      <c r="A24" s="7">
        <f t="shared" ref="A24:A30" si="12">500+A23</f>
        <v>1000</v>
      </c>
      <c r="B24" s="19">
        <f t="shared" si="10"/>
        <v>65</v>
      </c>
      <c r="C24" s="15">
        <f t="shared" si="11"/>
        <v>66</v>
      </c>
      <c r="E24" s="19">
        <f t="shared" si="8"/>
        <v>11</v>
      </c>
      <c r="F24" s="15">
        <f t="shared" si="9"/>
        <v>11</v>
      </c>
    </row>
    <row r="25" spans="1:6" x14ac:dyDescent="0.25">
      <c r="A25" s="7">
        <f t="shared" si="12"/>
        <v>1500</v>
      </c>
      <c r="B25" s="19">
        <f t="shared" si="10"/>
        <v>62.35863111416478</v>
      </c>
      <c r="C25" s="15">
        <f t="shared" si="11"/>
        <v>62.478174818886373</v>
      </c>
      <c r="E25" s="19">
        <f t="shared" si="8"/>
        <v>10.64136888583522</v>
      </c>
      <c r="F25" s="15">
        <f t="shared" si="9"/>
        <v>11.521825181113627</v>
      </c>
    </row>
    <row r="26" spans="1:6" x14ac:dyDescent="0.25">
      <c r="A26" s="7">
        <f t="shared" si="12"/>
        <v>2000</v>
      </c>
      <c r="B26" s="19">
        <f t="shared" si="10"/>
        <v>60.484550065040281</v>
      </c>
      <c r="C26" s="15">
        <f t="shared" si="11"/>
        <v>59.979400086720375</v>
      </c>
      <c r="E26" s="19">
        <f t="shared" si="8"/>
        <v>11.515449934959719</v>
      </c>
      <c r="F26" s="15">
        <f t="shared" si="9"/>
        <v>12.020599913279625</v>
      </c>
    </row>
    <row r="27" spans="1:6" x14ac:dyDescent="0.25">
      <c r="A27" s="9">
        <f t="shared" si="12"/>
        <v>2500</v>
      </c>
      <c r="B27" s="19">
        <f t="shared" si="10"/>
        <v>59.030899869919438</v>
      </c>
      <c r="C27" s="15">
        <f t="shared" si="11"/>
        <v>58.04119982655925</v>
      </c>
      <c r="E27" s="19">
        <f t="shared" si="8"/>
        <v>11.469100130080562</v>
      </c>
      <c r="F27" s="15">
        <f t="shared" si="9"/>
        <v>11.95880017344075</v>
      </c>
    </row>
    <row r="28" spans="1:6" x14ac:dyDescent="0.25">
      <c r="A28" s="4">
        <f t="shared" si="12"/>
        <v>3000</v>
      </c>
      <c r="B28" s="19">
        <f t="shared" si="10"/>
        <v>57.843181179205061</v>
      </c>
      <c r="C28" s="15">
        <f t="shared" si="11"/>
        <v>56.457574905606748</v>
      </c>
      <c r="E28" s="19">
        <f t="shared" si="8"/>
        <v>11.156818820794939</v>
      </c>
      <c r="F28" s="15">
        <f t="shared" si="9"/>
        <v>11.542425094393252</v>
      </c>
    </row>
    <row r="29" spans="1:6" x14ac:dyDescent="0.25">
      <c r="A29" s="7">
        <f t="shared" si="12"/>
        <v>3500</v>
      </c>
      <c r="B29" s="19">
        <f t="shared" si="10"/>
        <v>56.838979334745865</v>
      </c>
      <c r="C29" s="15">
        <f t="shared" si="11"/>
        <v>55.118639112994487</v>
      </c>
      <c r="E29" s="19">
        <f t="shared" si="8"/>
        <v>10.661020665254135</v>
      </c>
      <c r="F29" s="15">
        <f t="shared" si="9"/>
        <v>11.881360887005513</v>
      </c>
    </row>
    <row r="30" spans="1:6" x14ac:dyDescent="0.25">
      <c r="A30" s="9">
        <f t="shared" si="12"/>
        <v>4000</v>
      </c>
      <c r="B30" s="20">
        <f t="shared" si="10"/>
        <v>55.969100130080562</v>
      </c>
      <c r="C30" s="20">
        <f t="shared" si="11"/>
        <v>53.958800173440757</v>
      </c>
      <c r="E30" s="20">
        <f t="shared" si="8"/>
        <v>11.030899869919438</v>
      </c>
      <c r="F30" s="17">
        <f t="shared" si="9"/>
        <v>11.041199826559243</v>
      </c>
    </row>
    <row r="31" spans="1:6" x14ac:dyDescent="0.25">
      <c r="D31" s="1" t="s">
        <v>19</v>
      </c>
      <c r="E31" s="12">
        <f>MIN(E22:E27)</f>
        <v>10.484550065040281</v>
      </c>
      <c r="F31" s="12">
        <f>MIN(F22:F27)</f>
        <v>9.9794000867203749</v>
      </c>
    </row>
    <row r="32" spans="1:6" x14ac:dyDescent="0.25">
      <c r="D32" s="1" t="s">
        <v>20</v>
      </c>
      <c r="E32" s="12">
        <f>AVERAGE(E22:E27)</f>
        <v>11.351744835985963</v>
      </c>
      <c r="F32" s="12">
        <f>AVERAGE(F22:F27)</f>
        <v>11.080104225759063</v>
      </c>
    </row>
    <row r="33" spans="4:6" x14ac:dyDescent="0.25">
      <c r="D33" s="1" t="s">
        <v>21</v>
      </c>
      <c r="E33" s="12">
        <f>MIN(E22:E30)</f>
        <v>10.484550065040281</v>
      </c>
      <c r="F33" s="12">
        <f>MIN(F22:F30)</f>
        <v>9.9794000867203749</v>
      </c>
    </row>
    <row r="34" spans="4:6" x14ac:dyDescent="0.25">
      <c r="D34" s="1" t="s">
        <v>22</v>
      </c>
      <c r="E34" s="12">
        <f>AVERAGE(E22:E30)</f>
        <v>11.217689819098256</v>
      </c>
      <c r="F34" s="12">
        <f>AVERAGE(F22:F30)</f>
        <v>11.216179018056932</v>
      </c>
    </row>
  </sheetData>
  <mergeCells count="12">
    <mergeCell ref="K3:K4"/>
    <mergeCell ref="A1:B1"/>
    <mergeCell ref="A2:B2"/>
    <mergeCell ref="B3:C3"/>
    <mergeCell ref="E3:F3"/>
    <mergeCell ref="G3:G4"/>
    <mergeCell ref="H3:H4"/>
    <mergeCell ref="A14:F14"/>
    <mergeCell ref="B20:C20"/>
    <mergeCell ref="I3:I4"/>
    <mergeCell ref="J3:J4"/>
    <mergeCell ref="D20:F20"/>
  </mergeCells>
  <pageMargins left="0.7" right="0.7" top="0.75" bottom="0.75" header="0.3" footer="0.3"/>
  <pageSetup scale="9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BF8F5-0213-484D-A254-1832F1EBF7BB}">
  <sheetPr>
    <pageSetUpPr fitToPage="1"/>
  </sheetPr>
  <dimension ref="A1:M19"/>
  <sheetViews>
    <sheetView workbookViewId="0">
      <selection activeCell="N19" sqref="N19"/>
    </sheetView>
  </sheetViews>
  <sheetFormatPr defaultRowHeight="15" x14ac:dyDescent="0.25"/>
  <cols>
    <col min="2" max="2" width="9.7109375" customWidth="1"/>
    <col min="3" max="3" width="11.140625" customWidth="1"/>
    <col min="4" max="4" width="9.85546875" customWidth="1"/>
    <col min="5" max="5" width="10.7109375" customWidth="1"/>
    <col min="6" max="6" width="9.28515625" customWidth="1"/>
    <col min="7" max="7" width="12.5703125" customWidth="1"/>
    <col min="8" max="8" width="11.140625" customWidth="1"/>
    <col min="9" max="9" width="13.5703125" customWidth="1"/>
    <col min="10" max="10" width="13.42578125" customWidth="1"/>
    <col min="11" max="11" width="12.28515625" customWidth="1"/>
  </cols>
  <sheetData>
    <row r="1" spans="1:13" x14ac:dyDescent="0.25">
      <c r="A1" s="48" t="s">
        <v>27</v>
      </c>
      <c r="B1" s="48"/>
      <c r="C1" s="30">
        <f>MIN(L5:M13)</f>
        <v>9.9794000867203749</v>
      </c>
      <c r="D1" t="s">
        <v>3</v>
      </c>
      <c r="E1" s="27" t="s">
        <v>15</v>
      </c>
      <c r="F1" s="42">
        <v>80</v>
      </c>
      <c r="G1" s="27" t="s">
        <v>16</v>
      </c>
      <c r="H1" s="28">
        <v>86</v>
      </c>
      <c r="I1" s="39" t="s">
        <v>30</v>
      </c>
      <c r="J1" s="12">
        <v>-150</v>
      </c>
      <c r="K1" t="s">
        <v>29</v>
      </c>
    </row>
    <row r="2" spans="1:13" x14ac:dyDescent="0.25">
      <c r="A2" s="48" t="s">
        <v>2</v>
      </c>
      <c r="B2" s="48"/>
      <c r="C2">
        <v>75</v>
      </c>
      <c r="D2" t="s">
        <v>3</v>
      </c>
      <c r="E2" s="40" t="s">
        <v>28</v>
      </c>
      <c r="F2" s="41">
        <f>K14</f>
        <v>-148.55860087202728</v>
      </c>
      <c r="G2" t="s">
        <v>29</v>
      </c>
    </row>
    <row r="3" spans="1:13" ht="30" customHeight="1" x14ac:dyDescent="0.25">
      <c r="A3" s="2"/>
      <c r="B3" s="43" t="s">
        <v>4</v>
      </c>
      <c r="C3" s="43"/>
      <c r="D3" s="23">
        <v>0.25</v>
      </c>
      <c r="E3" s="43" t="s">
        <v>5</v>
      </c>
      <c r="F3" s="43"/>
      <c r="G3" s="44" t="s">
        <v>7</v>
      </c>
      <c r="H3" s="49" t="s">
        <v>8</v>
      </c>
      <c r="I3" s="44" t="s">
        <v>24</v>
      </c>
      <c r="J3" s="44" t="s">
        <v>9</v>
      </c>
      <c r="K3" s="44" t="s">
        <v>10</v>
      </c>
      <c r="L3" s="51" t="s">
        <v>23</v>
      </c>
      <c r="M3" s="51"/>
    </row>
    <row r="4" spans="1:13" x14ac:dyDescent="0.25">
      <c r="A4" s="3" t="s">
        <v>0</v>
      </c>
      <c r="B4" s="3" t="s">
        <v>6</v>
      </c>
      <c r="C4" s="3" t="s">
        <v>13</v>
      </c>
      <c r="D4" s="3" t="s">
        <v>25</v>
      </c>
      <c r="E4" s="3" t="s">
        <v>6</v>
      </c>
      <c r="F4" s="3" t="s">
        <v>13</v>
      </c>
      <c r="G4" s="45"/>
      <c r="H4" s="50"/>
      <c r="I4" s="45"/>
      <c r="J4" s="45"/>
      <c r="K4" s="45"/>
      <c r="L4" s="36" t="s">
        <v>6</v>
      </c>
      <c r="M4" s="36" t="s">
        <v>26</v>
      </c>
    </row>
    <row r="5" spans="1:13" x14ac:dyDescent="0.25">
      <c r="A5" s="4">
        <v>0</v>
      </c>
      <c r="B5" s="5">
        <v>-88</v>
      </c>
      <c r="C5" s="6">
        <v>-85</v>
      </c>
      <c r="D5" s="13">
        <f>(0.002*$A5+0.68*$A5^0.45)*fext_fraction_IL</f>
        <v>0</v>
      </c>
      <c r="E5" s="22">
        <f>-maxloss</f>
        <v>-75</v>
      </c>
      <c r="F5" s="6">
        <f>-maxloss</f>
        <v>-75</v>
      </c>
      <c r="G5" s="18">
        <f t="shared" ref="G5:G13" si="0">IF(A5&lt;600,-90,IF(A5&lt;3000,-89-A5/600,-82-A5/250))</f>
        <v>-90</v>
      </c>
      <c r="H5" s="13">
        <f t="shared" ref="H5:H13" si="1">$G5+E5</f>
        <v>-165</v>
      </c>
      <c r="I5" s="14">
        <f>$G5+F5-D5</f>
        <v>-165</v>
      </c>
      <c r="J5" s="18">
        <f>10*LOG10(10^(0.1*H5)+10^(0.1*I5))</f>
        <v>-161.98970004336022</v>
      </c>
      <c r="K5" s="18">
        <f t="shared" ref="K5:K13" si="2">10*LOG10(10^(0.1*J5)+10^(0.1*background))</f>
        <v>-149.73366424953727</v>
      </c>
      <c r="L5" s="22">
        <f>E5-B5</f>
        <v>13</v>
      </c>
      <c r="M5" s="14">
        <f t="shared" ref="M5:M13" si="3">F5-C5</f>
        <v>10</v>
      </c>
    </row>
    <row r="6" spans="1:13" x14ac:dyDescent="0.25">
      <c r="A6" s="7">
        <f>500+A5</f>
        <v>500</v>
      </c>
      <c r="B6" s="34">
        <v>-80</v>
      </c>
      <c r="C6" s="8">
        <v>-82</v>
      </c>
      <c r="D6" s="35">
        <f>(0.002*$A6+0.68*$A6^0.45)*fext_fraction_IL</f>
        <v>3.036027656760659</v>
      </c>
      <c r="E6" s="32">
        <f t="shared" ref="E6:E13" si="4">MAX(-maxloss,-(AN_C-15*LOG10($A6/100)))</f>
        <v>-69.515449934959719</v>
      </c>
      <c r="F6" s="15">
        <f t="shared" ref="F6:F13" si="5">MAX(-maxloss,-(AF_C-20*LOG10($A6/100)))</f>
        <v>-72.020599913279625</v>
      </c>
      <c r="G6" s="19">
        <f t="shared" si="0"/>
        <v>-90</v>
      </c>
      <c r="H6" s="35">
        <f t="shared" si="1"/>
        <v>-159.51544993495972</v>
      </c>
      <c r="I6" s="15">
        <f t="shared" ref="I6:I13" si="6">$G6+F6-D6</f>
        <v>-165.05662757004029</v>
      </c>
      <c r="J6" s="19">
        <f t="shared" ref="J6:J13" si="7">10*LOG10(10^(0.1*H6)+10^(0.1*I6))</f>
        <v>-158.44613783900704</v>
      </c>
      <c r="K6" s="19">
        <f t="shared" si="2"/>
        <v>-149.41947491470532</v>
      </c>
      <c r="L6" s="32">
        <f t="shared" ref="L6:L13" si="8">E6-B6</f>
        <v>10.484550065040281</v>
      </c>
      <c r="M6" s="15">
        <f t="shared" si="3"/>
        <v>9.9794000867203749</v>
      </c>
    </row>
    <row r="7" spans="1:13" x14ac:dyDescent="0.25">
      <c r="A7" s="7">
        <f t="shared" ref="A7:A13" si="9">500+A6</f>
        <v>1000</v>
      </c>
      <c r="B7" s="34">
        <v>-76</v>
      </c>
      <c r="C7" s="8">
        <v>-77</v>
      </c>
      <c r="D7" s="35">
        <f>(0.002*$A7+0.68*$A7^0.45)*fext_fraction_IL</f>
        <v>4.3058259355661779</v>
      </c>
      <c r="E7" s="32">
        <f t="shared" si="4"/>
        <v>-65</v>
      </c>
      <c r="F7" s="15">
        <f t="shared" si="5"/>
        <v>-66</v>
      </c>
      <c r="G7" s="19">
        <f t="shared" si="0"/>
        <v>-90.666666666666671</v>
      </c>
      <c r="H7" s="35">
        <f t="shared" si="1"/>
        <v>-155.66666666666669</v>
      </c>
      <c r="I7" s="15">
        <f t="shared" si="6"/>
        <v>-160.97249260223288</v>
      </c>
      <c r="J7" s="19">
        <f t="shared" si="7"/>
        <v>-154.5448903484025</v>
      </c>
      <c r="K7" s="19">
        <f t="shared" si="2"/>
        <v>-148.69291680347331</v>
      </c>
      <c r="L7" s="32">
        <f t="shared" si="8"/>
        <v>11</v>
      </c>
      <c r="M7" s="15">
        <f t="shared" si="3"/>
        <v>11</v>
      </c>
    </row>
    <row r="8" spans="1:13" x14ac:dyDescent="0.25">
      <c r="A8" s="7">
        <f t="shared" si="9"/>
        <v>1500</v>
      </c>
      <c r="B8" s="34">
        <v>-73</v>
      </c>
      <c r="C8" s="8">
        <v>-74</v>
      </c>
      <c r="D8" s="35">
        <f>(0.002*$A8+0.68*$A8^0.45)*fext_fraction_IL</f>
        <v>5.317620231833474</v>
      </c>
      <c r="E8" s="32">
        <f t="shared" si="4"/>
        <v>-62.35863111416478</v>
      </c>
      <c r="F8" s="15">
        <f t="shared" si="5"/>
        <v>-62.478174818886373</v>
      </c>
      <c r="G8" s="19">
        <f t="shared" si="0"/>
        <v>-91.5</v>
      </c>
      <c r="H8" s="35">
        <f t="shared" si="1"/>
        <v>-153.85863111416478</v>
      </c>
      <c r="I8" s="15">
        <f t="shared" si="6"/>
        <v>-159.29579505071985</v>
      </c>
      <c r="J8" s="19">
        <f t="shared" si="7"/>
        <v>-152.76640472782282</v>
      </c>
      <c r="K8" s="19">
        <f t="shared" si="2"/>
        <v>-148.15625776148511</v>
      </c>
      <c r="L8" s="32">
        <f t="shared" si="8"/>
        <v>10.64136888583522</v>
      </c>
      <c r="M8" s="15">
        <f t="shared" si="3"/>
        <v>11.521825181113627</v>
      </c>
    </row>
    <row r="9" spans="1:13" x14ac:dyDescent="0.25">
      <c r="A9" s="7">
        <f t="shared" si="9"/>
        <v>2000</v>
      </c>
      <c r="B9" s="34">
        <v>-72</v>
      </c>
      <c r="C9" s="8">
        <v>-72</v>
      </c>
      <c r="D9" s="35">
        <f>(0.002*$A9+0.68*$A9^0.45)*fext_fraction_IL</f>
        <v>6.1989114381833588</v>
      </c>
      <c r="E9" s="32">
        <f t="shared" si="4"/>
        <v>-60.484550065040281</v>
      </c>
      <c r="F9" s="15">
        <f t="shared" si="5"/>
        <v>-59.979400086720375</v>
      </c>
      <c r="G9" s="19">
        <f t="shared" si="0"/>
        <v>-92.333333333333329</v>
      </c>
      <c r="H9" s="35">
        <f t="shared" si="1"/>
        <v>-152.81788339837362</v>
      </c>
      <c r="I9" s="15">
        <f t="shared" si="6"/>
        <v>-158.51164485823705</v>
      </c>
      <c r="J9" s="19">
        <f t="shared" si="7"/>
        <v>-151.78141817135989</v>
      </c>
      <c r="K9" s="19">
        <f t="shared" si="2"/>
        <v>-147.78970312156446</v>
      </c>
      <c r="L9" s="32">
        <f t="shared" si="8"/>
        <v>11.515449934959719</v>
      </c>
      <c r="M9" s="15">
        <f t="shared" si="3"/>
        <v>12.020599913279625</v>
      </c>
    </row>
    <row r="10" spans="1:13" x14ac:dyDescent="0.25">
      <c r="A10" s="9">
        <f t="shared" si="9"/>
        <v>2500</v>
      </c>
      <c r="B10" s="10">
        <v>-70.5</v>
      </c>
      <c r="C10" s="11">
        <v>-70</v>
      </c>
      <c r="D10" s="20">
        <f>(0.002*$A10+0.68*$A10^0.45)*fext_fraction_IL</f>
        <v>6.9980683713530523</v>
      </c>
      <c r="E10" s="33">
        <f t="shared" si="4"/>
        <v>-59.030899869919438</v>
      </c>
      <c r="F10" s="17">
        <f t="shared" si="5"/>
        <v>-58.04119982655925</v>
      </c>
      <c r="G10" s="20">
        <f t="shared" si="0"/>
        <v>-93.166666666666671</v>
      </c>
      <c r="H10" s="16">
        <f t="shared" si="1"/>
        <v>-152.19756653658612</v>
      </c>
      <c r="I10" s="17">
        <f t="shared" si="6"/>
        <v>-158.20593486457898</v>
      </c>
      <c r="J10" s="20">
        <f t="shared" si="7"/>
        <v>-151.22601733194679</v>
      </c>
      <c r="K10" s="20">
        <f t="shared" si="2"/>
        <v>-147.5595883813983</v>
      </c>
      <c r="L10" s="33">
        <f t="shared" si="8"/>
        <v>11.469100130080562</v>
      </c>
      <c r="M10" s="17">
        <f t="shared" si="3"/>
        <v>11.95880017344075</v>
      </c>
    </row>
    <row r="11" spans="1:13" x14ac:dyDescent="0.25">
      <c r="A11" s="7">
        <f t="shared" si="9"/>
        <v>3000</v>
      </c>
      <c r="B11">
        <v>-69</v>
      </c>
      <c r="C11" s="8">
        <v>-68</v>
      </c>
      <c r="D11" s="12">
        <f>(0.002*$A11+0.68*$A11^0.45)*fext_fraction_IL</f>
        <v>7.7395531142503673</v>
      </c>
      <c r="E11" s="32">
        <f t="shared" si="4"/>
        <v>-57.843181179205061</v>
      </c>
      <c r="F11" s="15">
        <f t="shared" si="5"/>
        <v>-56.457574905606748</v>
      </c>
      <c r="G11" s="19">
        <f t="shared" si="0"/>
        <v>-94</v>
      </c>
      <c r="H11" s="12">
        <f t="shared" si="1"/>
        <v>-151.84318117920506</v>
      </c>
      <c r="I11" s="15">
        <f t="shared" si="6"/>
        <v>-158.1971280198571</v>
      </c>
      <c r="J11" s="19">
        <f t="shared" si="7"/>
        <v>-150.93873489928023</v>
      </c>
      <c r="K11" s="19">
        <f t="shared" si="2"/>
        <v>-147.43375307308216</v>
      </c>
      <c r="L11" s="32">
        <f t="shared" si="8"/>
        <v>11.156818820794939</v>
      </c>
      <c r="M11" s="15">
        <f t="shared" si="3"/>
        <v>11.542425094393252</v>
      </c>
    </row>
    <row r="12" spans="1:13" x14ac:dyDescent="0.25">
      <c r="A12" s="7">
        <f t="shared" si="9"/>
        <v>3500</v>
      </c>
      <c r="B12">
        <v>-67.5</v>
      </c>
      <c r="C12">
        <v>-67</v>
      </c>
      <c r="D12" s="12">
        <f>(0.002*$A12+0.68*$A12^0.45)*fext_fraction_IL</f>
        <v>8.4377424744934402</v>
      </c>
      <c r="E12" s="32">
        <f t="shared" si="4"/>
        <v>-56.838979334745865</v>
      </c>
      <c r="F12" s="15">
        <f t="shared" si="5"/>
        <v>-55.118639112994487</v>
      </c>
      <c r="G12" s="19">
        <f t="shared" si="0"/>
        <v>-96</v>
      </c>
      <c r="H12" s="12">
        <f t="shared" si="1"/>
        <v>-152.83897933474586</v>
      </c>
      <c r="I12" s="15">
        <f t="shared" si="6"/>
        <v>-159.55638158748792</v>
      </c>
      <c r="J12" s="19">
        <f t="shared" si="7"/>
        <v>-152.0005817186042</v>
      </c>
      <c r="K12" s="19">
        <f t="shared" si="2"/>
        <v>-147.87579900832452</v>
      </c>
      <c r="L12" s="32">
        <f t="shared" si="8"/>
        <v>10.661020665254135</v>
      </c>
      <c r="M12" s="15">
        <f t="shared" si="3"/>
        <v>11.881360887005513</v>
      </c>
    </row>
    <row r="13" spans="1:13" x14ac:dyDescent="0.25">
      <c r="A13" s="9">
        <f t="shared" si="9"/>
        <v>4000</v>
      </c>
      <c r="B13" s="10">
        <v>-67</v>
      </c>
      <c r="C13" s="11">
        <v>-65</v>
      </c>
      <c r="D13" s="20">
        <f>(0.002*$A13+0.68*$A13^0.45)*fext_fraction_IL</f>
        <v>9.1019223158593583</v>
      </c>
      <c r="E13" s="32">
        <f t="shared" si="4"/>
        <v>-55.969100130080562</v>
      </c>
      <c r="F13" s="15">
        <f t="shared" si="5"/>
        <v>-53.958800173440757</v>
      </c>
      <c r="G13" s="20">
        <f t="shared" si="0"/>
        <v>-98</v>
      </c>
      <c r="H13" s="16">
        <f t="shared" si="1"/>
        <v>-153.96910013008056</v>
      </c>
      <c r="I13" s="17">
        <f t="shared" si="6"/>
        <v>-161.0607224893001</v>
      </c>
      <c r="J13" s="20">
        <f t="shared" si="7"/>
        <v>-153.19410947878879</v>
      </c>
      <c r="K13" s="20">
        <f t="shared" si="2"/>
        <v>-148.29949696854615</v>
      </c>
      <c r="L13" s="33">
        <f t="shared" si="8"/>
        <v>11.030899869919438</v>
      </c>
      <c r="M13" s="17">
        <f t="shared" si="3"/>
        <v>11.041199826559243</v>
      </c>
    </row>
    <row r="14" spans="1:13" ht="47.25" customHeight="1" x14ac:dyDescent="0.25">
      <c r="A14" s="52" t="s">
        <v>31</v>
      </c>
      <c r="B14" s="52"/>
      <c r="C14" s="52"/>
      <c r="D14" s="52"/>
      <c r="E14" s="52"/>
      <c r="F14" s="52"/>
      <c r="G14" s="24" t="s">
        <v>11</v>
      </c>
      <c r="H14" s="25">
        <f>AVERAGE(H5:H10)</f>
        <v>-156.50936627512516</v>
      </c>
      <c r="I14" s="25">
        <f>AVERAGE(I5:I10)</f>
        <v>-161.17374915763483</v>
      </c>
      <c r="J14" s="25">
        <f>AVERAGE(J5:J10)</f>
        <v>-155.12576141031653</v>
      </c>
      <c r="K14" s="25">
        <f>AVERAGE(K5:K10)</f>
        <v>-148.55860087202728</v>
      </c>
      <c r="L14" s="37">
        <f>MIN(L5:L13)</f>
        <v>10.484550065040281</v>
      </c>
      <c r="M14" s="38">
        <f>MIN(M5:M13)</f>
        <v>9.9794000867203749</v>
      </c>
    </row>
    <row r="16" spans="1:13" x14ac:dyDescent="0.25">
      <c r="A16" t="s">
        <v>17</v>
      </c>
    </row>
    <row r="17" spans="1:6" x14ac:dyDescent="0.25">
      <c r="A17" t="s">
        <v>18</v>
      </c>
    </row>
    <row r="18" spans="1:6" x14ac:dyDescent="0.25">
      <c r="D18" s="31"/>
      <c r="E18" s="12"/>
      <c r="F18" s="12"/>
    </row>
    <row r="19" spans="1:6" x14ac:dyDescent="0.25">
      <c r="D19" s="31"/>
      <c r="E19" s="12"/>
      <c r="F19" s="12"/>
    </row>
  </sheetData>
  <mergeCells count="11">
    <mergeCell ref="A1:B1"/>
    <mergeCell ref="A2:B2"/>
    <mergeCell ref="B3:C3"/>
    <mergeCell ref="E3:F3"/>
    <mergeCell ref="G3:G4"/>
    <mergeCell ref="L3:M3"/>
    <mergeCell ref="I3:I4"/>
    <mergeCell ref="J3:J4"/>
    <mergeCell ref="K3:K4"/>
    <mergeCell ref="A14:F14"/>
    <mergeCell ref="H3:H4"/>
  </mergeCells>
  <pageMargins left="0.7" right="0.7" top="0.75" bottom="0.75" header="0.3" footer="0.3"/>
  <pageSetup scale="9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Proposed v Measurements</vt:lpstr>
      <vt:lpstr>Model calculator</vt:lpstr>
      <vt:lpstr>'Model calculator'!AF_C</vt:lpstr>
      <vt:lpstr>AF_C</vt:lpstr>
      <vt:lpstr>'Model calculator'!AN_C</vt:lpstr>
      <vt:lpstr>AN_C</vt:lpstr>
      <vt:lpstr>'Model calculator'!background</vt:lpstr>
      <vt:lpstr>background</vt:lpstr>
      <vt:lpstr>fext_fraction_IL</vt:lpstr>
      <vt:lpstr>fraction_IL</vt:lpstr>
      <vt:lpstr>'Model calculator'!margin</vt:lpstr>
      <vt:lpstr>margin</vt:lpstr>
      <vt:lpstr>'Model calculator'!maxloss</vt:lpstr>
      <vt:lpstr>maxloss</vt:lpstr>
      <vt:lpstr>prop_fraction_IL</vt:lpstr>
    </vt:vector>
  </TitlesOfParts>
  <Company>CME Consulting,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Alien Crosstalk Coupling Attenuation Specifications_spreadsheet</dc:title>
  <dc:subject>IEEE P802.3ch Multigigabit Automotive Ethernet Task Force</dc:subject>
  <dc:creator>gzimmerman</dc:creator>
  <cp:lastModifiedBy>gzimmerman</cp:lastModifiedBy>
  <cp:lastPrinted>2019-04-07T18:05:04Z</cp:lastPrinted>
  <dcterms:created xsi:type="dcterms:W3CDTF">2019-04-06T21:07:08Z</dcterms:created>
  <dcterms:modified xsi:type="dcterms:W3CDTF">2019-04-16T14:34:31Z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raction_IL" linkTarget="prop_fraction_IL">
    <vt:r8>0.25</vt:r8>
  </property>
</Properties>
</file>